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土地案例" sheetId="80" r:id="rId37"/>
    <sheet name="大宗案例" sheetId="81" r:id="rId38"/>
    <sheet name="租赁台账"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Titles" localSheetId="38">租赁台账!$1:$2</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<sst xmlns="http://schemas.openxmlformats.org/spreadsheetml/2006/main" count="8863" uniqueCount="3289">
  <si>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</si>
  <si>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</si>
  <si>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</si>
  <si>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</si>
  <si>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</si>
  <si>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</si>
  <si>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</si>
  <si>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</si>
  <si>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</si>
  <si>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</si>
  <si>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</si>
  <si>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</si>
  <si>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</si>
  <si>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</si>
  <si>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</si>
  <si>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</si>
  <si>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</si>
  <si>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</si>
  <si>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</si>
  <si>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</si>
  <si>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</si>
  <si>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</si>
  <si>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</si>
  <si>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</si>
  <si>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</si>
  <si>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</si>
  <si>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</si>
  <si>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</si>
  <si>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</si>
  <si>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</si>
  <si>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</si>
  <si>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</si>
  <si>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</si>
  <si>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</si>
  <si>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</si>
  <si>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</si>
  <si>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</si>
  <si>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</si>
  <si>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</si>
  <si>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</si>
  <si>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</si>
  <si>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</si>
  <si>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</si>
  <si>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</si>
  <si>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</si>
  <si>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</si>
  <si>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</si>
  <si>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</si>
  <si>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</si>
  <si>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</si>
  <si>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</si>
  <si>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</si>
  <si>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</si>
  <si>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</si>
  <si>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</si>
  <si>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</si>
  <si>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</si>
  <si>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</si>
  <si>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</si>
  <si>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</si>
  <si>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</si>
  <si>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</si>
  <si>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</si>
  <si>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</si>
  <si>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</si>
  <si>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</si>
  <si>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</si>
  <si>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</si>
  <si>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</si>
  <si>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</si>
  <si>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</si>
  <si>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</si>
  <si>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</si>
  <si>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</si>
  <si>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</si>
  <si>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</si>
  <si>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</si>
  <si>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</si>
  <si>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</si>
  <si>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</si>
  <si>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</si>
  <si>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</si>
  <si>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</si>
  <si>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</si>
  <si>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</si>
  <si>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</si>
  <si>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</si>
  <si>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</si>
  <si>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</si>
  <si>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</si>
  <si>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</si>
  <si>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</si>
  <si>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</si>
  <si>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</si>
  <si>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</si>
  <si>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</si>
  <si>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</si>
  <si>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</si>
  <si>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</si>
  <si>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</si>
  <si>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</si>
  <si>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</si>
  <si>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</si>
  <si>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</si>
  <si>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</si>
  <si>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</si>
  <si>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</si>
  <si>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</si>
  <si>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</si>
  <si>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</si>
  <si>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</si>
  <si>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</si>
  <si>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</si>
  <si>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</si>
  <si>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</si>
  <si>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</si>
  <si>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</si>
  <si>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</si>
  <si>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</si>
  <si>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</si>
  <si>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</si>
  <si>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</si>
  <si>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</si>
  <si>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</si>
  <si>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</si>
  <si>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</si>
  <si>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</si>
  <si>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</si>
  <si>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</si>
  <si>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</si>
  <si>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</si>
  <si>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</si>
  <si>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</si>
  <si>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</si>
  <si>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</si>
  <si>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</si>
  <si>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</si>
  <si>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</si>
  <si>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</si>
  <si>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</si>
  <si>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</si>
  <si>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</si>
  <si>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</si>
  <si>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</si>
  <si>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</si>
  <si>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</si>
  <si>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</si>
  <si>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</si>
  <si>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</si>
  <si>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</si>
  <si>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</si>
  <si>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</si>
  <si>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</si>
  <si>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</si>
  <si>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</si>
  <si>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</si>
  <si>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</si>
  <si>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</si>
  <si>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</si>
  <si>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</si>
  <si>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</si>
  <si>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</si>
  <si>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</si>
  <si>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</si>
  <si>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</si>
  <si>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</si>
  <si>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</si>
  <si>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</si>
  <si>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</si>
  <si>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</si>
  <si>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</si>
  <si>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</si>
  <si>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</si>
  <si>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</si>
  <si>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</si>
  <si>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</si>
  <si>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</si>
  <si>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</si>
  <si>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</si>
  <si>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</si>
  <si>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</si>
  <si>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</si>
  <si>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</si>
  <si>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</si>
  <si>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</si>
  <si>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</si>
  <si>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</si>
  <si>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</si>
  <si>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</si>
  <si>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</si>
  <si>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</si>
  <si>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</si>
  <si>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</si>
  <si>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</si>
  <si>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</si>
  <si>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</si>
  <si>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</si>
  <si>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</si>
  <si>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</si>
  <si>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</si>
  <si>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</si>
  <si>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</si>
  <si>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</si>
  <si>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</si>
  <si>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</si>
  <si>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</si>
  <si>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</si>
  <si>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</si>
  <si>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</si>
  <si>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</si>
  <si>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</si>
  <si>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</si>
  <si>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</si>
  <si>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</si>
  <si>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</si>
  <si>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</si>
  <si>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</si>
  <si>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</si>
  <si>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</si>
  <si>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</si>
  <si>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</si>
  <si>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</si>
  <si>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</si>
  <si>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</si>
  <si>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</si>
  <si>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</si>
  <si>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</si>
  <si>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</si>
  <si>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</si>
  <si>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</si>
  <si>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</si>
  <si>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</si>
  <si>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</si>
  <si>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</si>
  <si>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</si>
  <si>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</si>
  <si>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</si>
  <si>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</si>
  <si>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</si>
  <si>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</si>
  <si>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</si>
  <si>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</si>
  <si>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</si>
  <si>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</si>
  <si>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</si>
  <si>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</si>
  <si>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</si>
  <si>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</si>
  <si>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</si>
  <si>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</si>
  <si>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</si>
  <si>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</si>
  <si>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</si>
  <si>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</si>
  <si>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</si>
  <si>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</si>
  <si>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</si>
  <si>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</si>
  <si>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</si>
  <si>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</si>
  <si>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</si>
  <si>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</si>
  <si>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</si>
  <si>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</si>
  <si>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</si>
  <si>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</si>
  <si>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</si>
  <si>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</si>
  <si>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</si>
  <si>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</si>
  <si>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</si>
  <si>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</si>
  <si>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</si>
  <si>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</si>
  <si>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</si>
  <si>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</si>
  <si>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</si>
  <si>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</si>
  <si>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</si>
  <si>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</si>
  <si>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</si>
  <si>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</si>
  <si>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</si>
  <si>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</si>
  <si>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</si>
  <si>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</si>
  <si>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</si>
  <si>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</si>
  <si>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</si>
  <si>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</si>
  <si>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</si>
  <si>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</si>
  <si>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</si>
  <si>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</si>
  <si>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</si>
  <si>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</si>
  <si>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</si>
  <si>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</si>
  <si>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</si>
  <si>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</si>
  <si>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</si>
  <si>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</si>
  <si>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</si>
  <si>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</si>
  <si>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</si>
  <si>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</si>
  <si>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</si>
  <si>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</si>
  <si>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</si>
  <si>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</si>
  <si>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</si>
  <si>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</si>
  <si>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</si>
  <si>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</si>
  <si>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</si>
  <si>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</si>
  <si>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</si>
  <si>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</si>
  <si>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</si>
  <si>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</si>
  <si>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</si>
  <si>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</si>
  <si>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</si>
  <si>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</si>
  <si>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</si>
  <si>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</si>
  <si>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</si>
  <si>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</si>
  <si>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</si>
  <si>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</si>
  <si>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</si>
  <si>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</si>
  <si>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</si>
  <si>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</si>
  <si>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</si>
  <si>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</si>
  <si>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</si>
  <si>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</si>
  <si>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</si>
  <si>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</si>
  <si>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</si>
  <si>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</si>
  <si>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</si>
  <si>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</si>
  <si>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</si>
  <si>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</si>
  <si>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</si>
  <si>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</si>
  <si>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</si>
  <si>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</si>
  <si>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</si>
  <si>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</si>
  <si>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</si>
  <si>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</si>
  <si>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</si>
  <si>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</si>
  <si>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</si>
  <si>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</si>
  <si>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</si>
  <si>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</si>
  <si>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</si>
  <si>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</si>
  <si>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</si>
  <si>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</si>
  <si>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</si>
  <si>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</si>
  <si>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</si>
  <si>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</si>
  <si>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</si>
  <si>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</si>
  <si>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</si>
  <si>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</si>
  <si>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</si>
  <si>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</si>
  <si>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</si>
  <si>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</si>
  <si>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</si>
  <si>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</si>
  <si>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</si>
  <si>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</si>
  <si>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</si>
  <si>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</si>
  <si>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</si>
  <si>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</si>
  <si>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</si>
  <si>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</si>
  <si>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</si>
  <si>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</si>
  <si>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</si>
  <si>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</si>
  <si>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</si>
  <si>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</si>
  <si>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</si>
  <si>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</si>
  <si>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</si>
  <si>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</si>
  <si>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</si>
  <si>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</si>
  <si>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</si>
  <si>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</si>
  <si>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</si>
  <si>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</si>
  <si>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</si>
  <si>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</si>
  <si>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</si>
  <si>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</si>
  <si>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</si>
  <si>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</si>
  <si>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</si>
  <si>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</si>
  <si>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</si>
  <si>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</si>
  <si>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</si>
  <si>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</si>
  <si>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</si>
  <si>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</si>
  <si>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</si>
  <si>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</si>
  <si>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</si>
  <si>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</si>
  <si>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</si>
  <si>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</si>
  <si>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</si>
  <si>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</si>
  <si>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</si>
  <si>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</si>
  <si>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</si>
  <si>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</si>
  <si>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</si>
  <si>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</si>
  <si>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</si>
  <si>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</si>
  <si>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</si>
  <si>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</si>
  <si>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</si>
  <si>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</si>
  <si>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</si>
  <si>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</si>
  <si>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</si>
  <si>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</si>
  <si>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</si>
  <si>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</si>
  <si>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</si>
  <si>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</si>
  <si>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</si>
  <si>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</si>
  <si>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</si>
  <si>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</si>
  <si>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</si>
  <si>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</si>
  <si>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</si>
  <si>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</si>
  <si>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</si>
  <si>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</si>
  <si>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</si>
  <si>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</si>
  <si>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</si>
  <si>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</si>
  <si>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</si>
  <si>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</si>
  <si>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</si>
  <si>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</si>
  <si>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</si>
  <si>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</si>
  <si>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</si>
  <si>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</si>
  <si>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</si>
  <si>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</si>
  <si>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</si>
  <si>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</si>
  <si>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</si>
  <si>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</si>
  <si>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</si>
  <si>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</si>
  <si>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</si>
  <si>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</si>
  <si>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</si>
  <si>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</si>
  <si>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</si>
  <si>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</si>
  <si>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</si>
  <si>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</si>
  <si>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</si>
  <si>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</si>
  <si>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</si>
  <si>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</si>
  <si>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</si>
  <si>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</si>
  <si>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</si>
  <si>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</si>
  <si>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</si>
  <si>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</si>
  <si>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</si>
  <si>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</si>
  <si>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</si>
  <si>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</si>
  <si>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</si>
  <si>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</si>
  <si>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</si>
  <si>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</si>
  <si>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</si>
  <si>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</si>
  <si>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</si>
  <si>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</si>
  <si>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</si>
  <si>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</si>
  <si>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</si>
  <si>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</si>
  <si>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</si>
  <si>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</si>
  <si>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</si>
  <si>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</si>
  <si>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</si>
  <si>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</si>
  <si>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</si>
  <si>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</si>
  <si>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</si>
  <si>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</si>
  <si>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</si>
  <si>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</si>
  <si>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</si>
  <si>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</si>
  <si>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</si>
  <si>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</si>
  <si>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</si>
  <si>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</si>
  <si>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</si>
  <si>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</si>
  <si>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</si>
  <si>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</si>
  <si>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</si>
  <si>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</si>
  <si>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</si>
  <si>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</si>
  <si>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</si>
  <si>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</si>
  <si>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</si>
  <si>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</si>
  <si>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</si>
  <si>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</si>
  <si>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</si>
  <si>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</si>
  <si>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</si>
  <si>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</si>
  <si>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</si>
  <si>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</si>
  <si>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</si>
  <si>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</si>
  <si>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</si>
  <si>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</si>
  <si>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</si>
  <si>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</si>
  <si>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</si>
  <si>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</si>
  <si>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</si>
  <si>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</si>
  <si>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</si>
  <si>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</si>
  <si>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</si>
  <si>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</si>
  <si>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</si>
  <si>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</si>
  <si>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</si>
  <si>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</si>
  <si>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</si>
  <si>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</si>
  <si>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</si>
  <si>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</si>
  <si>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</si>
  <si>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</si>
  <si>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</si>
  <si>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</si>
  <si>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</si>
  <si>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</si>
  <si>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</si>
  <si>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</si>
  <si>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</si>
  <si>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</si>
  <si>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</si>
  <si>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</si>
  <si>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</si>
  <si>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</si>
  <si>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</si>
  <si>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</si>
  <si>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</si>
  <si>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</si>
  <si>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</si>
  <si>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</si>
  <si>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</si>
  <si>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</si>
  <si>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</si>
  <si>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</si>
  <si>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</si>
  <si>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</si>
  <si>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</si>
  <si>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</si>
  <si>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</si>
  <si>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</si>
  <si>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</si>
  <si>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</si>
  <si>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</si>
  <si>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</si>
  <si>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</si>
  <si>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</si>
  <si>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</si>
  <si>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</si>
  <si>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</si>
  <si>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</si>
  <si>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</si>
  <si>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</si>
  <si>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</si>
  <si>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</si>
  <si>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</si>
  <si>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</si>
  <si>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</si>
  <si>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</si>
  <si>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</si>
  <si>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</si>
  <si>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</si>
  <si>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</si>
  <si>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</si>
  <si>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</si>
  <si>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</si>
  <si>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</si>
  <si>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</si>
  <si>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</si>
  <si>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</si>
  <si>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</si>
  <si>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</si>
  <si>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</si>
  <si>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</si>
  <si>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</si>
  <si>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</si>
  <si>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</si>
  <si>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</si>
  <si>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</si>
  <si>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</si>
  <si>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</si>
  <si>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</si>
  <si>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</si>
  <si>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</si>
  <si>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</si>
  <si>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</si>
  <si>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</si>
  <si>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</si>
  <si>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</si>
  <si>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</si>
  <si>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</si>
  <si>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</si>
  <si>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</si>
  <si>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</si>
  <si>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</si>
  <si>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</si>
  <si>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</si>
  <si>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</si>
  <si>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</si>
  <si>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</si>
  <si>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</si>
  <si>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</si>
  <si>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</si>
  <si>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</si>
  <si>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</si>
  <si>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</si>
  <si>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</si>
  <si>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</si>
  <si>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</si>
  <si>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</si>
  <si>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</si>
  <si>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</si>
  <si>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</si>
  <si>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</si>
  <si>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</si>
  <si>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</si>
  <si>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</si>
  <si>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</si>
  <si>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</si>
  <si>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</si>
  <si>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</si>
  <si>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</si>
  <si>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</si>
  <si>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</si>
  <si>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</si>
  <si>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</si>
  <si>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</si>
  <si>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</si>
  <si>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</si>
  <si>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</si>
  <si>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</si>
  <si>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</si>
  <si>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</si>
  <si>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</si>
  <si>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</si>
  <si>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</si>
  <si>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</si>
  <si>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</si>
  <si>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</si>
  <si>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</si>
  <si>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</si>
  <si>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</si>
  <si>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</si>
  <si>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</si>
  <si>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</si>
  <si>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</si>
  <si>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</si>
  <si>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</si>
  <si>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</si>
  <si>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</si>
  <si>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</si>
  <si>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</si>
  <si>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</si>
  <si>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</si>
  <si>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</si>
  <si>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</si>
  <si>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</si>
  <si>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</si>
  <si>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</si>
  <si>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</si>
  <si>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</si>
  <si>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</si>
  <si>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</si>
  <si>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</si>
  <si>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</si>
  <si>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</si>
  <si>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</si>
  <si>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</si>
  <si>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</si>
  <si>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</si>
  <si>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</si>
  <si>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</si>
  <si>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</si>
  <si>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</si>
  <si>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</si>
  <si>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</si>
  <si>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</si>
  <si>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</si>
  <si>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</si>
  <si>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</si>
  <si>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</si>
  <si>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</si>
  <si>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</si>
  <si>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</si>
  <si>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</si>
  <si>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</si>
  <si>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</si>
  <si>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</si>
  <si>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</si>
  <si>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</si>
  <si>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</si>
  <si>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</si>
  <si>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</si>
  <si>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</si>
  <si>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</si>
  <si>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</si>
  <si>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</si>
  <si>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</si>
  <si>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</si>
  <si>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</si>
  <si>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</si>
  <si>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</si>
  <si>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</si>
  <si>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</si>
  <si>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</si>
  <si>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</si>
  <si>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</si>
  <si>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</si>
  <si>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</si>
  <si>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</si>
  <si>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</si>
  <si>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</si>
  <si>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</si>
  <si>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</si>
  <si>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</si>
  <si>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</si>
  <si>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</si>
  <si>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</si>
  <si>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</si>
  <si>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</si>
  <si>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</si>
  <si>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</si>
  <si>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</si>
  <si>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</si>
  <si>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</si>
  <si>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</si>
  <si>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</si>
  <si>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</si>
  <si>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</si>
  <si>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</si>
  <si>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</si>
  <si>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</si>
  <si>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</si>
  <si>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</si>
  <si>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</si>
  <si>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</si>
  <si>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</si>
  <si>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</si>
  <si>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</si>
  <si>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</si>
  <si>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</si>
  <si>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</si>
  <si>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</si>
  <si>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</si>
  <si>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</si>
  <si>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</si>
  <si>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</si>
  <si>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</si>
  <si>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</si>
  <si>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</si>
  <si>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</si>
  <si>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</si>
  <si>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</si>
  <si>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</si>
  <si>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</si>
  <si>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</si>
  <si>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</si>
  <si>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</si>
  <si>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</si>
  <si>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</si>
  <si>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</si>
  <si>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</si>
  <si>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</si>
  <si>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</si>
  <si>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</si>
  <si>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</si>
  <si>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</si>
  <si>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</si>
  <si>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</si>
  <si>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</si>
  <si>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</si>
  <si>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</si>
  <si>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</si>
  <si>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</si>
  <si>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</si>
  <si>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</si>
  <si>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</si>
  <si>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</si>
  <si>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</si>
  <si>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</si>
  <si>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</si>
  <si>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</si>
  <si>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</si>
  <si>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</si>
  <si>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</si>
  <si>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</si>
  <si>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</si>
  <si>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</si>
  <si>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</si>
  <si>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</si>
  <si>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</si>
  <si>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</si>
  <si>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</si>
  <si>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</si>
  <si>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</si>
  <si>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</si>
  <si>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</si>
  <si>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</si>
  <si>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</si>
  <si>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</si>
  <si>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</si>
  <si>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</si>
  <si>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</si>
  <si>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</si>
  <si>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</si>
  <si>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</si>
  <si>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</si>
  <si>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</si>
  <si>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</si>
  <si>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</si>
  <si>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</si>
  <si>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</si>
  <si>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</si>
  <si>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</si>
  <si>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</si>
  <si>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</si>
  <si>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</si>
  <si>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</si>
  <si>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</si>
  <si>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</si>
  <si>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</si>
  <si>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</si>
  <si>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</si>
  <si>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</si>
  <si>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</si>
  <si>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</si>
  <si>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</si>
  <si>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</si>
  <si>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</si>
  <si>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</si>
  <si>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</si>
  <si>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</si>
  <si>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</si>
  <si>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</si>
  <si>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</si>
  <si>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</si>
  <si>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</si>
  <si>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</si>
  <si>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</si>
  <si>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</si>
  <si>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</si>
  <si>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</si>
  <si>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</si>
  <si>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</si>
  <si>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</si>
  <si>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</si>
  <si>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</si>
  <si>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</si>
  <si>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</si>
  <si>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</si>
  <si>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</si>
  <si>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</si>
  <si>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</si>
  <si>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</si>
  <si>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</si>
  <si>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</si>
  <si>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</si>
  <si>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</si>
  <si>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</si>
  <si>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</si>
  <si>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</si>
  <si>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</si>
  <si>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</si>
  <si>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</si>
  <si>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</si>
  <si>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</si>
  <si>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</si>
  <si>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</si>
  <si>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</si>
  <si>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</si>
  <si>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</si>
  <si>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</si>
  <si>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</si>
  <si>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</si>
  <si>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</si>
  <si>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</si>
  <si>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</si>
  <si>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</si>
  <si>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</si>
  <si>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</si>
  <si>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</si>
  <si>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</si>
  <si>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</si>
  <si>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</si>
  <si>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</si>
  <si>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</si>
  <si>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</si>
  <si>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</si>
  <si>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</si>
  <si>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</si>
  <si>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</si>
  <si>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</si>
  <si>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</si>
  <si>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</si>
  <si>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</si>
  <si>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</si>
  <si>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</si>
  <si>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</si>
  <si>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</si>
  <si>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</si>
  <si>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</si>
  <si>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</si>
  <si>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</si>
  <si>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</si>
  <si>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</si>
  <si>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</si>
  <si>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</si>
  <si>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</si>
  <si>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</si>
  <si>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</si>
  <si>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</si>
  <si>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</si>
  <si>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</si>
  <si>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</si>
  <si>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</si>
  <si>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</si>
  <si>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</si>
  <si>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</si>
  <si>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</si>
  <si>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</si>
  <si>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</si>
  <si>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</si>
  <si>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</si>
  <si>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</si>
  <si>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</si>
  <si>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</si>
  <si>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</si>
  <si>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</si>
  <si>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</si>
  <si>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</si>
  <si>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</si>
  <si>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</si>
  <si>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</si>
  <si>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</si>
  <si>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</si>
  <si>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</si>
  <si>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</si>
  <si>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</si>
  <si>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</si>
  <si>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</si>
  <si>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</si>
  <si>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</si>
  <si>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</si>
  <si>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</si>
  <si>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</si>
  <si>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</si>
  <si>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</si>
  <si>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</si>
  <si>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</si>
  <si>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</si>
  <si>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</si>
  <si>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</si>
  <si>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</si>
  <si>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</si>
  <si>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</si>
  <si>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</si>
  <si>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</si>
  <si>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</si>
  <si>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</si>
  <si>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</si>
  <si>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</si>
  <si>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</si>
  <si>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</si>
  <si>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</si>
  <si>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</si>
  <si>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</si>
  <si>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</si>
  <si>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</si>
  <si>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</si>
  <si>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</si>
  <si>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</si>
  <si>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</si>
  <si>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</si>
  <si>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</si>
  <si>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</si>
  <si>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</si>
  <si>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</si>
  <si>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</si>
  <si>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</si>
  <si>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</si>
  <si>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</si>
  <si>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</si>
  <si>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</si>
  <si>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</si>
  <si>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</si>
  <si>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</si>
  <si>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</si>
  <si>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</si>
  <si>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</si>
  <si>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</si>
  <si>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</si>
  <si>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</si>
  <si>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</si>
  <si>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</si>
  <si>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</si>
  <si>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</si>
  <si>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</si>
  <si>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</si>
  <si>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</si>
  <si>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</si>
  <si>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</si>
  <si>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</si>
  <si>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</si>
  <si>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</si>
  <si>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</si>
  <si>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</si>
  <si>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</si>
  <si>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</si>
  <si>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</si>
  <si>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</si>
  <si>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</si>
  <si>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</si>
  <si>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</si>
  <si>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</si>
  <si>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</si>
  <si>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</si>
  <si>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</si>
  <si>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</si>
  <si>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</si>
  <si>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</si>
  <si>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</si>
  <si>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</si>
  <si>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</si>
  <si>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</si>
  <si>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</si>
  <si>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</si>
  <si>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</si>
  <si>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</si>
  <si>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</si>
  <si>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</si>
  <si>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</si>
  <si>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</si>
  <si>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</si>
  <si>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</si>
  <si>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</si>
  <si>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</si>
  <si>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</si>
  <si>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</si>
  <si>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</si>
  <si>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</si>
  <si>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</si>
  <si>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</si>
  <si>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</si>
  <si>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</si>
  <si>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</si>
  <si>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</si>
  <si>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</si>
  <si>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</si>
  <si>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</si>
  <si>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</si>
  <si>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</si>
  <si>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</si>
  <si>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</si>
  <si>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</si>
  <si>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</si>
  <si>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</si>
  <si>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</si>
  <si>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</si>
  <si>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</si>
  <si>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</si>
  <si>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</si>
  <si>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</si>
  <si>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</si>
  <si>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</si>
  <si>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</si>
  <si>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</si>
  <si>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</si>
  <si>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</si>
  <si>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</si>
  <si>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</si>
  <si>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</si>
  <si>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</si>
  <si>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</si>
  <si>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</si>
  <si>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</si>
  <si>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</si>
  <si>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</si>
  <si>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</si>
  <si>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</si>
  <si>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</si>
  <si>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</si>
  <si>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</si>
  <si>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</si>
  <si>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</si>
  <si>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</si>
  <si>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</si>
  <si>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</si>
  <si>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</si>
  <si>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</si>
  <si>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</si>
  <si>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</si>
  <si>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</si>
  <si>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</si>
  <si>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</si>
  <si>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</si>
  <si>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</si>
  <si>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</si>
  <si>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</si>
  <si>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</si>
  <si>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</si>
  <si>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</si>
  <si>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</si>
  <si>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</si>
  <si>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</si>
  <si>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</si>
  <si>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</si>
  <si>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</si>
  <si>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</si>
  <si>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</si>
  <si>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</si>
  <si>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</si>
  <si>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</si>
  <si>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</si>
  <si>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</si>
  <si>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</si>
  <si>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</si>
  <si>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</si>
  <si>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</si>
  <si>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</si>
  <si>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</si>
  <si>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</si>
  <si>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</si>
  <si>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</si>
  <si>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</si>
  <si>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</si>
  <si>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</si>
  <si>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</si>
  <si>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</si>
  <si>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</si>
  <si>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</si>
  <si>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</si>
  <si>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</si>
  <si>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</si>
  <si>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</si>
  <si>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</si>
  <si>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</si>
  <si>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</si>
  <si>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</si>
  <si>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</si>
  <si>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</si>
  <si>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</si>
  <si>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</si>
  <si>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</si>
  <si>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</si>
  <si>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</si>
  <si>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</si>
  <si>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</si>
  <si>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</si>
  <si>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</si>
  <si>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</si>
  <si>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</si>
  <si>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</si>
  <si>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</si>
  <si>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</si>
  <si>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</si>
  <si>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</si>
  <si>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</si>
  <si>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</si>
  <si>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</si>
  <si>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</si>
  <si>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</si>
  <si>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</si>
  <si>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</si>
  <si>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</si>
  <si>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</si>
  <si>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</si>
  <si>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</si>
  <si>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</si>
  <si>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</si>
  <si>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</si>
  <si>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</si>
  <si>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</si>
  <si>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</si>
  <si>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</si>
  <si>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</si>
  <si>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</si>
  <si>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</si>
  <si>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</si>
  <si>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</si>
  <si>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</si>
  <si>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</si>
  <si>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</si>
  <si>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</si>
  <si>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</si>
  <si>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</si>
  <si>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</si>
  <si>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</si>
  <si>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</si>
  <si>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</si>
  <si>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</si>
  <si>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</si>
  <si>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</si>
  <si>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</si>
  <si>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</si>
  <si>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</si>
  <si>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</si>
  <si>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</si>
  <si>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</si>
  <si>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</si>
  <si>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</si>
  <si>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</si>
  <si>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</si>
  <si>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</si>
  <si>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</si>
  <si>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</si>
  <si>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</si>
  <si>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</si>
  <si>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</si>
  <si>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</si>
  <si>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</si>
  <si>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</si>
  <si>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</si>
  <si>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</si>
  <si>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</si>
  <si>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</si>
  <si>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</si>
  <si>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</si>
  <si>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</si>
  <si>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</si>
  <si>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</si>
  <si>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</si>
  <si>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</si>
  <si>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</si>
  <si>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</si>
  <si>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</si>
  <si>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</si>
  <si>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</si>
  <si>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</si>
  <si>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</si>
  <si>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</si>
  <si>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</si>
  <si>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</si>
  <si>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</si>
  <si>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</si>
  <si>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</si>
  <si>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</si>
  <si>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</si>
  <si>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</si>
  <si>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</si>
  <si>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</si>
  <si>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</si>
  <si>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</si>
  <si>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</si>
  <si>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</si>
  <si>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</si>
  <si>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</si>
  <si>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</si>
  <si>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</si>
  <si>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</si>
  <si>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</si>
  <si>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</si>
  <si>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</si>
  <si>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</si>
  <si>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</si>
  <si>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</si>
  <si>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</si>
  <si>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</si>
  <si>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</si>
  <si>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</si>
  <si>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</si>
  <si>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</si>
  <si>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</si>
  <si>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</si>
  <si>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</si>
  <si>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</si>
  <si>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</si>
  <si>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</si>
  <si>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</si>
  <si>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</si>
  <si>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</si>
  <si>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</si>
  <si>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</si>
  <si>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</si>
  <si>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</si>
  <si>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</si>
  <si>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</si>
  <si>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</si>
  <si>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</si>
  <si>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</si>
  <si>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</si>
  <si>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</si>
  <si>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</si>
  <si>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</si>
  <si>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</si>
  <si>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</si>
  <si>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</si>
  <si>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</si>
  <si>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</si>
  <si>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</si>
  <si>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</si>
  <si>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</si>
  <si>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</si>
  <si>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</si>
  <si>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</si>
  <si>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</si>
  <si>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</si>
  <si>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</si>
  <si>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</si>
  <si>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</si>
  <si>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</si>
  <si>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</si>
  <si>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</si>
  <si>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</si>
  <si>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</si>
  <si>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</si>
  <si>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</si>
  <si>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</si>
  <si>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</si>
  <si>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</si>
  <si>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</si>
  <si>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</si>
  <si>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</si>
  <si>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</si>
  <si>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</si>
  <si>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</si>
  <si>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</si>
  <si>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</si>
  <si>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</si>
  <si>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</si>
  <si>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</si>
  <si>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</si>
  <si>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</si>
  <si>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</si>
  <si>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</si>
  <si>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</si>
  <si>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</si>
  <si>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</si>
  <si>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</si>
  <si>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</si>
  <si>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</si>
  <si>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</si>
  <si>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</si>
  <si>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</si>
  <si>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</si>
  <si>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</si>
  <si>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</si>
  <si>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</si>
  <si>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</si>
  <si>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</si>
  <si>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</si>
  <si>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</si>
  <si>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</si>
  <si>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</si>
  <si>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</si>
  <si>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</si>
  <si>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</si>
  <si>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</si>
  <si>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</si>
  <si>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</si>
  <si>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</si>
  <si>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</si>
  <si>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</si>
  <si>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</si>
  <si>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</si>
  <si>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</si>
  <si>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</si>
  <si>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</si>
  <si>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</si>
  <si>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</si>
  <si>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</si>
  <si>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</si>
  <si>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</si>
  <si>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</si>
  <si>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</si>
  <si>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</si>
  <si>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</si>
  <si>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</si>
  <si>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</si>
  <si>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</si>
  <si>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</si>
  <si>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</si>
  <si>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</si>
  <si>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</si>
  <si>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</si>
  <si>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</si>
  <si>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</si>
  <si>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</si>
  <si>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</si>
  <si>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</si>
  <si>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</si>
  <si>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</si>
  <si>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</si>
  <si>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</si>
  <si>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</si>
  <si>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</si>
  <si>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</si>
  <si>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</si>
  <si>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</si>
  <si>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</si>
  <si>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</si>
  <si>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</si>
  <si>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</si>
  <si>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</si>
  <si>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</si>
  <si>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</si>
  <si>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</si>
  <si>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</si>
  <si>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</si>
  <si>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</si>
  <si>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</si>
  <si>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</si>
  <si>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</si>
  <si>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</si>
  <si>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</si>
  <si>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</si>
  <si>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</si>
  <si>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</si>
  <si>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</si>
  <si>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</si>
  <si>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</si>
  <si>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</si>
  <si>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</si>
  <si>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</si>
  <si>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</si>
  <si>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</si>
  <si>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</si>
  <si>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</si>
  <si>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</si>
  <si>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</si>
  <si>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</si>
  <si>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</si>
  <si>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</si>
  <si>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</si>
  <si>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</si>
  <si>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</si>
  <si>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</si>
  <si>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</si>
  <si>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</si>
  <si>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</si>
  <si>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</si>
  <si>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</si>
  <si>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</si>
  <si>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</si>
  <si>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</si>
  <si>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</si>
  <si>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</si>
  <si>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</si>
  <si>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</si>
  <si>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</si>
  <si>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</si>
  <si>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</si>
  <si>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</si>
  <si>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</si>
  <si>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</si>
  <si>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</si>
  <si>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</si>
  <si>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</si>
  <si>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</si>
  <si>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</si>
  <si>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</si>
  <si>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</si>
  <si>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</si>
  <si>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</si>
  <si>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</si>
  <si>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</si>
  <si>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</si>
  <si>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</si>
  <si>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</si>
  <si>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</si>
  <si>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</si>
  <si>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</si>
  <si>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</si>
  <si>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</si>
  <si>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</si>
  <si>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</si>
  <si>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</si>
  <si>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</si>
  <si>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</si>
  <si>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</si>
  <si>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</si>
  <si>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</si>
  <si>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</si>
  <si>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</si>
  <si>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</si>
  <si>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</si>
  <si>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</si>
  <si>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</si>
  <si>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</si>
  <si>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</si>
  <si>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</si>
  <si>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</si>
  <si>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</si>
  <si>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</si>
  <si>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</si>
  <si>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</si>
  <si>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</si>
  <si>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</si>
  <si>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</si>
  <si>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</si>
  <si>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</si>
  <si>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</si>
  <si>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</si>
  <si>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</si>
  <si>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</si>
  <si>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</si>
  <si>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</si>
  <si>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</si>
  <si>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</si>
  <si>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</si>
  <si>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</si>
  <si>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</si>
  <si>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</si>
  <si>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</si>
  <si>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</si>
  <si>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</si>
  <si>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</si>
  <si>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</si>
  <si>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</si>
  <si>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</si>
  <si>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</si>
  <si>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</si>
  <si>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</si>
  <si>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</si>
  <si>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</si>
  <si>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</si>
  <si>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</si>
  <si>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</si>
  <si>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</si>
  <si>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</si>
  <si>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</si>
  <si>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t>中指数据</t>
  </si>
  <si>
    <t>正常</t>
  </si>
  <si>
    <t>20-25</t>
  </si>
  <si>
    <t>40-45</t>
  </si>
  <si>
    <t>35-40</t>
  </si>
  <si>
    <r>
      <rPr>
        <sz val="11"/>
        <color indexed="8"/>
        <rFont val="宋体"/>
        <charset val="134"/>
      </rPr>
      <t>办公集聚程度</t>
    </r>
  </si>
  <si>
    <t>较好</t>
  </si>
  <si>
    <t>好</t>
  </si>
  <si>
    <r>
      <rPr>
        <sz val="11"/>
        <color indexed="8"/>
        <rFont val="宋体"/>
        <charset val="134"/>
      </rPr>
      <t>环境质量</t>
    </r>
  </si>
  <si>
    <r>
      <rPr>
        <sz val="11"/>
        <color indexed="8"/>
        <rFont val="宋体"/>
        <charset val="134"/>
      </rPr>
      <t>毗邻道路的类型与等级</t>
    </r>
  </si>
  <si>
    <t>中区</t>
  </si>
  <si>
    <t>高区</t>
  </si>
  <si>
    <t>综合办公楼</t>
  </si>
  <si>
    <t>标准写字楼</t>
  </si>
  <si>
    <t>混合</t>
  </si>
  <si>
    <t>钢混</t>
  </si>
  <si>
    <r>
      <rPr>
        <sz val="11"/>
        <color indexed="8"/>
        <rFont val="宋体"/>
        <charset val="134"/>
      </rPr>
      <t>写字楼等级</t>
    </r>
  </si>
  <si>
    <t>普通</t>
  </si>
  <si>
    <t>专业</t>
  </si>
  <si>
    <t>标准</t>
  </si>
  <si>
    <r>
      <rPr>
        <sz val="11"/>
        <rFont val="宋体"/>
        <charset val="134"/>
      </rPr>
      <t>单套建筑面积</t>
    </r>
  </si>
  <si>
    <t>普装</t>
  </si>
  <si>
    <t>毛坯</t>
  </si>
  <si>
    <t>一般</t>
  </si>
  <si>
    <t>25-30</t>
  </si>
  <si>
    <t>30-35</t>
  </si>
  <si>
    <t>45-50</t>
  </si>
  <si>
    <t>低区</t>
  </si>
  <si>
    <t>甲级</t>
  </si>
  <si>
    <r>
      <rPr>
        <sz val="11"/>
        <rFont val="宋体"/>
        <charset val="134"/>
      </rPr>
      <t>层高</t>
    </r>
  </si>
  <si>
    <t>超高</t>
  </si>
  <si>
    <t>精装</t>
  </si>
  <si>
    <t>简装</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</si>
  <si>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</si>
  <si>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</si>
  <si>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</si>
  <si>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</si>
  <si>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</si>
  <si>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</si>
  <si>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</si>
  <si>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</si>
  <si>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</si>
  <si>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</si>
  <si>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</si>
  <si>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</si>
  <si>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</si>
  <si>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</si>
  <si>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</si>
  <si>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</si>
  <si>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</si>
  <si>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</si>
  <si>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</si>
  <si>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</si>
  <si>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</si>
  <si>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</si>
  <si>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</si>
  <si>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</si>
  <si>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</si>
  <si>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</si>
  <si>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</si>
  <si>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</si>
  <si>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</si>
  <si>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</si>
  <si>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</si>
  <si>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</si>
  <si>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</si>
  <si>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</si>
  <si>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</si>
  <si>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</si>
  <si>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</si>
  <si>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</si>
  <si>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</si>
  <si>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</si>
  <si>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</si>
  <si>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</si>
  <si>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</si>
  <si>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</si>
  <si>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</si>
  <si>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</si>
  <si>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</si>
  <si>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</si>
  <si>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</si>
  <si>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</si>
  <si>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</si>
  <si>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</si>
  <si>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</si>
  <si>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</si>
  <si>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</si>
  <si>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</si>
  <si>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</si>
  <si>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</si>
  <si>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</si>
  <si>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</si>
  <si>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</si>
  <si>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</si>
  <si>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</si>
  <si>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</si>
  <si>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</si>
  <si>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</si>
  <si>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</si>
  <si>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</si>
  <si>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</si>
  <si>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</si>
  <si>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</si>
  <si>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</si>
  <si>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</si>
  <si>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</si>
  <si>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</si>
  <si>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</si>
  <si>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</si>
  <si>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</si>
  <si>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</si>
  <si>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</si>
  <si>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</si>
  <si>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</si>
  <si>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</si>
  <si>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</si>
  <si>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</si>
  <si>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</si>
  <si>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</si>
  <si>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</si>
  <si>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</si>
  <si>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</si>
  <si>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</si>
  <si>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</si>
  <si>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</si>
  <si>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</si>
  <si>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</si>
  <si>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</si>
  <si>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</si>
  <si>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</si>
  <si>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</si>
  <si>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</si>
  <si>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</si>
  <si>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</si>
  <si>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</si>
  <si>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</si>
  <si>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</si>
  <si>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</si>
  <si>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</si>
  <si>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</si>
  <si>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</si>
  <si>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</si>
  <si>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</si>
  <si>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</si>
  <si>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</si>
  <si>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</si>
  <si>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</si>
  <si>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</si>
  <si>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</si>
  <si>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</si>
  <si>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</si>
  <si>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</si>
  <si>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</si>
  <si>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</si>
  <si>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</si>
  <si>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</si>
  <si>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</si>
  <si>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</si>
  <si>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</si>
  <si>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</si>
  <si>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</si>
  <si>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</si>
  <si>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</si>
  <si>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</si>
  <si>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</si>
  <si>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</si>
  <si>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</si>
  <si>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</si>
  <si>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</si>
  <si>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</si>
  <si>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</si>
  <si>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</si>
  <si>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</si>
  <si>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</si>
  <si>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</si>
  <si>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</si>
  <si>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</si>
  <si>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</si>
  <si>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</si>
  <si>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</si>
  <si>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</si>
  <si>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</si>
  <si>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</si>
  <si>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</si>
  <si>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</si>
  <si>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</si>
  <si>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</si>
  <si>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</si>
  <si>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</si>
  <si>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</si>
  <si>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</si>
  <si>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</si>
  <si>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</si>
  <si>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</si>
  <si>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</si>
  <si>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</si>
  <si>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</si>
  <si>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</si>
  <si>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</si>
  <si>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</si>
  <si>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</si>
  <si>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</si>
  <si>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</si>
  <si>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</si>
  <si>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</si>
  <si>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</si>
  <si>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</si>
  <si>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</si>
  <si>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</si>
  <si>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</si>
  <si>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</si>
  <si>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</si>
  <si>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</si>
  <si>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</si>
  <si>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</si>
  <si>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</si>
  <si>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</si>
  <si>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</si>
  <si>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</si>
  <si>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</si>
  <si>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</si>
  <si>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</si>
  <si>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</si>
  <si>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</si>
  <si>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</si>
  <si>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</si>
  <si>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</si>
  <si>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</si>
  <si>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</si>
  <si>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</si>
  <si>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</si>
  <si>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</si>
  <si>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</si>
  <si>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</si>
  <si>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</si>
  <si>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</si>
  <si>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</si>
  <si>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</si>
  <si>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</si>
  <si>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</si>
  <si>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</si>
  <si>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</si>
  <si>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</si>
  <si>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</si>
  <si>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</si>
  <si>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</si>
  <si>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</si>
  <si>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</si>
  <si>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</si>
  <si>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</si>
  <si>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</si>
  <si>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</si>
  <si>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</si>
  <si>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</si>
  <si>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</si>
  <si>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</si>
  <si>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</si>
  <si>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</si>
  <si>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</si>
  <si>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</si>
  <si>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</si>
  <si>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</si>
  <si>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</si>
  <si>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</si>
  <si>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</si>
  <si>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</si>
  <si>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</si>
  <si>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</si>
  <si>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</si>
  <si>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</si>
  <si>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</si>
  <si>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</si>
  <si>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</si>
  <si>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</si>
  <si>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</si>
  <si>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</si>
  <si>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</si>
  <si>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</si>
  <si>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</si>
  <si>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</si>
  <si>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</si>
  <si>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</si>
  <si>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</si>
  <si>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</si>
  <si>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</si>
  <si>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</si>
  <si>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</si>
  <si>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</si>
  <si>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</si>
  <si>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</si>
  <si>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</si>
  <si>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</si>
  <si>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</si>
  <si>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</si>
  <si>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</si>
  <si>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</si>
  <si>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</si>
  <si>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</si>
  <si>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</si>
  <si>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</si>
  <si>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</si>
  <si>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</si>
  <si>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</si>
  <si>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</si>
  <si>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</si>
  <si>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</si>
  <si>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</si>
  <si>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</si>
  <si>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</si>
  <si>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</si>
  <si>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</si>
  <si>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</si>
  <si>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</si>
  <si>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</si>
  <si>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</si>
  <si>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</si>
  <si>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</si>
  <si>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</si>
  <si>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</si>
  <si>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</si>
  <si>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</si>
  <si>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</si>
  <si>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</si>
  <si>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</si>
  <si>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</si>
  <si>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</si>
  <si>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</si>
  <si>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</si>
  <si>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</si>
  <si>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</si>
  <si>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</si>
  <si>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</si>
  <si>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</si>
  <si>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</si>
  <si>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用地性质</t>
  </si>
  <si>
    <t>建设用地面积(㎡)</t>
  </si>
  <si>
    <t>规划建筑面积(㎡)</t>
  </si>
  <si>
    <t>容积率</t>
  </si>
  <si>
    <t>出让方式</t>
  </si>
  <si>
    <t>详细规划</t>
  </si>
  <si>
    <t>成交日期</t>
  </si>
  <si>
    <t>成交状态</t>
  </si>
  <si>
    <t>受让单位</t>
  </si>
  <si>
    <t>成交价(万元)</t>
  </si>
  <si>
    <t>成交每亩价(万元/亩)</t>
  </si>
  <si>
    <t>成交楼面价(元/㎡)</t>
  </si>
  <si>
    <t>溢价率(%)</t>
  </si>
  <si>
    <t>出让年限(年)</t>
  </si>
  <si>
    <t>北京市丰台区丽泽金融商务区D-01地块B4综合性商业金融服务业用地</t>
  </si>
  <si>
    <t>京土储挂(丰)[2022]043号</t>
  </si>
  <si>
    <t xml:space="preserve"> 商业/办公用地</t>
  </si>
  <si>
    <t xml:space="preserve"> ≤6.33</t>
  </si>
  <si>
    <t xml:space="preserve"> 挂牌</t>
  </si>
  <si>
    <t xml:space="preserve"> B4综合性商业金融服务业用地</t>
  </si>
  <si>
    <t xml:space="preserve"> 已成交</t>
  </si>
  <si>
    <t xml:space="preserve"> 北京福榕置业有限公司  </t>
  </si>
  <si>
    <t xml:space="preserve"> 商业40年办公50年</t>
  </si>
  <si>
    <t>北京市丰台区丽泽金融商务区南区F-22、F-23地块F3其他类多功能用地</t>
  </si>
  <si>
    <t>京土整储招(丰)[2018]014号</t>
  </si>
  <si>
    <t xml:space="preserve"> 招标</t>
  </si>
  <si>
    <t xml:space="preserve"> F3其他类多功能用地</t>
  </si>
  <si>
    <t xml:space="preserve"> 中证机构间报价系统股份有限公司 、中国银河证券股份有限公司联合体  </t>
  </si>
  <si>
    <t xml:space="preserve"> 商业40年、办公50年</t>
  </si>
  <si>
    <t>北京市丰台区丽泽金融商务区南区D-02地块B4综合性商业金融服务业用地</t>
  </si>
  <si>
    <t>京土整储挂(丰)[2017]085号</t>
  </si>
  <si>
    <t xml:space="preserve"> 华夏人寿保险股份有限公司北京分公司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</si>
  <si>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</si>
  <si>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</si>
  <si>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</si>
  <si>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丰台区花乡四合庄(中关村科技园丰台园东区三期)1516-28-B地块</t>
  </si>
  <si>
    <t>京土整储挂(丰)[2015]038号</t>
  </si>
  <si>
    <t xml:space="preserve"> 宁波方兴投资咨询有限公司 、碧桂园(北京)投资有限公司联合体  </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</si>
  <si>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</si>
  <si>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</si>
  <si>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</si>
  <si>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</si>
  <si>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</si>
  <si>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丰台区花乡四合庄(中关村科技园丰台园东区三期)1516-12-A地块</t>
  </si>
  <si>
    <t>京土整储挂(丰)[2015]025号</t>
  </si>
  <si>
    <t xml:space="preserve"> 北京金丰融晟投资管理有限公司  </t>
  </si>
  <si>
    <t xml:space="preserve"> 商业40年、综合50年</t>
  </si>
  <si>
    <t>丰台区丽泽路E-01、E-05、E-06地块</t>
  </si>
  <si>
    <t>京土整储挂(丰)[2015]015号</t>
  </si>
  <si>
    <t xml:space="preserve"> C2商业金融用地</t>
  </si>
  <si>
    <t xml:space="preserve"> 深圳市平轩投资管理有限公司  </t>
  </si>
  <si>
    <t>丰台区花乡四合庄(中关村科技园丰台园东区三期)1516-21地块</t>
  </si>
  <si>
    <t>京土整储招(丰)[2015]011号</t>
  </si>
  <si>
    <t xml:space="preserve"> 大连万达商业地产股份有限公司  </t>
  </si>
  <si>
    <t>丰台区丽泽金融商务区D-10地块F3其他类多功能用地</t>
  </si>
  <si>
    <t>京土整储挂(丰)[2014]089号</t>
  </si>
  <si>
    <t xml:space="preserve"> 北京金鹏天润置业投资管理公司 、北京金锐翔铖投资有限公司 、北京市菜户营科工贸集团 、北京马连道投资管理公司 、凤凰利华(北京)投资基金管理有限公司联合体  </t>
  </si>
  <si>
    <t>丰台区樊家村危改项目3号地零售商业用地</t>
  </si>
  <si>
    <t>京土整储挂(丰)[2014]081号</t>
  </si>
  <si>
    <t xml:space="preserve"> B11零售商业用地</t>
  </si>
  <si>
    <t xml:space="preserve"> 北京龙湖中佰置业有限公司 、北京泰瑞恒尚投资有限公司联合体  </t>
  </si>
  <si>
    <t>丰台科技园东区三期1516-43号地块C2商业金融用地</t>
  </si>
  <si>
    <t>京土整储挂(丰)[2014]069号</t>
  </si>
  <si>
    <t xml:space="preserve"> 东旭光电科技股份有限公司  </t>
  </si>
  <si>
    <t>丰台区科技园区东区三期1516-62、63、64、65号地其它类多功能用地</t>
  </si>
  <si>
    <t>京土整储挂(丰)[2014]064号</t>
  </si>
  <si>
    <t xml:space="preserve"> F3其它类多功能用地</t>
  </si>
  <si>
    <t xml:space="preserve"> 北京诺城置业有限公司  </t>
  </si>
  <si>
    <t>丰台区丽泽金融商务区D-12地块C3文化娱乐用地</t>
  </si>
  <si>
    <t>京土整储挂(丰)[2014]059号</t>
  </si>
  <si>
    <t xml:space="preserve"> C3文化娱乐用地</t>
  </si>
  <si>
    <t xml:space="preserve"> 北京市天创房地产开发有限公司  </t>
  </si>
  <si>
    <t>北京市石景山区中关村科技园石景山园北Ⅱ区西井地块土地一级开发项目1606-605地块B23研发设计用地</t>
  </si>
  <si>
    <t>京土储挂(石)[2022]070号</t>
  </si>
  <si>
    <t xml:space="preserve"> B23研发设计用地</t>
  </si>
  <si>
    <t xml:space="preserve"> 北京中关村工业互联网产业发展有限公司  </t>
  </si>
  <si>
    <t xml:space="preserve"> 50年</t>
  </si>
  <si>
    <t>北京市石景山区首钢园区东南区土地一级开发项目1612-774地块B4综合性商业金融服务业用地</t>
  </si>
  <si>
    <t>京土整储挂(石)[2021] 079号</t>
  </si>
  <si>
    <t xml:space="preserve"> 北京首鹰置业有限公司  </t>
  </si>
  <si>
    <t xml:space="preserve"> 商业40年,办公50年</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</si>
  <si>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</si>
  <si>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</si>
  <si>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</si>
  <si>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</si>
  <si>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</si>
  <si>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</si>
  <si>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</si>
  <si>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</si>
  <si>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</si>
  <si>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</si>
  <si>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</si>
  <si>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</si>
  <si>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</si>
  <si>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</si>
  <si>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</si>
  <si>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</si>
  <si>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t>
  </si>
  <si>
    <t>北京市石景山区中关村科技园区石景山园北I区1605-651地块B23研发设计用地</t>
  </si>
  <si>
    <t>京土整储挂(石)[2017]099号</t>
  </si>
  <si>
    <t xml:space="preserve"> 北京京石科园置业发展有限公司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</si>
  <si>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</si>
  <si>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</si>
  <si>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</si>
  <si>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</si>
  <si>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</si>
  <si>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</si>
  <si>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</si>
  <si>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</si>
  <si>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石景山区苹果园交通枢纽M、N地块</t>
  </si>
  <si>
    <t>京土整储挂(石)[2015]061号</t>
  </si>
  <si>
    <t xml:space="preserve"> 北京市华远置业有限公司 、北京上同致远房地产开发有限公司联合体  </t>
  </si>
  <si>
    <t>石景山区实兴大街(中关村科技园区石景山园北Ⅰ区)1605-648地块</t>
  </si>
  <si>
    <t>京土整储挂(石)[2015]043号</t>
  </si>
  <si>
    <t>石景山区香山南路28号C2商业金融用地</t>
  </si>
  <si>
    <t>京土整储挂(石)[2014]052号</t>
  </si>
  <si>
    <t xml:space="preserve"> 启迪控股股份有限公司  </t>
  </si>
  <si>
    <t>北京市国际雕塑园地下文化娱乐中心项目用地</t>
  </si>
  <si>
    <t>京土整储挂(石)[2013]080号</t>
  </si>
  <si>
    <t xml:space="preserve"> 文化娱乐用地(地下)</t>
  </si>
  <si>
    <t xml:space="preserve"> 北京物美置地房地产开发有限公司  </t>
  </si>
  <si>
    <t>石景山区银河商务区K地块C2商业金融用地</t>
  </si>
  <si>
    <t>京土整储招(石)[2013]051号</t>
  </si>
  <si>
    <t xml:space="preserve"> 福州泰禾房地产开发有限公司 、北京华澜恒泰房地产开发有限公司联合体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</si>
  <si>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</si>
  <si>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</si>
  <si>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</si>
  <si>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</si>
  <si>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</si>
  <si>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</si>
  <si>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</si>
  <si>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</si>
  <si>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北京市朝阳区奥林匹克公园中心区B23等地块B4综合性商业金融服务业用地、F3其他类多功能用地</t>
  </si>
  <si>
    <t>京土整储挂(朝)[2018]026号</t>
  </si>
  <si>
    <t xml:space="preserve"> 北京北辰实业集团有限责任公司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</si>
  <si>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</si>
  <si>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</si>
  <si>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</si>
  <si>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</si>
  <si>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</si>
  <si>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天津金地华府置业有限公司  </t>
  </si>
  <si>
    <t xml:space="preserve"> 商业40年 办公50年</t>
  </si>
  <si>
    <t>朝阳区金盏乡楼梓庄村1113-603地块</t>
  </si>
  <si>
    <t>京土整储挂(朝)[2017]006号</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</si>
  <si>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</si>
  <si>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</si>
  <si>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</si>
  <si>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</si>
  <si>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</si>
  <si>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</si>
  <si>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</si>
  <si>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</si>
  <si>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</si>
  <si>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</si>
  <si>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</si>
  <si>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</si>
  <si>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</si>
  <si>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</si>
  <si>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朝阳区西大望路多功能用地(原北京化工实验厂)B地块</t>
  </si>
  <si>
    <t>京土整储招(朝)[2010]079号</t>
  </si>
  <si>
    <t xml:space="preserve"> 中国葛洲坝集团公司  </t>
  </si>
  <si>
    <t xml:space="preserve"> 商业40年综合50年</t>
  </si>
  <si>
    <t>朝阳区广渠东路唐家村商业金融用地</t>
  </si>
  <si>
    <t>京土整储挂(朝)[2006]029号</t>
  </si>
  <si>
    <t xml:space="preserve"> 商用</t>
  </si>
  <si>
    <t xml:space="preserve"> 北京金泰恒业有限责任公司  </t>
  </si>
  <si>
    <t xml:space="preserve"> 商业40年</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</si>
  <si>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</si>
  <si>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</si>
  <si>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</si>
  <si>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</si>
  <si>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</si>
  <si>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</si>
  <si>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</si>
  <si>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</si>
  <si>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</si>
  <si>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</si>
  <si>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</si>
  <si>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</si>
  <si>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 xml:space="preserve"> --</t>
  </si>
  <si>
    <t>集中供地</t>
  </si>
  <si>
    <t>成交特殊政策</t>
  </si>
  <si>
    <t>北京市石景山区苹果园交通枢纽商务区土地一级开发项目1604-631-2、1604-634地块R2二类居住用地、A334托幼用地</t>
  </si>
  <si>
    <t>京土储挂(石)[2022]074号</t>
  </si>
  <si>
    <t xml:space="preserve"> 综合用地(含住宅)</t>
  </si>
  <si>
    <t xml:space="preserve"> r2:2.96,a33:0.8</t>
  </si>
  <si>
    <t xml:space="preserve"> R2 二类居住用地、A334 托幼用地</t>
  </si>
  <si>
    <t xml:space="preserve">2022年第5批次 </t>
  </si>
  <si>
    <t xml:space="preserve"> 限地价,限房价,现房销售</t>
  </si>
  <si>
    <t xml:space="preserve"> 青岛康景实业有限公司  </t>
  </si>
  <si>
    <t xml:space="preserve"> 居住70年,教育50年</t>
  </si>
  <si>
    <t>北京市石景山区五里坨土地一级开发项目1602-648、1602-650地块R2二类居住用地、F3其他类多功能用地</t>
  </si>
  <si>
    <t>京土储挂(石)[2022]051号</t>
  </si>
  <si>
    <t xml:space="preserve"> R2二类居住用地、F3其他类多功能用地</t>
  </si>
  <si>
    <t xml:space="preserve">2022年第3批次 </t>
  </si>
  <si>
    <t xml:space="preserve"> 限地价</t>
  </si>
  <si>
    <t xml:space="preserve"> 重庆中交丽景置业有限公司  </t>
  </si>
  <si>
    <t xml:space="preserve"> 住宅70年,办公40年</t>
  </si>
  <si>
    <t>北京市朝阳区崔各庄乡奶西村棚户区改造土地开发项目29-319、320地块R2二类居住用地、A334托幼用地</t>
  </si>
  <si>
    <t>京土储挂(朝)[2022]025号</t>
  </si>
  <si>
    <t xml:space="preserve"> 29-319容积率0.8,29-320容积率2.22</t>
  </si>
  <si>
    <t xml:space="preserve"> R2二类居住用地、A334托幼用地</t>
  </si>
  <si>
    <t xml:space="preserve">2022年第2批次 </t>
  </si>
  <si>
    <t xml:space="preserve"> 限房价,限地价</t>
  </si>
  <si>
    <t xml:space="preserve"> 北京首都开发股份有限公司  </t>
  </si>
  <si>
    <t xml:space="preserve"> 居住70年教育50年</t>
  </si>
  <si>
    <t>北京市石景山区衙门口棚户区改造土地开发项目1616-670地块F1住宅混合公建用地</t>
  </si>
  <si>
    <t>京土储挂(石)[2022]031号</t>
  </si>
  <si>
    <t xml:space="preserve"> ≤2.5</t>
  </si>
  <si>
    <t xml:space="preserve"> F1住宅混合公建用地</t>
  </si>
  <si>
    <t xml:space="preserve"> 限房价,限地价,90/70</t>
  </si>
  <si>
    <t xml:space="preserve"> 北京安泰兴业置业有限公司 、北京石泰集团有限公司  </t>
  </si>
  <si>
    <t xml:space="preserve"> 居住70年教育50年办公40年</t>
  </si>
  <si>
    <t>北京市朝阳区崔各庄乡黑桥村、南皋村棚户区改造土地开发项目30-L03-01地块R2二类居住用地等(配建“保障性租赁住房”)</t>
  </si>
  <si>
    <t>京土储挂(朝)[2022]001号</t>
  </si>
  <si>
    <t xml:space="preserve"> 30-l03-01 地块容积率2.5,30-l03-03地块容积率1.2,30-l03-04地块容积率0.8,30-l03-05地块容积率0.7</t>
  </si>
  <si>
    <t xml:space="preserve"> R2二类居住用地、A62社区养老设施用地、A334基础教育用地、U12供电用地</t>
  </si>
  <si>
    <t xml:space="preserve">2022年第1批次 </t>
  </si>
  <si>
    <t xml:space="preserve"> 限房价,限地价,90/70,现房销售</t>
  </si>
  <si>
    <t xml:space="preserve"> 长春创诚房地产开发有限公司  </t>
  </si>
  <si>
    <t xml:space="preserve"> 居住70年、教育50年,服务设施用地50年</t>
  </si>
  <si>
    <t>北京市石景山区刘娘府综合改造土地一级开发项目1604-654-1、654-2、696、728-1地块R2二类居住用地、B4综合性商业金融服务业用地、A334基础教育用地</t>
  </si>
  <si>
    <t>京土储挂(石)[2022]007号</t>
  </si>
  <si>
    <t xml:space="preserve"> 1604-654-1地块容积率1.3,1604-654-2地块容积率1.1,1604-696地块容积率2.6,1604-728-1地块容积率0.9</t>
  </si>
  <si>
    <t xml:space="preserve"> R2二类居住用地、B4综合性商业金融服务业用地、A334基础教育用地</t>
  </si>
  <si>
    <t xml:space="preserve"> 居住70年、教育50年,商业40年</t>
  </si>
  <si>
    <t>北京市朝阳区劲松街道0408-646地块F2公建混合住宅用地</t>
  </si>
  <si>
    <t>京土整储挂(朝)[2021]093号</t>
  </si>
  <si>
    <t xml:space="preserve"> F2公建混合住宅用地</t>
  </si>
  <si>
    <t xml:space="preserve">2021年第3批次 </t>
  </si>
  <si>
    <t xml:space="preserve"> 中国葛洲坝集团房地产开发有限公司  </t>
  </si>
  <si>
    <t xml:space="preserve"> 居住70年,商业40年,办公50年</t>
  </si>
  <si>
    <t>北京市朝阳区崔各庄乡黑桥村、南皋村棚户区改造项目30-L06地块F1住宅混合公建用地</t>
  </si>
  <si>
    <t>京土整储挂(朝)[2021]009号</t>
  </si>
  <si>
    <t xml:space="preserve"> ≤3.0</t>
  </si>
  <si>
    <t xml:space="preserve">2021年第1批次 </t>
  </si>
  <si>
    <t xml:space="preserve"> 限地价,报高标准商品住宅建设方案,90/70</t>
  </si>
  <si>
    <t xml:space="preserve"> 北京兆悦房地产开发有限公司  </t>
  </si>
  <si>
    <t xml:space="preserve"> 居住70年、商业40年、办公50年</t>
  </si>
  <si>
    <t>北京市朝阳区豆各庄乡孙家坡村1306-638地块F1住宅混合公建用地</t>
  </si>
  <si>
    <t>京土整储挂(朝)[2021]011号</t>
  </si>
  <si>
    <t xml:space="preserve"> ≤2.8</t>
  </si>
  <si>
    <t xml:space="preserve"> 北京宁诚置业有限公司  </t>
  </si>
  <si>
    <t>北京市朝阳区王四营乡土地一级开发项目一期1304-L02、L05地块R2二类居住用地、A334托幼用地</t>
  </si>
  <si>
    <t>京土整储挂(朝)[2021]005号</t>
  </si>
  <si>
    <t xml:space="preserve"> r2≤2.5;a334≤0.8</t>
  </si>
  <si>
    <t xml:space="preserve"> 限地价,竞配建,报高标准商品住宅建设方案,90/70</t>
  </si>
  <si>
    <t xml:space="preserve"> 北京顺义新城建设开发有限公司  </t>
  </si>
  <si>
    <t>北京市石景山区衙门口棚户区改造土地开发项目1615-708地块二类居住用地、1612-734地块基础教育用地</t>
  </si>
  <si>
    <t>京土整储挂(石)[2021]016号</t>
  </si>
  <si>
    <t xml:space="preserve"> ≤2.7</t>
  </si>
  <si>
    <t xml:space="preserve"> 二类居住用地、基础教育用地</t>
  </si>
  <si>
    <t xml:space="preserve"> 限地价,限房价,90/70</t>
  </si>
  <si>
    <t xml:space="preserve"> 北京西斯马管理咨询有限公司 、北京石泰鸿业置业有限公司  </t>
  </si>
  <si>
    <t>北京市石景山区刘娘府综合改造A2地块土地一级开发项目1604-663、1604-667地块二类居住用地、1604-676、1604-678地块综合性商业金融服务业用地、1604-666地块基础教育用地</t>
  </si>
  <si>
    <t>京土整储挂(石)[2020]050号</t>
  </si>
  <si>
    <t xml:space="preserve"> ≤1.54</t>
  </si>
  <si>
    <t xml:space="preserve"> 二类居住用地、综合性商业金融服务业用地、基础教育用地</t>
  </si>
  <si>
    <t xml:space="preserve">-- </t>
  </si>
  <si>
    <t xml:space="preserve"> 北京远景中安置业有限公司  </t>
  </si>
  <si>
    <t>北京市石景山区北辛安棚户区改造B区土地开发项目1608-658地块其他类多功能用地、1608-673-B地块二类居住用地、1608-676地块托幼用地</t>
  </si>
  <si>
    <t>京土整储挂(石)[2020]035号</t>
  </si>
  <si>
    <t xml:space="preserve"> r2≤2.8,多功能≤4.9,幼托≤0.8</t>
  </si>
  <si>
    <t xml:space="preserve"> 二类居住用地、其他类多功能用地</t>
  </si>
  <si>
    <t xml:space="preserve"> 北京鑫安兴业房地产开发有限公司  </t>
  </si>
  <si>
    <t>北京市朝阳区东坝乡东风村1104-613地块R2二类居住用地、1104-614地块A33基础教育用地</t>
  </si>
  <si>
    <t>京土整储挂(朝)[2020]015号</t>
  </si>
  <si>
    <t xml:space="preserve"> r2≤2.8,a33≤0.8</t>
  </si>
  <si>
    <t xml:space="preserve"> R2二类居住用地、A33基础教育用地</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</si>
  <si>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</si>
  <si>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</si>
  <si>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</si>
  <si>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r2≤1.5,a33≤0.8,a22、a8≤1</t>
  </si>
  <si>
    <t xml:space="preserve"> R2二类居住用地、A33基础教育用地、A22文化活动用地、A8社区综合服务设施用地</t>
  </si>
  <si>
    <t xml:space="preserve"> 北京中海地产有限公司 、北京首都开发股份有限公司联合体  </t>
  </si>
  <si>
    <r>
      <rPr>
        <b/>
        <sz val="11"/>
        <rFont val="宋体"/>
        <charset val="134"/>
        <scheme val="minor"/>
      </rPr>
      <t>2022年上海大宗交易</t>
    </r>
  </si>
  <si>
    <t>序号</t>
  </si>
  <si>
    <t>项目</t>
  </si>
  <si>
    <t>城市</t>
  </si>
  <si>
    <t>行政区</t>
  </si>
  <si>
    <t>物业类型</t>
  </si>
  <si>
    <t>计价面积（平方米）</t>
  </si>
  <si>
    <t>季度</t>
  </si>
  <si>
    <t>年份</t>
  </si>
  <si>
    <t>卖方</t>
  </si>
  <si>
    <t>买房</t>
  </si>
  <si>
    <t>总价（百万元）</t>
  </si>
  <si>
    <t>单价（元/平方米）</t>
  </si>
  <si>
    <t>交易方式</t>
  </si>
  <si>
    <r>
      <rPr>
        <sz val="8"/>
        <rFont val="宋体"/>
        <charset val="134"/>
        <scheme val="minor"/>
      </rPr>
      <t>6号楼1层118、2层213、3层344、4层440号</t>
    </r>
  </si>
  <si>
    <r>
      <rPr>
        <sz val="8"/>
        <rFont val="宋体"/>
        <charset val="134"/>
        <scheme val="minor"/>
      </rPr>
      <t>北京</t>
    </r>
  </si>
  <si>
    <r>
      <rPr>
        <sz val="8"/>
        <rFont val="宋体"/>
        <charset val="134"/>
        <scheme val="minor"/>
      </rPr>
      <t>海淀区</t>
    </r>
  </si>
  <si>
    <r>
      <rPr>
        <sz val="8"/>
        <rFont val="宋体"/>
        <charset val="134"/>
        <scheme val="minor"/>
      </rPr>
      <t>办公</t>
    </r>
  </si>
  <si>
    <r>
      <rPr>
        <sz val="8"/>
        <rFont val="宋体"/>
        <charset val="134"/>
        <scheme val="minor"/>
      </rPr>
      <t>Q1</t>
    </r>
  </si>
  <si>
    <r>
      <rPr>
        <sz val="8"/>
        <rFont val="宋体"/>
        <charset val="134"/>
        <scheme val="minor"/>
      </rPr>
      <t>北京泽烽投资有限公司</t>
    </r>
  </si>
  <si>
    <r>
      <rPr>
        <sz val="8"/>
        <rFont val="宋体"/>
        <charset val="134"/>
        <scheme val="minor"/>
      </rPr>
      <t>苏静竹</t>
    </r>
  </si>
  <si>
    <r>
      <rPr>
        <sz val="8"/>
        <rFont val="宋体"/>
        <charset val="134"/>
        <scheme val="minor"/>
      </rPr>
      <t>资产交易</t>
    </r>
  </si>
  <si>
    <r>
      <rPr>
        <sz val="8"/>
        <rFont val="宋体"/>
        <charset val="134"/>
        <scheme val="minor"/>
      </rPr>
      <t>玫瑰坊商业中心(法拍）</t>
    </r>
  </si>
  <si>
    <r>
      <rPr>
        <sz val="8"/>
        <rFont val="宋体"/>
        <charset val="134"/>
        <scheme val="minor"/>
      </rPr>
      <t>通州区</t>
    </r>
  </si>
  <si>
    <r>
      <rPr>
        <sz val="8"/>
        <rFont val="宋体"/>
        <charset val="134"/>
        <scheme val="minor"/>
      </rPr>
      <t>零售</t>
    </r>
  </si>
  <si>
    <r>
      <rPr>
        <sz val="8"/>
        <rFont val="宋体"/>
        <charset val="134"/>
        <scheme val="minor"/>
      </rPr>
      <t>北京君合百年房地产开发有限公司</t>
    </r>
  </si>
  <si>
    <r>
      <rPr>
        <sz val="8"/>
        <rFont val="宋体"/>
        <charset val="134"/>
        <scheme val="minor"/>
      </rPr>
      <t>北京通华业科技发展有限公司</t>
    </r>
  </si>
  <si>
    <r>
      <rPr>
        <sz val="8"/>
        <rFont val="宋体"/>
        <charset val="134"/>
        <scheme val="minor"/>
      </rPr>
      <t>亚奥家和超市</t>
    </r>
  </si>
  <si>
    <r>
      <rPr>
        <sz val="8"/>
        <rFont val="宋体"/>
        <charset val="134"/>
        <scheme val="minor"/>
      </rPr>
      <t>朝阳区</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</si>
  <si>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</si>
  <si>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</si>
  <si>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</si>
  <si>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t>北京远洋锐中心34.5%股权</t>
  </si>
  <si>
    <r>
      <rPr>
        <sz val="8"/>
        <rFont val="宋体"/>
        <charset val="134"/>
        <scheme val="minor"/>
      </rPr>
      <t>丰台区</t>
    </r>
  </si>
  <si>
    <r>
      <rPr>
        <sz val="8"/>
        <rFont val="宋体"/>
        <charset val="134"/>
        <scheme val="minor"/>
      </rPr>
      <t>Q2</t>
    </r>
  </si>
  <si>
    <r>
      <rPr>
        <sz val="8"/>
        <rFont val="宋体"/>
        <charset val="134"/>
        <scheme val="minor"/>
      </rPr>
      <t>远洋</t>
    </r>
  </si>
  <si>
    <r>
      <rPr>
        <sz val="8"/>
        <rFont val="宋体"/>
        <charset val="134"/>
        <scheme val="minor"/>
      </rPr>
      <t>平安人寿</t>
    </r>
  </si>
  <si>
    <r>
      <rPr>
        <sz val="8"/>
        <rFont val="宋体"/>
        <charset val="134"/>
        <scheme val="minor"/>
      </rPr>
      <t>颐堤港一期项目50%股权</t>
    </r>
  </si>
  <si>
    <r>
      <rPr>
        <sz val="8"/>
        <rFont val="宋体"/>
        <charset val="134"/>
        <scheme val="minor"/>
      </rPr>
      <t>综合体</t>
    </r>
  </si>
  <si>
    <r>
      <rPr>
        <sz val="8"/>
        <rFont val="宋体"/>
        <charset val="134"/>
        <scheme val="minor"/>
      </rPr>
      <t>国寿资本</t>
    </r>
  </si>
  <si>
    <r>
      <rPr>
        <sz val="8"/>
        <rFont val="宋体"/>
        <charset val="134"/>
        <scheme val="minor"/>
      </rPr>
      <t>中关村软件园10号楼</t>
    </r>
  </si>
  <si>
    <r>
      <rPr>
        <sz val="8"/>
        <rFont val="宋体"/>
        <charset val="134"/>
        <scheme val="minor"/>
      </rPr>
      <t>商务园区</t>
    </r>
  </si>
  <si>
    <r>
      <rPr>
        <sz val="8"/>
        <rFont val="宋体"/>
        <charset val="134"/>
        <scheme val="minor"/>
      </rPr>
      <t>Q3</t>
    </r>
  </si>
  <si>
    <r>
      <rPr>
        <sz val="8"/>
        <rFont val="宋体"/>
        <charset val="134"/>
        <scheme val="minor"/>
      </rPr>
      <t>北京永旺融合信息系统有限公司</t>
    </r>
  </si>
  <si>
    <r>
      <rPr>
        <sz val="8"/>
        <rFont val="宋体"/>
        <charset val="134"/>
        <scheme val="minor"/>
      </rPr>
      <t>北京伟仕佳杰云创科技</t>
    </r>
  </si>
  <si>
    <r>
      <rPr>
        <sz val="8"/>
        <rFont val="宋体"/>
        <charset val="134"/>
        <scheme val="minor"/>
      </rPr>
      <t>大兴生物医药产业园(80%股权）</t>
    </r>
  </si>
  <si>
    <r>
      <rPr>
        <sz val="8"/>
        <rFont val="宋体"/>
        <charset val="134"/>
        <scheme val="minor"/>
      </rPr>
      <t>大兴区</t>
    </r>
  </si>
  <si>
    <r>
      <rPr>
        <sz val="8"/>
        <rFont val="宋体"/>
        <charset val="134"/>
        <scheme val="minor"/>
      </rPr>
      <t>TBD</t>
    </r>
  </si>
  <si>
    <r>
      <rPr>
        <sz val="8"/>
        <rFont val="宋体"/>
        <charset val="134"/>
        <scheme val="minor"/>
      </rPr>
      <t>康桥资本</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</si>
  <si>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</si>
  <si>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</si>
  <si>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</si>
  <si>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r>
      <rPr>
        <sz val="8"/>
        <rFont val="宋体"/>
        <charset val="134"/>
        <scheme val="minor"/>
      </rPr>
      <t>中关村西三旗（金隅）科技园1期5号楼</t>
    </r>
  </si>
  <si>
    <r>
      <rPr>
        <sz val="8"/>
        <rFont val="宋体"/>
        <charset val="134"/>
        <scheme val="minor"/>
      </rPr>
      <t>北京金隅创新科技孵化器有限公司</t>
    </r>
  </si>
  <si>
    <r>
      <rPr>
        <sz val="8"/>
        <rFont val="宋体"/>
        <charset val="134"/>
        <scheme val="minor"/>
      </rPr>
      <t>拓尔思信息技术有限公司</t>
    </r>
  </si>
  <si>
    <t>大悦时代广场T2楼</t>
  </si>
  <si>
    <t>北京</t>
  </si>
  <si>
    <t>丰台区</t>
  </si>
  <si>
    <t>Q3</t>
  </si>
  <si>
    <t>中粮</t>
  </si>
  <si>
    <t>北京农商行</t>
  </si>
  <si>
    <t>资产交易</t>
  </si>
  <si>
    <t>2022-5-4成交</t>
  </si>
  <si>
    <t>2-10层</t>
  </si>
  <si>
    <t>2号楼</t>
  </si>
  <si>
    <t>总楼层11层</t>
  </si>
  <si>
    <t>2017年拿地</t>
  </si>
  <si>
    <t>商业立项40年</t>
  </si>
  <si>
    <t>期房？</t>
  </si>
  <si>
    <r>
      <rPr>
        <sz val="8"/>
        <rFont val="宋体"/>
        <charset val="134"/>
        <scheme val="minor"/>
      </rPr>
      <t>优士阁</t>
    </r>
  </si>
  <si>
    <r>
      <rPr>
        <sz val="8"/>
        <rFont val="宋体"/>
        <charset val="134"/>
        <scheme val="minor"/>
      </rPr>
      <t>华润</t>
    </r>
  </si>
  <si>
    <r>
      <rPr>
        <sz val="8"/>
        <rFont val="宋体"/>
        <charset val="134"/>
        <scheme val="minor"/>
      </rPr>
      <t>艺星置业</t>
    </r>
  </si>
  <si>
    <t>金茂广场1#楼</t>
  </si>
  <si>
    <t>金茂广场</t>
  </si>
  <si>
    <t>某部委下属机构</t>
  </si>
  <si>
    <t>2022-8-18成交</t>
  </si>
  <si>
    <t>均价56000</t>
  </si>
  <si>
    <t>14-17层</t>
  </si>
  <si>
    <t>3号楼</t>
  </si>
  <si>
    <t>总部基地，楼层18/-1，1-2层商业，其他均为办公，2019年交房</t>
  </si>
  <si>
    <r>
      <rPr>
        <sz val="8"/>
        <rFont val="宋体"/>
        <charset val="134"/>
        <scheme val="minor"/>
      </rPr>
      <t>博瑞大厦(法拍）</t>
    </r>
  </si>
  <si>
    <r>
      <rPr>
        <sz val="8"/>
        <rFont val="宋体"/>
        <charset val="134"/>
        <scheme val="minor"/>
      </rPr>
      <t>Q4</t>
    </r>
  </si>
  <si>
    <r>
      <rPr>
        <sz val="8"/>
        <rFont val="宋体"/>
        <charset val="134"/>
        <scheme val="minor"/>
      </rPr>
      <t>大连永嘉集团</t>
    </r>
  </si>
  <si>
    <r>
      <rPr>
        <sz val="8"/>
        <rFont val="宋体"/>
        <charset val="134"/>
        <scheme val="minor"/>
      </rPr>
      <t>凯德</t>
    </r>
  </si>
  <si>
    <t>诺德中心</t>
  </si>
  <si>
    <t>Q4</t>
  </si>
  <si>
    <t>中铁建工</t>
  </si>
  <si>
    <t>某新能源公司</t>
  </si>
  <si>
    <t>2022-4-26成交</t>
  </si>
  <si>
    <t>4101-4301层整层</t>
  </si>
  <si>
    <t>诺德中心三期</t>
  </si>
  <si>
    <t>2011年拿地</t>
  </si>
  <si>
    <t>总楼层6/13/23层</t>
  </si>
  <si>
    <r>
      <rPr>
        <sz val="8"/>
        <rFont val="宋体"/>
        <charset val="134"/>
        <scheme val="minor"/>
      </rPr>
      <t>佑安中心</t>
    </r>
  </si>
  <si>
    <r>
      <rPr>
        <sz val="8"/>
        <rFont val="宋体"/>
        <charset val="134"/>
        <scheme val="minor"/>
      </rPr>
      <t>金茂集团</t>
    </r>
  </si>
  <si>
    <r>
      <rPr>
        <sz val="8"/>
        <rFont val="宋体"/>
        <charset val="134"/>
        <scheme val="minor"/>
      </rPr>
      <t>山东东明石化</t>
    </r>
  </si>
  <si>
    <r>
      <rPr>
        <sz val="8"/>
        <rFont val="宋体"/>
        <charset val="134"/>
        <scheme val="minor"/>
      </rPr>
      <t>中关村智谷大厦</t>
    </r>
  </si>
  <si>
    <r>
      <rPr>
        <sz val="8"/>
        <rFont val="宋体"/>
        <charset val="134"/>
        <scheme val="minor"/>
      </rPr>
      <t>龙湖</t>
    </r>
  </si>
  <si>
    <r>
      <rPr>
        <sz val="8"/>
        <rFont val="宋体"/>
        <charset val="134"/>
        <scheme val="minor"/>
      </rPr>
      <t>浪潮软件</t>
    </r>
  </si>
  <si>
    <r>
      <rPr>
        <sz val="8"/>
        <rFont val="宋体"/>
        <charset val="134"/>
        <scheme val="minor"/>
      </rPr>
      <t>通州富力中心</t>
    </r>
  </si>
  <si>
    <r>
      <rPr>
        <sz val="8"/>
        <rFont val="宋体"/>
        <charset val="134"/>
        <scheme val="minor"/>
      </rPr>
      <t>富力集团</t>
    </r>
  </si>
  <si>
    <r>
      <rPr>
        <sz val="8"/>
        <rFont val="宋体"/>
        <charset val="134"/>
        <scheme val="minor"/>
      </rPr>
      <t>中建一局</t>
    </r>
  </si>
  <si>
    <r>
      <rPr>
        <sz val="8"/>
        <rFont val="宋体"/>
        <charset val="134"/>
        <scheme val="minor"/>
      </rPr>
      <t>冠华大厦</t>
    </r>
  </si>
  <si>
    <r>
      <rPr>
        <sz val="8"/>
        <rFont val="宋体"/>
        <charset val="134"/>
        <scheme val="minor"/>
      </rPr>
      <t>华润置地</t>
    </r>
  </si>
  <si>
    <r>
      <rPr>
        <sz val="8"/>
        <rFont val="宋体"/>
        <charset val="134"/>
        <scheme val="minor"/>
      </rPr>
      <t>中国电信</t>
    </r>
  </si>
  <si>
    <r>
      <rPr>
        <sz val="8"/>
        <rFont val="宋体"/>
        <charset val="134"/>
        <scheme val="minor"/>
      </rPr>
      <t>电子城IT产业园401号楼</t>
    </r>
  </si>
  <si>
    <r>
      <rPr>
        <sz val="8"/>
        <rFont val="宋体"/>
        <charset val="134"/>
        <scheme val="minor"/>
      </rPr>
      <t>电子城集团</t>
    </r>
  </si>
  <si>
    <r>
      <rPr>
        <sz val="8"/>
        <rFont val="宋体"/>
        <charset val="134"/>
        <scheme val="minor"/>
      </rPr>
      <t>ABB</t>
    </r>
  </si>
  <si>
    <t>中国金融出版社中心</t>
  </si>
  <si>
    <r>
      <rPr>
        <sz val="8"/>
        <rFont val="宋体"/>
        <charset val="134"/>
        <scheme val="minor"/>
      </rPr>
      <t>中国金融出版社</t>
    </r>
  </si>
  <si>
    <r>
      <rPr>
        <sz val="8"/>
        <rFont val="宋体"/>
        <charset val="134"/>
        <scheme val="minor"/>
      </rPr>
      <t>通用时代中心BC座</t>
    </r>
  </si>
  <si>
    <r>
      <rPr>
        <sz val="8"/>
        <rFont val="宋体"/>
        <charset val="134"/>
        <scheme val="minor"/>
      </rPr>
      <t>中国通用技术集团</t>
    </r>
  </si>
  <si>
    <r>
      <rPr>
        <sz val="8"/>
        <rFont val="宋体"/>
        <charset val="134"/>
        <scheme val="minor"/>
      </rPr>
      <t>京西大悦城</t>
    </r>
  </si>
  <si>
    <r>
      <rPr>
        <sz val="8"/>
        <rFont val="宋体"/>
        <charset val="134"/>
        <scheme val="minor"/>
      </rPr>
      <t>石景山区</t>
    </r>
  </si>
  <si>
    <r>
      <rPr>
        <sz val="8"/>
        <rFont val="宋体"/>
        <charset val="134"/>
        <scheme val="minor"/>
      </rPr>
      <t>大悦城/华远</t>
    </r>
  </si>
  <si>
    <r>
      <rPr>
        <sz val="8"/>
        <rFont val="宋体"/>
        <charset val="134"/>
        <scheme val="minor"/>
      </rPr>
      <t>私人投资者</t>
    </r>
  </si>
  <si>
    <r>
      <rPr>
        <sz val="8"/>
        <rFont val="宋体"/>
        <charset val="134"/>
        <scheme val="minor"/>
      </rPr>
      <t>聚龙花园</t>
    </r>
  </si>
  <si>
    <r>
      <rPr>
        <sz val="8"/>
        <rFont val="宋体"/>
        <charset val="134"/>
        <scheme val="minor"/>
      </rPr>
      <t>东城区</t>
    </r>
  </si>
  <si>
    <r>
      <rPr>
        <sz val="8"/>
        <rFont val="宋体"/>
        <charset val="134"/>
        <scheme val="minor"/>
      </rPr>
      <t>深圳麦卢卡贸易有限公司</t>
    </r>
  </si>
  <si>
    <r>
      <rPr>
        <sz val="8"/>
        <rFont val="宋体"/>
        <charset val="134"/>
        <scheme val="minor"/>
      </rPr>
      <t>北京海天瑞声科技股份有限公司</t>
    </r>
  </si>
  <si>
    <r>
      <rPr>
        <sz val="8"/>
        <rFont val="宋体"/>
        <charset val="134"/>
        <scheme val="minor"/>
      </rPr>
      <t>丰台科技园零售物业</t>
    </r>
  </si>
  <si>
    <r>
      <rPr>
        <sz val="8"/>
        <rFont val="宋体"/>
        <charset val="134"/>
        <scheme val="minor"/>
      </rPr>
      <t>乐华梅兰</t>
    </r>
  </si>
  <si>
    <r>
      <rPr>
        <sz val="8"/>
        <rFont val="宋体"/>
        <charset val="134"/>
        <scheme val="minor"/>
      </rPr>
      <t>StorHub(趣存自助仓）</t>
    </r>
  </si>
  <si>
    <t>2017年拿地，位于新宫地铁站边上</t>
  </si>
  <si>
    <t>租金明细表</t>
  </si>
  <si>
    <t>客户名称</t>
  </si>
  <si>
    <t>方位</t>
  </si>
  <si>
    <t>面积
（M2）</t>
  </si>
  <si>
    <t>期限</t>
  </si>
  <si>
    <t>年租金
（元）</t>
  </si>
  <si>
    <t>物业费
（元)</t>
  </si>
  <si>
    <t>租金递增说明</t>
  </si>
  <si>
    <t>初始租金</t>
  </si>
  <si>
    <t>租赁期</t>
  </si>
  <si>
    <t>递增情况</t>
  </si>
  <si>
    <t>租金内涵</t>
  </si>
  <si>
    <t>物业费</t>
  </si>
  <si>
    <t>北京嘟嘟美味食品有限公
（京八珍）</t>
  </si>
  <si>
    <t>2019.7.11-2024.8.10</t>
  </si>
  <si>
    <t xml:space="preserve">第四年起每年租金5000元；本租期已递增完毕
</t>
  </si>
  <si>
    <t>北京同仁堂连锁药店
有限责任公司</t>
  </si>
  <si>
    <t>1层西南部</t>
  </si>
  <si>
    <t>2022.12.1-2023.12.31</t>
  </si>
  <si>
    <t>北京肯德基有限公司（新）</t>
  </si>
  <si>
    <t xml:space="preserve">1层东 </t>
  </si>
  <si>
    <t>2022.2.11-2032.2.10</t>
  </si>
  <si>
    <t>每3年年递增5%</t>
  </si>
  <si>
    <t>每三年5%</t>
  </si>
  <si>
    <t>含税不含物业费</t>
  </si>
  <si>
    <t>北京必胜客比萨饼有限公司</t>
  </si>
  <si>
    <t xml:space="preserve">1层南 </t>
  </si>
  <si>
    <t xml:space="preserve">
北京金石顺达餐饮管理有限公司</t>
  </si>
  <si>
    <t>1层西南101室</t>
  </si>
  <si>
    <t>2021.4.23-2027.5.31</t>
  </si>
  <si>
    <t xml:space="preserve">每两年租金递增5%；
</t>
  </si>
  <si>
    <t>北京串道炸鸡经营部</t>
  </si>
  <si>
    <t>1层南侧楼梯口东</t>
  </si>
  <si>
    <t>2021.4.1-2023.3.31</t>
  </si>
  <si>
    <t>体彩中心</t>
  </si>
  <si>
    <t>1层南侧楼梯口西</t>
  </si>
  <si>
    <t>2022.12.12-2023.12.11</t>
  </si>
  <si>
    <t>北京味多美食品有限责任公司</t>
  </si>
  <si>
    <t>1层大厅东103室</t>
  </si>
  <si>
    <t>2018.6.23-2023.7.31</t>
  </si>
  <si>
    <t xml:space="preserve">每三年递增6%，本租期已递增完毕
</t>
  </si>
  <si>
    <t>北京柏艺格美发服务</t>
  </si>
  <si>
    <t>1层东北角3号楼115</t>
  </si>
  <si>
    <t>2020.4.1-2023.4.30</t>
  </si>
  <si>
    <t xml:space="preserve">第2年起每年递增5%，本租期已递增完毕
</t>
  </si>
  <si>
    <t>北京冠美南方口腔门诊部</t>
  </si>
  <si>
    <t>1层大厅</t>
  </si>
  <si>
    <t>2022.7.11-2023.7.10</t>
  </si>
  <si>
    <t>未来生鲜（北京）科技
有限公司</t>
  </si>
  <si>
    <t>2层</t>
  </si>
  <si>
    <t>2019.3.25-2031.3.24</t>
  </si>
  <si>
    <t>每两年在前述日租金的基础上递增5%</t>
  </si>
  <si>
    <t>每两年5%</t>
  </si>
  <si>
    <t>北京九章紫宸图书有限公司</t>
  </si>
  <si>
    <t>301-1</t>
  </si>
  <si>
    <t>2022.12.1-2023.11.30</t>
  </si>
  <si>
    <t>北京环瑞商贸有限公司</t>
  </si>
  <si>
    <t>301-2</t>
  </si>
  <si>
    <t>北京溯源管道设备安装有限公司</t>
  </si>
  <si>
    <t>301-3</t>
  </si>
  <si>
    <t>德悟（北京）国际投资管理
有限公司</t>
  </si>
  <si>
    <t>301-4</t>
  </si>
  <si>
    <t>北京君临和利经贸有限公司</t>
  </si>
  <si>
    <t>301-5</t>
  </si>
  <si>
    <t>北京市丰台区易通电脑培训学校</t>
  </si>
  <si>
    <t>301-6</t>
  </si>
  <si>
    <t>北京航天汇鑫机械有限公司</t>
  </si>
  <si>
    <t>301-7</t>
  </si>
  <si>
    <t>北京康硕保险代理有限公司</t>
  </si>
  <si>
    <t>301-8</t>
  </si>
  <si>
    <t>龙港市投资促进中心</t>
  </si>
  <si>
    <t>301-9</t>
  </si>
  <si>
    <t>2022.10.15-2023.10.14</t>
  </si>
  <si>
    <t>北京赢恒科技有限公司</t>
  </si>
  <si>
    <t>301-10</t>
  </si>
  <si>
    <t>2022.9.20-2023.9.19</t>
  </si>
  <si>
    <t>北京弘毅兄弟文化传播有限公司</t>
  </si>
  <si>
    <t>智归（北京）科技有限公司</t>
  </si>
  <si>
    <t>北京普瑞芳威科技发展有限公司</t>
  </si>
  <si>
    <t>北京金艳骊健康服务中心</t>
  </si>
  <si>
    <t>北京武普体育文化有限公司</t>
  </si>
  <si>
    <t>2023.2.1-2024.1.31</t>
  </si>
  <si>
    <t>咏恒科技（北京）有限公司</t>
  </si>
  <si>
    <t>北京森森元商贸有限责任公司</t>
  </si>
  <si>
    <t>科普立特科技（北京）有限公司</t>
  </si>
  <si>
    <t>北京康恩天慈商贸有限公司</t>
  </si>
  <si>
    <t>北京亿康律师事务所</t>
  </si>
  <si>
    <t>北京三盈企业管理服务有限公司</t>
  </si>
  <si>
    <t>柯林威尔科技（北京）有限公司</t>
  </si>
  <si>
    <t>北京正航机械配件有限公司</t>
  </si>
  <si>
    <t>德氢氢气馆</t>
  </si>
  <si>
    <t>2022.3.15-2023.3.14</t>
  </si>
  <si>
    <t>威森空间（北京）建筑装饰装修
有限公司</t>
  </si>
  <si>
    <t>北京方氏华美国际服饰有限公司</t>
  </si>
  <si>
    <t>中投远洋（北京）环保科技
有限公司</t>
  </si>
  <si>
    <t>北京元成永昌法律咨询有限公司</t>
  </si>
  <si>
    <t>北京新起点上网服务中心</t>
  </si>
  <si>
    <t>3层西南</t>
  </si>
  <si>
    <t>2018.5.20-2023.5.19</t>
  </si>
  <si>
    <t>北京京汇众合酒店管理有限公司</t>
  </si>
  <si>
    <t>4-6层及1层部分</t>
  </si>
  <si>
    <t>2020.12.1-2031.5.31</t>
  </si>
  <si>
    <t xml:space="preserve">每三年递增5%
</t>
  </si>
  <si>
    <t>含税含物业费</t>
  </si>
  <si>
    <t>中国铁塔北京分公司</t>
  </si>
  <si>
    <t>顶层机房</t>
  </si>
  <si>
    <t>2020.6.1-2023.5.31</t>
  </si>
  <si>
    <t>温商汇智（北京）国际商贸中心</t>
  </si>
  <si>
    <t>2022.3.8-2023.3.7</t>
  </si>
  <si>
    <t>未来动力（北京）设备有限公司</t>
  </si>
  <si>
    <t>充电桩</t>
  </si>
  <si>
    <t>36个车位</t>
  </si>
  <si>
    <t>2019.12.25-2029.12.26</t>
  </si>
  <si>
    <t>五年后递增，再详谈</t>
  </si>
  <si>
    <t>酒店后厨及后院</t>
  </si>
  <si>
    <t>广场夜市</t>
  </si>
  <si>
    <t>地下室</t>
  </si>
  <si>
    <t>停车费</t>
  </si>
  <si>
    <t>水电费、供暖费、制冷费</t>
  </si>
  <si>
    <t>年总收入</t>
  </si>
  <si>
    <t>折算单价</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</si>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</sst>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yyyy&quot;年&quot;m&quot;月&quot;d&quot;日&quot;;@"/>
    <numFmt numFmtId="44" formatCode="_ &quot;￥&quot;* #,##0.00_ ;_ &quot;￥&quot;* \-#,##0.00_ ;_ &quot;￥&quot;* &quot;-&quot;??_ ;_ @_ "/>
    <numFmt numFmtId="177" formatCode="[DBNum1][$-804]yyyy&quot;年&quot;m&quot;月&quot;d&quot;日&quot;;@"/>
    <numFmt numFmtId="42" formatCode="_ &quot;￥&quot;* #,##0_ ;_ &quot;￥&quot;* \-#,##0_ ;_ &quot;￥&quot;* &quot;-&quot;_ ;_ @_ "/>
    <numFmt numFmtId="178" formatCode="0;_쐀"/>
    <numFmt numFmtId="179" formatCode="0.00_);[Red]\(0.00\)"/>
    <numFmt numFmtId="41" formatCode="_ * #,##0_ ;_ * \-#,##0_ ;_ * &quot;-&quot;_ ;_ @_ "/>
    <numFmt numFmtId="43" formatCode="_ * #,##0.00_ ;_ * \-#,##0.00_ ;_ * &quot;-&quot;??_ ;_ @_ "/>
    <numFmt numFmtId="180" formatCode="yyyy/m/d;@"/>
    <numFmt numFmtId="181" formatCode="0_ "/>
    <numFmt numFmtId="182" formatCode="0.00_ "/>
    <numFmt numFmtId="183" formatCode="0_);[Red]\(0\)"/>
    <numFmt numFmtId="184" formatCode="0.0%"/>
    <numFmt numFmtId="185" formatCode="0.0_);[Red]\(0.0\)"/>
    <numFmt numFmtId="186" formatCode="0.000_ "/>
    <numFmt numFmtId="187" formatCode="0.0000_);[Red]\(0.0000\)"/>
    <numFmt numFmtId="188" formatCode="0.000_);[Red]\(0.000\)"/>
    <numFmt numFmtId="189" formatCode="0.0_ "/>
    <numFmt numFmtId="190" formatCode="0.0000%"/>
    <numFmt numFmtId="191" formatCode="0.0000_ "/>
    <numFmt numFmtId="192" formatCode="0.000%"/>
    <numFmt numFmtId="193" formatCode="yyyy&quot;年&quot;m&quot;月&quot;;@"/>
    <numFmt numFmtId="194" formatCode="0_ ;[Red]\-0\ "/>
    <numFmt numFmtId="195" formatCode="[$-F800]dddd\,\ mmmm\ dd\,\ yyyy"/>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name val="宋体"/>
      <charset val="134"/>
    </font>
    <font>
      <b/>
      <sz val="20"/>
      <name val="宋体"/>
      <charset val="134"/>
    </font>
    <font>
      <sz val="9"/>
      <color rgb="FF000000"/>
      <name val="宋体"/>
      <charset val="134"/>
      <scheme val="minor"/>
    </font>
    <font>
      <sz val="8"/>
      <color rgb="FF000000"/>
      <name val="宋体"/>
      <charset val="134"/>
      <scheme val="minor"/>
    </font>
    <font>
      <sz val="8"/>
      <color rgb="FFFF0000"/>
      <name val="宋体"/>
      <charset val="134"/>
      <scheme val="minor"/>
    </font>
    <font>
      <b/>
      <sz val="11"/>
      <color rgb="FF000000"/>
      <name val="宋体"/>
      <charset val="134"/>
      <scheme val="minor"/>
    </font>
    <font>
      <sz val="8"/>
      <name val="宋体"/>
      <charset val="134"/>
      <scheme val="minor"/>
    </font>
    <font>
      <sz val="12"/>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b/>
      <sz val="15"/>
      <color theme="3"/>
      <name val="宋体"/>
      <charset val="134"/>
      <scheme val="minor"/>
    </font>
    <font>
      <sz val="11"/>
      <color theme="1"/>
      <name val="宋体"/>
      <charset val="0"/>
      <scheme val="minor"/>
    </font>
    <font>
      <b/>
      <sz val="11"/>
      <color rgb="FFFFFFFF"/>
      <name val="宋体"/>
      <charset val="0"/>
      <scheme val="minor"/>
    </font>
    <font>
      <sz val="11"/>
      <color rgb="FF9C0006"/>
      <name val="宋体"/>
      <charset val="0"/>
      <scheme val="minor"/>
    </font>
    <font>
      <sz val="11"/>
      <color rgb="FF9C6500"/>
      <name val="宋体"/>
      <charset val="0"/>
      <scheme val="minor"/>
    </font>
    <font>
      <sz val="11"/>
      <color rgb="FF3F3F76"/>
      <name val="宋体"/>
      <charset val="0"/>
      <scheme val="minor"/>
    </font>
    <font>
      <i/>
      <sz val="11"/>
      <color rgb="FF7F7F7F"/>
      <name val="宋体"/>
      <charset val="0"/>
      <scheme val="minor"/>
    </font>
    <font>
      <b/>
      <sz val="11"/>
      <color rgb="FFFA7D00"/>
      <name val="宋体"/>
      <charset val="0"/>
      <scheme val="minor"/>
    </font>
    <font>
      <u/>
      <sz val="11"/>
      <color rgb="FF0000FF"/>
      <name val="宋体"/>
      <charset val="0"/>
      <scheme val="minor"/>
    </font>
    <font>
      <sz val="11"/>
      <color rgb="FF006100"/>
      <name val="宋体"/>
      <charset val="0"/>
      <scheme val="minor"/>
    </font>
    <font>
      <sz val="11"/>
      <color rgb="FFFA7D0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sz val="12"/>
      <color theme="1"/>
      <name val="楷体_GB2312"/>
      <charset val="134"/>
    </font>
    <font>
      <b/>
      <sz val="18"/>
      <color theme="3"/>
      <name val="宋体"/>
      <charset val="134"/>
      <scheme val="minor"/>
    </font>
    <font>
      <b/>
      <sz val="11"/>
      <color rgb="FF3F3F3F"/>
      <name val="宋体"/>
      <charset val="0"/>
      <scheme val="minor"/>
    </font>
    <font>
      <b/>
      <sz val="13"/>
      <color theme="3"/>
      <name val="宋体"/>
      <charset val="134"/>
      <scheme val="minor"/>
    </font>
    <font>
      <b/>
      <sz val="11"/>
      <color theme="1"/>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1"/>
      <name val="宋体"/>
      <charset val="134"/>
      <scheme val="minor"/>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12"/>
      <name val="楷体_GB2312"/>
      <charset val="134"/>
    </font>
    <font>
      <sz val="12"/>
      <name val="仿宋_GB2312"/>
      <charset val="134"/>
    </font>
    <font>
      <b/>
      <sz val="9"/>
      <name val="宋体"/>
      <charset val="134"/>
    </font>
    <font>
      <sz val="9"/>
      <name val="宋体"/>
      <charset val="134"/>
    </font>
    <font>
      <sz val="12"/>
      <name val="宋体"/>
      <charset val="0"/>
      <scheme val="minor"/>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14"/>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tint="-0.149998474074526"/>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8"/>
        <bgColor indexed="64"/>
      </patternFill>
    </fill>
    <fill>
      <patternFill patternType="solid">
        <fgColor theme="7" tint="0.799981688894314"/>
        <bgColor indexed="64"/>
      </patternFill>
    </fill>
    <fill>
      <patternFill patternType="solid">
        <fgColor rgb="FFA5A5A5"/>
        <bgColor indexed="64"/>
      </patternFill>
    </fill>
    <fill>
      <patternFill patternType="solid">
        <fgColor rgb="FFFFC7CE"/>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FFEB9C"/>
        <bgColor indexed="64"/>
      </patternFill>
    </fill>
    <fill>
      <patternFill patternType="solid">
        <fgColor rgb="FFFFCC99"/>
        <bgColor indexed="64"/>
      </patternFill>
    </fill>
    <fill>
      <patternFill patternType="solid">
        <fgColor theme="4" tint="0.599993896298105"/>
        <bgColor indexed="64"/>
      </patternFill>
    </fill>
    <fill>
      <patternFill patternType="solid">
        <fgColor rgb="FFF2F2F2"/>
        <bgColor indexed="64"/>
      </patternFill>
    </fill>
    <fill>
      <patternFill patternType="solid">
        <fgColor theme="6"/>
        <bgColor indexed="64"/>
      </patternFill>
    </fill>
    <fill>
      <patternFill patternType="solid">
        <fgColor rgb="FFC6EFCE"/>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rgb="FFFFFFCC"/>
        <bgColor indexed="64"/>
      </patternFill>
    </fill>
    <fill>
      <patternFill patternType="solid">
        <fgColor theme="5" tint="0.799981688894314"/>
        <bgColor indexed="64"/>
      </patternFill>
    </fill>
    <fill>
      <patternFill patternType="solid">
        <fgColor theme="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9"/>
        <bgColor indexed="64"/>
      </patternFill>
    </fill>
    <fill>
      <patternFill patternType="solid">
        <fgColor theme="7"/>
        <bgColor indexed="64"/>
      </patternFill>
    </fill>
    <fill>
      <patternFill patternType="solid">
        <fgColor theme="4" tint="0.399975585192419"/>
        <bgColor indexed="64"/>
      </patternFill>
    </fill>
    <fill>
      <patternFill patternType="solid">
        <fgColor theme="4"/>
        <bgColor indexed="64"/>
      </patternFill>
    </fill>
    <fill>
      <patternFill patternType="solid">
        <fgColor theme="4" tint="0.799981688894314"/>
        <bgColor indexed="64"/>
      </patternFill>
    </fill>
    <fill>
      <patternFill patternType="solid">
        <fgColor theme="9"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6" fillId="26" borderId="0" applyNumberFormat="0" applyBorder="0" applyAlignment="0" applyProtection="0">
      <alignment vertical="center"/>
    </xf>
    <xf numFmtId="0" fontId="160" fillId="29"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6" fillId="8" borderId="0" applyNumberFormat="0" applyBorder="0" applyAlignment="0" applyProtection="0">
      <alignment vertical="center"/>
    </xf>
    <xf numFmtId="0" fontId="158" fillId="25" borderId="0" applyNumberFormat="0" applyBorder="0" applyAlignment="0" applyProtection="0">
      <alignment vertical="center"/>
    </xf>
    <xf numFmtId="43" fontId="0" fillId="0" borderId="0" applyFont="0" applyFill="0" applyBorder="0" applyAlignment="0" applyProtection="0">
      <alignment vertical="center"/>
    </xf>
    <xf numFmtId="0" fontId="154" fillId="4" borderId="0" applyNumberFormat="0" applyBorder="0" applyAlignment="0" applyProtection="0">
      <alignment vertical="center"/>
    </xf>
    <xf numFmtId="0" fontId="163" fillId="0" borderId="0" applyNumberFormat="0" applyFill="0" applyBorder="0" applyAlignment="0" applyProtection="0">
      <alignment vertical="center"/>
    </xf>
    <xf numFmtId="9" fontId="0" fillId="0" borderId="0" applyFont="0" applyFill="0" applyBorder="0" applyAlignment="0" applyProtection="0">
      <alignment vertical="center"/>
    </xf>
    <xf numFmtId="0" fontId="166" fillId="0" borderId="0" applyNumberFormat="0" applyFill="0" applyBorder="0" applyAlignment="0" applyProtection="0">
      <alignment vertical="center"/>
    </xf>
    <xf numFmtId="9" fontId="63" fillId="0" borderId="0" applyFont="0" applyFill="0" applyBorder="0" applyAlignment="0" applyProtection="0">
      <alignment vertical="center"/>
    </xf>
    <xf numFmtId="0" fontId="0" fillId="36" borderId="180" applyNumberFormat="0" applyFont="0" applyAlignment="0" applyProtection="0">
      <alignment vertical="center"/>
    </xf>
    <xf numFmtId="0" fontId="0" fillId="0" borderId="0"/>
    <xf numFmtId="0" fontId="154" fillId="41" borderId="0" applyNumberFormat="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9" fillId="0" borderId="0">
      <alignment vertical="center"/>
    </xf>
    <xf numFmtId="0" fontId="155" fillId="0" borderId="176" applyNumberFormat="0" applyFill="0" applyAlignment="0" applyProtection="0">
      <alignment vertical="center"/>
    </xf>
    <xf numFmtId="0" fontId="172" fillId="0" borderId="176" applyNumberFormat="0" applyFill="0" applyAlignment="0" applyProtection="0">
      <alignment vertical="center"/>
    </xf>
    <xf numFmtId="0" fontId="154" fillId="44" borderId="0" applyNumberFormat="0" applyBorder="0" applyAlignment="0" applyProtection="0">
      <alignment vertical="center"/>
    </xf>
    <xf numFmtId="0" fontId="167" fillId="0" borderId="182" applyNumberFormat="0" applyFill="0" applyAlignment="0" applyProtection="0">
      <alignment vertical="center"/>
    </xf>
    <xf numFmtId="0" fontId="154" fillId="11" borderId="0" applyNumberFormat="0" applyBorder="0" applyAlignment="0" applyProtection="0">
      <alignment vertical="center"/>
    </xf>
    <xf numFmtId="0" fontId="171" fillId="31" borderId="181" applyNumberFormat="0" applyAlignment="0" applyProtection="0">
      <alignment vertical="center"/>
    </xf>
    <xf numFmtId="0" fontId="162" fillId="31" borderId="178" applyNumberFormat="0" applyAlignment="0" applyProtection="0">
      <alignment vertical="center"/>
    </xf>
    <xf numFmtId="0" fontId="157" fillId="24" borderId="177" applyNumberFormat="0" applyAlignment="0" applyProtection="0">
      <alignment vertical="center"/>
    </xf>
    <xf numFmtId="0" fontId="165" fillId="0" borderId="179" applyNumberFormat="0" applyFill="0" applyAlignment="0" applyProtection="0">
      <alignment vertical="center"/>
    </xf>
    <xf numFmtId="0" fontId="169" fillId="0" borderId="0">
      <alignment vertical="center"/>
    </xf>
    <xf numFmtId="0" fontId="156" fillId="40" borderId="0" applyNumberFormat="0" applyBorder="0" applyAlignment="0" applyProtection="0">
      <alignment vertical="center"/>
    </xf>
    <xf numFmtId="0" fontId="154" fillId="38" borderId="0" applyNumberFormat="0" applyBorder="0" applyAlignment="0" applyProtection="0">
      <alignment vertical="center"/>
    </xf>
    <xf numFmtId="0" fontId="173" fillId="0" borderId="183" applyNumberFormat="0" applyFill="0" applyAlignment="0" applyProtection="0">
      <alignment vertical="center"/>
    </xf>
    <xf numFmtId="0" fontId="164" fillId="33" borderId="0" applyNumberFormat="0" applyBorder="0" applyAlignment="0" applyProtection="0">
      <alignment vertical="center"/>
    </xf>
    <xf numFmtId="0" fontId="0" fillId="0" borderId="0">
      <alignment vertical="center"/>
    </xf>
    <xf numFmtId="0" fontId="0" fillId="0" borderId="0">
      <alignment vertical="center"/>
    </xf>
    <xf numFmtId="0" fontId="159" fillId="28" borderId="0" applyNumberFormat="0" applyBorder="0" applyAlignment="0" applyProtection="0">
      <alignment vertical="center"/>
    </xf>
    <xf numFmtId="0" fontId="169" fillId="0" borderId="0">
      <alignment vertical="center"/>
    </xf>
    <xf numFmtId="0" fontId="156" fillId="39" borderId="0" applyNumberFormat="0" applyBorder="0" applyAlignment="0" applyProtection="0">
      <alignment vertical="center"/>
    </xf>
    <xf numFmtId="0" fontId="154" fillId="45" borderId="0" applyNumberFormat="0" applyBorder="0" applyAlignment="0" applyProtection="0">
      <alignment vertical="center"/>
    </xf>
    <xf numFmtId="0" fontId="156" fillId="46" borderId="0" applyNumberFormat="0" applyBorder="0" applyAlignment="0" applyProtection="0">
      <alignment vertical="center"/>
    </xf>
    <xf numFmtId="0" fontId="156" fillId="30" borderId="0" applyNumberFormat="0" applyBorder="0" applyAlignment="0" applyProtection="0">
      <alignment vertical="center"/>
    </xf>
    <xf numFmtId="0" fontId="156" fillId="37" borderId="0" applyNumberFormat="0" applyBorder="0" applyAlignment="0" applyProtection="0">
      <alignment vertical="center"/>
    </xf>
    <xf numFmtId="0" fontId="156" fillId="27" borderId="0" applyNumberFormat="0" applyBorder="0" applyAlignment="0" applyProtection="0">
      <alignment vertical="center"/>
    </xf>
    <xf numFmtId="0" fontId="154" fillId="32" borderId="0" applyNumberFormat="0" applyBorder="0" applyAlignment="0" applyProtection="0">
      <alignment vertical="center"/>
    </xf>
    <xf numFmtId="0" fontId="0" fillId="0" borderId="0">
      <alignment vertical="center"/>
    </xf>
    <xf numFmtId="0" fontId="154" fillId="43" borderId="0" applyNumberFormat="0" applyBorder="0" applyAlignment="0" applyProtection="0">
      <alignment vertical="center"/>
    </xf>
    <xf numFmtId="0" fontId="156" fillId="23" borderId="0" applyNumberFormat="0" applyBorder="0" applyAlignment="0" applyProtection="0">
      <alignment vertical="center"/>
    </xf>
    <xf numFmtId="0" fontId="156" fillId="35" borderId="0" applyNumberFormat="0" applyBorder="0" applyAlignment="0" applyProtection="0">
      <alignment vertical="center"/>
    </xf>
    <xf numFmtId="0" fontId="154" fillId="22" borderId="0" applyNumberFormat="0" applyBorder="0" applyAlignment="0" applyProtection="0">
      <alignment vertical="center"/>
    </xf>
    <xf numFmtId="0" fontId="0" fillId="0" borderId="0">
      <alignment vertical="center"/>
    </xf>
    <xf numFmtId="0" fontId="156" fillId="15" borderId="0" applyNumberFormat="0" applyBorder="0" applyAlignment="0" applyProtection="0">
      <alignment vertical="center"/>
    </xf>
    <xf numFmtId="0" fontId="154" fillId="9" borderId="0" applyNumberFormat="0" applyBorder="0" applyAlignment="0" applyProtection="0">
      <alignment vertical="center"/>
    </xf>
    <xf numFmtId="0" fontId="154" fillId="42" borderId="0" applyNumberFormat="0" applyBorder="0" applyAlignment="0" applyProtection="0">
      <alignment vertical="center"/>
    </xf>
    <xf numFmtId="0" fontId="156" fillId="47" borderId="0" applyNumberFormat="0" applyBorder="0" applyAlignment="0" applyProtection="0">
      <alignment vertical="center"/>
    </xf>
    <xf numFmtId="0" fontId="154" fillId="34"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63" fillId="0" borderId="0"/>
    <xf numFmtId="0" fontId="0" fillId="0" borderId="0">
      <alignment vertical="center"/>
    </xf>
    <xf numFmtId="0" fontId="0" fillId="0" borderId="0">
      <alignment vertical="center"/>
    </xf>
    <xf numFmtId="0" fontId="169" fillId="0" borderId="0">
      <alignment vertical="center"/>
    </xf>
    <xf numFmtId="0" fontId="0" fillId="0" borderId="0"/>
  </cellStyleXfs>
  <cellXfs count="3750">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89" fontId="19" fillId="0" borderId="0" xfId="21" applyNumberFormat="1" applyFont="1" applyAlignment="1">
      <alignment horizontal="left" vertical="center"/>
    </xf>
    <xf numFmtId="189" fontId="19" fillId="0" borderId="18" xfId="21" applyNumberFormat="1" applyFont="1" applyBorder="1" applyAlignment="1">
      <alignment horizontal="left" vertical="center"/>
    </xf>
    <xf numFmtId="189"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9"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90"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79" fontId="44" fillId="0" borderId="0" xfId="0" applyNumberFormat="1" applyFont="1" applyAlignment="1" applyProtection="1">
      <alignment horizontal="left" vertical="center"/>
    </xf>
    <xf numFmtId="0" fontId="0" fillId="0" borderId="0" xfId="0" applyNumberFormat="1" applyProtection="1">
      <alignment vertical="center"/>
    </xf>
    <xf numFmtId="179" fontId="55" fillId="0" borderId="0" xfId="47" applyNumberFormat="1" applyFont="1" applyBorder="1" applyAlignment="1" applyProtection="1">
      <alignment horizontal="left" vertical="center"/>
    </xf>
    <xf numFmtId="179" fontId="56" fillId="2" borderId="3" xfId="47" applyNumberFormat="1" applyFont="1" applyFill="1" applyBorder="1" applyAlignment="1" applyProtection="1">
      <alignment horizontal="left" vertical="center"/>
    </xf>
    <xf numFmtId="179" fontId="56" fillId="2" borderId="4" xfId="47" applyNumberFormat="1" applyFont="1" applyFill="1" applyBorder="1" applyAlignment="1" applyProtection="1">
      <alignment horizontal="left" vertical="center"/>
    </xf>
    <xf numFmtId="179" fontId="56" fillId="2" borderId="4" xfId="47" applyNumberFormat="1" applyFont="1" applyFill="1" applyBorder="1" applyAlignment="1" applyProtection="1">
      <alignment horizontal="left" vertical="center" wrapText="1"/>
    </xf>
    <xf numFmtId="179" fontId="56" fillId="2" borderId="6" xfId="47" applyNumberFormat="1" applyFont="1" applyFill="1" applyBorder="1" applyAlignment="1" applyProtection="1">
      <alignment horizontal="left" vertical="center"/>
    </xf>
    <xf numFmtId="179" fontId="57" fillId="2" borderId="7" xfId="47" applyNumberFormat="1" applyFont="1" applyFill="1" applyBorder="1" applyAlignment="1" applyProtection="1">
      <alignment horizontal="left" vertical="center"/>
    </xf>
    <xf numFmtId="179"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79" fontId="56" fillId="2" borderId="80" xfId="47" applyNumberFormat="1" applyFont="1" applyFill="1" applyBorder="1" applyAlignment="1" applyProtection="1">
      <alignment horizontal="left" vertical="center"/>
    </xf>
    <xf numFmtId="179" fontId="56" fillId="2" borderId="81" xfId="47" applyNumberFormat="1" applyFont="1" applyFill="1" applyBorder="1" applyAlignment="1" applyProtection="1">
      <alignment horizontal="left" vertical="center"/>
    </xf>
    <xf numFmtId="179"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9" fontId="44" fillId="2" borderId="7" xfId="0" applyNumberFormat="1" applyFont="1" applyFill="1" applyBorder="1" applyAlignment="1" applyProtection="1">
      <alignment horizontal="left" vertical="center"/>
    </xf>
    <xf numFmtId="179" fontId="56" fillId="2" borderId="9" xfId="47" applyNumberFormat="1" applyFont="1" applyFill="1" applyBorder="1" applyAlignment="1" applyProtection="1">
      <alignment horizontal="left" vertical="center" wrapText="1"/>
    </xf>
    <xf numFmtId="179" fontId="57" fillId="2" borderId="10" xfId="47" applyNumberFormat="1" applyFont="1" applyFill="1" applyBorder="1" applyAlignment="1" applyProtection="1">
      <alignment horizontal="left" vertical="center"/>
    </xf>
    <xf numFmtId="179" fontId="57" fillId="2" borderId="11" xfId="47" applyNumberFormat="1" applyFont="1" applyFill="1" applyBorder="1" applyAlignment="1" applyProtection="1">
      <alignment horizontal="left" vertical="center"/>
    </xf>
    <xf numFmtId="17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3" borderId="0" xfId="0" applyFont="1" applyFill="1" applyBorder="1" applyAlignment="1">
      <alignment vertical="center"/>
    </xf>
    <xf numFmtId="0" fontId="63" fillId="0" borderId="0" xfId="0" applyFont="1" applyFill="1" applyBorder="1" applyAlignment="1">
      <alignment vertical="center"/>
    </xf>
    <xf numFmtId="0" fontId="63" fillId="0" borderId="0" xfId="0" applyFont="1" applyFill="1" applyBorder="1" applyAlignment="1">
      <alignment horizontal="center" vertical="center"/>
    </xf>
    <xf numFmtId="0" fontId="64" fillId="0" borderId="0" xfId="0" applyFont="1" applyFill="1" applyAlignment="1">
      <alignment horizontal="center" vertical="center"/>
    </xf>
    <xf numFmtId="0" fontId="63" fillId="0" borderId="7" xfId="0" applyFont="1" applyFill="1" applyBorder="1" applyAlignment="1">
      <alignment horizontal="center" vertical="center"/>
    </xf>
    <xf numFmtId="0" fontId="63" fillId="0" borderId="7"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7" xfId="0" applyFont="1" applyFill="1" applyBorder="1" applyAlignment="1">
      <alignment horizontal="center" vertical="center"/>
    </xf>
    <xf numFmtId="0" fontId="2" fillId="0" borderId="7" xfId="0" applyFont="1" applyFill="1" applyBorder="1" applyAlignment="1">
      <alignment vertical="center" wrapText="1"/>
    </xf>
    <xf numFmtId="0" fontId="63" fillId="3" borderId="7"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7" xfId="0" applyFont="1" applyFill="1" applyBorder="1" applyAlignment="1">
      <alignment vertical="center"/>
    </xf>
    <xf numFmtId="0" fontId="2" fillId="0" borderId="12" xfId="0" applyFont="1" applyFill="1" applyBorder="1" applyAlignment="1">
      <alignment horizontal="center" vertical="center"/>
    </xf>
    <xf numFmtId="0" fontId="2" fillId="0" borderId="7" xfId="0" applyFont="1" applyFill="1" applyBorder="1" applyAlignment="1">
      <alignment vertical="center"/>
    </xf>
    <xf numFmtId="0" fontId="2" fillId="0" borderId="12" xfId="0" applyFont="1" applyFill="1" applyBorder="1" applyAlignment="1">
      <alignment horizontal="center" vertical="center" wrapText="1"/>
    </xf>
    <xf numFmtId="0" fontId="2" fillId="0" borderId="7" xfId="0" applyFont="1" applyFill="1" applyBorder="1" applyAlignment="1">
      <alignment horizontal="left" vertical="center" wrapText="1"/>
    </xf>
    <xf numFmtId="0" fontId="63" fillId="0" borderId="7" xfId="0" applyFont="1" applyFill="1" applyBorder="1" applyAlignment="1">
      <alignment vertical="center"/>
    </xf>
    <xf numFmtId="0" fontId="2" fillId="3" borderId="7" xfId="0" applyFont="1" applyFill="1" applyBorder="1" applyAlignment="1">
      <alignment vertical="center" wrapText="1"/>
    </xf>
    <xf numFmtId="181" fontId="2" fillId="0" borderId="12" xfId="0" applyNumberFormat="1" applyFont="1" applyFill="1" applyBorder="1" applyAlignment="1">
      <alignment horizontal="center" vertical="center"/>
    </xf>
    <xf numFmtId="181" fontId="2" fillId="0" borderId="7" xfId="0" applyNumberFormat="1" applyFont="1" applyFill="1" applyBorder="1" applyAlignment="1">
      <alignment horizontal="center" vertical="center"/>
    </xf>
    <xf numFmtId="0" fontId="2" fillId="3" borderId="12" xfId="0" applyFont="1" applyFill="1" applyBorder="1" applyAlignment="1">
      <alignment horizontal="center" vertical="center"/>
    </xf>
    <xf numFmtId="181" fontId="2" fillId="3" borderId="12"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63" fillId="0" borderId="0" xfId="0" applyFont="1" applyFill="1" applyAlignment="1">
      <alignment horizontal="center" vertical="center"/>
    </xf>
    <xf numFmtId="14" fontId="63" fillId="3" borderId="0" xfId="0" applyNumberFormat="1" applyFont="1" applyFill="1" applyBorder="1" applyAlignment="1">
      <alignment vertical="center"/>
    </xf>
    <xf numFmtId="0" fontId="65" fillId="7" borderId="0" xfId="0" applyFont="1" applyFill="1" applyBorder="1" applyAlignment="1">
      <alignment horizontal="left" vertical="center"/>
    </xf>
    <xf numFmtId="0" fontId="66" fillId="7" borderId="0" xfId="0" applyFont="1" applyFill="1" applyBorder="1" applyAlignment="1">
      <alignment horizontal="left" vertical="center"/>
    </xf>
    <xf numFmtId="0" fontId="66" fillId="3" borderId="0" xfId="0" applyFont="1" applyFill="1" applyBorder="1" applyAlignment="1">
      <alignment horizontal="left" vertical="center"/>
    </xf>
    <xf numFmtId="0" fontId="67" fillId="3" borderId="0" xfId="0" applyFont="1" applyFill="1" applyBorder="1" applyAlignment="1">
      <alignment horizontal="left" vertical="center"/>
    </xf>
    <xf numFmtId="43" fontId="65" fillId="7" borderId="0" xfId="8" applyFont="1" applyFill="1" applyBorder="1" applyAlignment="1">
      <alignment horizontal="left" vertical="center"/>
    </xf>
    <xf numFmtId="0" fontId="68" fillId="13" borderId="39" xfId="0" applyFont="1" applyFill="1" applyBorder="1" applyAlignment="1">
      <alignment vertical="center"/>
    </xf>
    <xf numFmtId="43" fontId="68" fillId="13" borderId="39" xfId="8" applyFont="1" applyFill="1" applyBorder="1" applyAlignment="1">
      <alignment vertical="center"/>
    </xf>
    <xf numFmtId="0" fontId="66" fillId="7" borderId="7" xfId="0" applyFont="1" applyFill="1" applyBorder="1" applyAlignment="1">
      <alignment horizontal="left" vertical="center"/>
    </xf>
    <xf numFmtId="43" fontId="66" fillId="7" borderId="7" xfId="8" applyFont="1" applyFill="1" applyBorder="1" applyAlignment="1">
      <alignment horizontal="left" vertical="center"/>
    </xf>
    <xf numFmtId="0" fontId="66" fillId="3" borderId="7" xfId="0" applyFont="1" applyFill="1" applyBorder="1" applyAlignment="1">
      <alignment horizontal="left" vertical="center"/>
    </xf>
    <xf numFmtId="0" fontId="69" fillId="3" borderId="7" xfId="0" applyFont="1" applyFill="1" applyBorder="1" applyAlignment="1">
      <alignment horizontal="left" vertical="center"/>
    </xf>
    <xf numFmtId="43" fontId="66" fillId="3" borderId="7" xfId="8" applyFont="1" applyFill="1" applyBorder="1" applyAlignment="1">
      <alignment horizontal="left" vertical="center"/>
    </xf>
    <xf numFmtId="0" fontId="67" fillId="3" borderId="7" xfId="0" applyFont="1" applyFill="1" applyBorder="1" applyAlignment="1">
      <alignment horizontal="left" vertical="center"/>
    </xf>
    <xf numFmtId="43" fontId="67" fillId="3" borderId="7" xfId="8" applyFont="1" applyFill="1" applyBorder="1" applyAlignment="1">
      <alignment horizontal="left" vertical="center"/>
    </xf>
    <xf numFmtId="43" fontId="66" fillId="7" borderId="0" xfId="8" applyFont="1" applyFill="1" applyBorder="1" applyAlignment="1">
      <alignment horizontal="left" vertical="center"/>
    </xf>
    <xf numFmtId="0" fontId="70" fillId="0" borderId="0" xfId="0" applyNumberFormat="1" applyFont="1" applyFill="1" applyAlignment="1">
      <alignment horizontal="left"/>
    </xf>
    <xf numFmtId="0" fontId="70" fillId="3" borderId="0" xfId="0" applyNumberFormat="1" applyFont="1" applyFill="1" applyAlignment="1">
      <alignment horizontal="left"/>
    </xf>
    <xf numFmtId="0" fontId="70" fillId="0" borderId="0" xfId="0" applyNumberFormat="1" applyFont="1" applyFill="1" applyAlignment="1"/>
    <xf numFmtId="0" fontId="70" fillId="3" borderId="0" xfId="0" applyNumberFormat="1" applyFont="1" applyFill="1" applyAlignment="1"/>
    <xf numFmtId="14" fontId="70" fillId="3" borderId="0" xfId="0" applyNumberFormat="1" applyFont="1" applyFill="1" applyAlignment="1">
      <alignment horizontal="left"/>
    </xf>
    <xf numFmtId="14" fontId="70" fillId="0" borderId="0" xfId="0" applyNumberFormat="1" applyFont="1" applyFill="1" applyAlignment="1">
      <alignment horizontal="left"/>
    </xf>
    <xf numFmtId="14" fontId="70" fillId="0" borderId="0" xfId="0" applyNumberFormat="1" applyFont="1" applyFill="1" applyAlignment="1"/>
    <xf numFmtId="14" fontId="70" fillId="3" borderId="0" xfId="0" applyNumberFormat="1" applyFont="1" applyFill="1" applyAlignment="1"/>
    <xf numFmtId="0" fontId="0" fillId="3" borderId="0" xfId="0" applyFill="1" applyAlignment="1">
      <alignment horizontal="left" vertical="center"/>
    </xf>
    <xf numFmtId="0" fontId="71"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71"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71"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4" fillId="2" borderId="102"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91" fontId="72" fillId="2" borderId="98" xfId="0" applyNumberFormat="1"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14" fontId="71" fillId="2" borderId="98" xfId="0" applyNumberFormat="1" applyFont="1" applyFill="1" applyBorder="1" applyAlignment="1" applyProtection="1">
      <alignment horizontal="center" vertical="center" wrapText="1"/>
    </xf>
    <xf numFmtId="14" fontId="71"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91"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center" vertical="center" wrapText="1"/>
    </xf>
    <xf numFmtId="0" fontId="71" fillId="2" borderId="73" xfId="0" applyFont="1" applyFill="1" applyBorder="1" applyAlignment="1" applyProtection="1">
      <alignment vertical="center" wrapText="1"/>
    </xf>
    <xf numFmtId="49" fontId="71" fillId="2" borderId="68"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7"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71"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1"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76"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6"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7"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7" fillId="2" borderId="82" xfId="0" applyFont="1" applyFill="1" applyBorder="1" applyAlignment="1" applyProtection="1">
      <alignment vertical="center"/>
    </xf>
    <xf numFmtId="191" fontId="7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7" fillId="2" borderId="83" xfId="0" applyFont="1" applyFill="1" applyBorder="1" applyAlignment="1" applyProtection="1">
      <alignment vertical="center"/>
    </xf>
    <xf numFmtId="0" fontId="77" fillId="2" borderId="84"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71"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1" fillId="2" borderId="94"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71" fillId="2" borderId="72" xfId="0" applyFont="1" applyFill="1" applyBorder="1" applyAlignment="1" applyProtection="1">
      <alignment vertical="center" wrapText="1"/>
    </xf>
    <xf numFmtId="0" fontId="71" fillId="14"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protection locked="0"/>
    </xf>
    <xf numFmtId="0" fontId="71" fillId="2" borderId="4" xfId="52" applyFont="1" applyFill="1" applyBorder="1" applyAlignment="1" applyProtection="1">
      <alignment vertical="center" wrapText="1"/>
      <protection locked="0"/>
    </xf>
    <xf numFmtId="0" fontId="71" fillId="2" borderId="109" xfId="52" applyFont="1" applyFill="1" applyBorder="1" applyAlignment="1" applyProtection="1">
      <alignment vertical="center"/>
      <protection locked="0"/>
    </xf>
    <xf numFmtId="0" fontId="71" fillId="2" borderId="5" xfId="0" applyFont="1" applyFill="1" applyBorder="1" applyAlignment="1" applyProtection="1">
      <alignment vertical="center" wrapText="1"/>
    </xf>
    <xf numFmtId="0" fontId="71" fillId="2" borderId="6" xfId="52" applyFont="1" applyFill="1" applyBorder="1" applyAlignment="1" applyProtection="1">
      <alignment horizontal="center" vertical="center" wrapText="1"/>
    </xf>
    <xf numFmtId="10" fontId="71"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69" xfId="0" applyFont="1" applyFill="1" applyBorder="1" applyAlignment="1" applyProtection="1">
      <alignment vertical="center" wrapText="1"/>
    </xf>
    <xf numFmtId="0" fontId="71" fillId="2" borderId="101" xfId="0" applyFont="1" applyFill="1" applyBorder="1" applyAlignment="1" applyProtection="1">
      <alignment vertical="center" wrapText="1"/>
    </xf>
    <xf numFmtId="0" fontId="71" fillId="2" borderId="9" xfId="52" applyFont="1" applyFill="1" applyBorder="1" applyAlignment="1" applyProtection="1">
      <alignment horizontal="center" vertical="center" wrapText="1"/>
    </xf>
    <xf numFmtId="10" fontId="71"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71" fillId="2" borderId="67" xfId="52" applyFont="1" applyFill="1" applyBorder="1" applyAlignment="1" applyProtection="1">
      <alignment horizontal="center" vertical="center" wrapText="1"/>
      <protection locked="0"/>
    </xf>
    <xf numFmtId="0" fontId="71"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9"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71" fillId="2" borderId="0" xfId="52" applyFont="1" applyFill="1" applyAlignment="1" applyProtection="1">
      <alignment horizontal="center" vertical="center" wrapText="1"/>
      <protection locked="0"/>
    </xf>
    <xf numFmtId="0" fontId="71" fillId="14"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71"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7" fillId="2" borderId="82" xfId="0" applyNumberFormat="1" applyFont="1" applyFill="1" applyBorder="1" applyAlignment="1" applyProtection="1">
      <alignment horizontal="left" vertical="center"/>
    </xf>
    <xf numFmtId="0" fontId="7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0"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1"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4"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82"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82"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2"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83" fillId="2" borderId="7" xfId="0" applyFont="1" applyFill="1" applyBorder="1" applyProtection="1">
      <alignment vertical="center"/>
    </xf>
    <xf numFmtId="0" fontId="83"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82"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4" fillId="2" borderId="110"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84"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79"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85" fontId="71" fillId="0" borderId="0" xfId="0" applyNumberFormat="1" applyFont="1" applyFill="1" applyAlignment="1" applyProtection="1">
      <alignment horizontal="center" vertical="center"/>
      <protection locked="0"/>
    </xf>
    <xf numFmtId="184" fontId="71"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9" fillId="2" borderId="38" xfId="0" applyFont="1" applyFill="1" applyBorder="1" applyAlignment="1" applyProtection="1">
      <alignment horizontal="right" vertical="center"/>
    </xf>
    <xf numFmtId="0" fontId="89" fillId="2" borderId="0" xfId="0" applyFont="1" applyFill="1" applyAlignment="1" applyProtection="1">
      <alignment horizontal="center" vertical="center"/>
    </xf>
    <xf numFmtId="0" fontId="89" fillId="2" borderId="38" xfId="0" applyFont="1" applyFill="1" applyBorder="1" applyAlignment="1" applyProtection="1">
      <alignment vertical="center"/>
    </xf>
    <xf numFmtId="0" fontId="90"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9" fillId="0" borderId="10" xfId="0" applyFont="1" applyFill="1" applyBorder="1" applyAlignment="1" applyProtection="1">
      <alignment vertical="center"/>
      <protection locked="0"/>
    </xf>
    <xf numFmtId="0" fontId="72" fillId="2" borderId="112"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5"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91" fillId="0" borderId="6" xfId="0" applyFont="1" applyFill="1" applyBorder="1" applyAlignment="1" applyProtection="1">
      <alignment horizontal="center" vertical="center" wrapText="1"/>
      <protection locked="0"/>
    </xf>
    <xf numFmtId="0" fontId="91" fillId="0" borderId="8"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72" fillId="2" borderId="122"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71" fillId="0" borderId="68" xfId="0" applyFont="1" applyFill="1" applyBorder="1" applyAlignment="1" applyProtection="1">
      <alignment horizontal="center" vertical="center" wrapText="1"/>
      <protection locked="0"/>
    </xf>
    <xf numFmtId="0" fontId="71" fillId="0" borderId="69"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92" fillId="2" borderId="132" xfId="0" applyFont="1" applyFill="1" applyBorder="1" applyAlignment="1" applyProtection="1">
      <alignment vertical="center" wrapText="1"/>
    </xf>
    <xf numFmtId="0" fontId="92" fillId="2" borderId="104" xfId="0" applyFont="1" applyFill="1" applyBorder="1" applyAlignment="1" applyProtection="1">
      <alignment vertical="center" wrapText="1"/>
    </xf>
    <xf numFmtId="176" fontId="79" fillId="2" borderId="97" xfId="0" applyNumberFormat="1" applyFont="1" applyFill="1" applyBorder="1" applyAlignment="1" applyProtection="1">
      <alignment horizontal="center" vertical="center" wrapText="1"/>
    </xf>
    <xf numFmtId="0" fontId="79" fillId="2" borderId="101" xfId="0" applyNumberFormat="1" applyFont="1" applyFill="1" applyBorder="1" applyAlignment="1" applyProtection="1">
      <alignment horizontal="center" vertical="center" wrapText="1"/>
    </xf>
    <xf numFmtId="176" fontId="79" fillId="0" borderId="100" xfId="0" applyNumberFormat="1" applyFont="1" applyFill="1" applyBorder="1" applyAlignment="1" applyProtection="1">
      <alignment horizontal="center" vertical="center" wrapText="1"/>
      <protection locked="0"/>
    </xf>
    <xf numFmtId="0" fontId="79" fillId="2" borderId="99" xfId="0" applyNumberFormat="1" applyFont="1" applyFill="1" applyBorder="1" applyAlignment="1" applyProtection="1">
      <alignment horizontal="center" vertical="center" wrapText="1"/>
    </xf>
    <xf numFmtId="176" fontId="79" fillId="0" borderId="97" xfId="0" applyNumberFormat="1" applyFont="1" applyFill="1" applyBorder="1" applyAlignment="1" applyProtection="1">
      <alignment horizontal="center" vertical="center" wrapText="1"/>
      <protection locked="0"/>
    </xf>
    <xf numFmtId="49" fontId="79" fillId="16" borderId="97" xfId="0" applyNumberFormat="1" applyFont="1" applyFill="1" applyBorder="1" applyAlignment="1" applyProtection="1">
      <alignment horizontal="center" vertical="center" wrapText="1"/>
      <protection locked="0"/>
    </xf>
    <xf numFmtId="0" fontId="92" fillId="2" borderId="67" xfId="0" applyFont="1" applyFill="1" applyBorder="1" applyAlignment="1" applyProtection="1">
      <alignment vertical="center" wrapText="1"/>
    </xf>
    <xf numFmtId="0" fontId="79" fillId="2" borderId="74" xfId="0" applyFont="1" applyFill="1" applyBorder="1" applyAlignment="1" applyProtection="1">
      <alignment horizontal="center" vertical="center" wrapText="1"/>
    </xf>
    <xf numFmtId="0" fontId="79" fillId="16" borderId="82" xfId="0" applyNumberFormat="1" applyFont="1" applyFill="1" applyBorder="1" applyAlignment="1" applyProtection="1">
      <alignment horizontal="center" vertical="center" wrapText="1"/>
      <protection locked="0"/>
    </xf>
    <xf numFmtId="0" fontId="79" fillId="2" borderId="5" xfId="0" applyNumberFormat="1" applyFont="1" applyFill="1" applyBorder="1" applyAlignment="1" applyProtection="1">
      <alignment horizontal="center" vertical="center" wrapText="1"/>
    </xf>
    <xf numFmtId="0" fontId="93" fillId="2" borderId="76" xfId="0" applyFont="1" applyFill="1" applyBorder="1" applyAlignment="1" applyProtection="1">
      <alignment vertical="center" wrapText="1"/>
    </xf>
    <xf numFmtId="0" fontId="79" fillId="2" borderId="13" xfId="0" applyFont="1" applyFill="1" applyBorder="1" applyAlignment="1" applyProtection="1">
      <alignment horizontal="center" vertical="center" wrapText="1"/>
    </xf>
    <xf numFmtId="0" fontId="79" fillId="0" borderId="119" xfId="0" applyNumberFormat="1" applyFont="1" applyFill="1" applyBorder="1" applyAlignment="1" applyProtection="1">
      <alignment horizontal="center" vertical="center" wrapText="1"/>
      <protection locked="0"/>
    </xf>
    <xf numFmtId="0" fontId="79" fillId="2" borderId="8"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wrapText="1"/>
    </xf>
    <xf numFmtId="0" fontId="79" fillId="0" borderId="6" xfId="0" applyNumberFormat="1"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92" fillId="2" borderId="76" xfId="0" applyFont="1" applyFill="1" applyBorder="1" applyAlignment="1" applyProtection="1">
      <alignment vertical="center" wrapText="1"/>
    </xf>
    <xf numFmtId="0" fontId="79" fillId="0" borderId="93" xfId="0" applyFont="1" applyFill="1" applyBorder="1" applyAlignment="1" applyProtection="1">
      <alignment horizontal="center" vertical="center" wrapText="1"/>
      <protection locked="0"/>
    </xf>
    <xf numFmtId="0" fontId="79" fillId="2" borderId="111"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72" fillId="2" borderId="79" xfId="0" applyFont="1" applyFill="1" applyBorder="1" applyAlignment="1" applyProtection="1">
      <alignment vertical="center" wrapText="1"/>
    </xf>
    <xf numFmtId="0" fontId="79" fillId="0" borderId="75"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79" fillId="2" borderId="81" xfId="0" applyFont="1" applyFill="1" applyBorder="1" applyAlignment="1" applyProtection="1">
      <alignment horizontal="center" vertical="center" wrapText="1"/>
    </xf>
    <xf numFmtId="0" fontId="71" fillId="2" borderId="67" xfId="0" applyNumberFormat="1"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106" xfId="0" applyNumberFormat="1" applyFont="1" applyFill="1" applyBorder="1" applyAlignment="1" applyProtection="1">
      <alignment horizontal="center" vertical="center" wrapText="1"/>
      <protection locked="0"/>
    </xf>
    <xf numFmtId="0" fontId="71" fillId="2" borderId="71" xfId="0" applyFont="1" applyFill="1" applyBorder="1" applyAlignment="1" applyProtection="1">
      <alignment horizontal="center" vertical="center"/>
    </xf>
    <xf numFmtId="0" fontId="71" fillId="16" borderId="119"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6" borderId="10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9" fillId="2" borderId="69" xfId="0" applyFont="1" applyFill="1" applyBorder="1" applyAlignment="1" applyProtection="1">
      <alignment horizontal="center" vertical="center" wrapText="1"/>
    </xf>
    <xf numFmtId="0" fontId="71" fillId="2" borderId="68" xfId="0" applyNumberFormat="1" applyFont="1" applyFill="1" applyBorder="1" applyAlignment="1" applyProtection="1">
      <alignment horizontal="center" vertical="center" wrapText="1"/>
    </xf>
    <xf numFmtId="49" fontId="71" fillId="0" borderId="65" xfId="0" applyNumberFormat="1" applyFont="1" applyFill="1" applyBorder="1" applyAlignment="1" applyProtection="1">
      <alignment horizontal="center" vertical="center" wrapText="1"/>
      <protection locked="0"/>
    </xf>
    <xf numFmtId="0" fontId="71" fillId="2" borderId="69" xfId="0" applyNumberFormat="1" applyFont="1" applyFill="1" applyBorder="1" applyAlignment="1" applyProtection="1">
      <alignment horizontal="center" vertical="center" wrapText="1"/>
    </xf>
    <xf numFmtId="0" fontId="79" fillId="2" borderId="85" xfId="0" applyFont="1" applyFill="1" applyBorder="1" applyAlignment="1" applyProtection="1">
      <alignment horizontal="center" vertical="center" wrapText="1"/>
    </xf>
    <xf numFmtId="49" fontId="71" fillId="16" borderId="103" xfId="0" applyNumberFormat="1" applyFont="1" applyFill="1" applyBorder="1" applyAlignment="1" applyProtection="1">
      <alignment horizontal="center" vertical="center" wrapText="1"/>
      <protection locked="0"/>
    </xf>
    <xf numFmtId="0" fontId="92" fillId="2" borderId="70" xfId="0" applyFont="1" applyFill="1" applyBorder="1" applyAlignment="1" applyProtection="1">
      <alignment vertical="center" wrapText="1"/>
    </xf>
    <xf numFmtId="0" fontId="79" fillId="2" borderId="88" xfId="0" applyFont="1" applyFill="1" applyBorder="1" applyAlignment="1" applyProtection="1">
      <alignment horizontal="center" vertical="center" wrapText="1"/>
    </xf>
    <xf numFmtId="0" fontId="79" fillId="16" borderId="133" xfId="0" applyNumberFormat="1" applyFont="1" applyFill="1" applyBorder="1" applyAlignment="1" applyProtection="1">
      <alignment horizontal="center" vertical="center" wrapText="1"/>
      <protection locked="0"/>
    </xf>
    <xf numFmtId="0" fontId="79" fillId="16" borderId="39"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71" fillId="16" borderId="15"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horizontal="center" vertical="center" wrapText="1"/>
    </xf>
    <xf numFmtId="0" fontId="79"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79"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94"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pplyProtection="1">
      <alignment horizontal="center" vertical="center" wrapText="1"/>
    </xf>
    <xf numFmtId="0" fontId="71" fillId="0" borderId="96" xfId="0" applyNumberFormat="1" applyFont="1" applyFill="1" applyBorder="1" applyAlignment="1" applyProtection="1">
      <alignment horizontal="center" vertical="center" wrapText="1"/>
      <protection locked="0"/>
    </xf>
    <xf numFmtId="0" fontId="79" fillId="2" borderId="102"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textRotation="255" wrapText="1"/>
    </xf>
    <xf numFmtId="49" fontId="71" fillId="16" borderId="6" xfId="0" applyNumberFormat="1" applyFont="1" applyFill="1" applyBorder="1" applyAlignment="1" applyProtection="1">
      <alignment horizontal="center" vertical="center" wrapText="1"/>
      <protection locked="0"/>
    </xf>
    <xf numFmtId="0" fontId="92" fillId="2" borderId="76" xfId="0" applyFont="1" applyFill="1" applyBorder="1" applyAlignment="1" applyProtection="1">
      <alignment vertical="center" textRotation="255" wrapText="1"/>
    </xf>
    <xf numFmtId="9" fontId="79" fillId="16"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94" fillId="2" borderId="76" xfId="0" applyFont="1" applyFill="1" applyBorder="1" applyAlignment="1" applyProtection="1">
      <alignment vertical="center" textRotation="255" wrapText="1"/>
    </xf>
    <xf numFmtId="0" fontId="86" fillId="0" borderId="89" xfId="0" applyNumberFormat="1" applyFont="1" applyFill="1" applyBorder="1" applyAlignment="1" applyProtection="1">
      <alignment horizontal="center" vertical="center" wrapText="1"/>
      <protection locked="0"/>
    </xf>
    <xf numFmtId="49" fontId="72" fillId="2" borderId="82" xfId="0" applyNumberFormat="1" applyFont="1" applyFill="1" applyBorder="1" applyAlignment="1" applyProtection="1">
      <alignment vertical="center"/>
    </xf>
    <xf numFmtId="49" fontId="72" fillId="16"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95" fillId="12" borderId="83" xfId="0" applyFont="1" applyFill="1" applyBorder="1" applyAlignment="1" applyProtection="1">
      <alignment vertical="center" wrapText="1"/>
      <protection locked="0"/>
    </xf>
    <xf numFmtId="0" fontId="95" fillId="2" borderId="83" xfId="0" applyFont="1" applyFill="1" applyBorder="1" applyAlignment="1" applyProtection="1">
      <alignment vertical="center" wrapText="1"/>
    </xf>
    <xf numFmtId="0" fontId="95" fillId="12" borderId="82" xfId="0" applyFont="1" applyFill="1" applyBorder="1" applyAlignment="1" applyProtection="1">
      <alignment vertical="center" wrapText="1"/>
      <protection locked="0"/>
    </xf>
    <xf numFmtId="0" fontId="95"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3"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72" fillId="10" borderId="91" xfId="0" applyNumberFormat="1" applyFont="1" applyFill="1" applyBorder="1" applyAlignment="1" applyProtection="1">
      <alignment horizontal="left" vertical="center" wrapText="1"/>
      <protection locked="0"/>
    </xf>
    <xf numFmtId="183" fontId="72" fillId="2" borderId="89" xfId="0" applyNumberFormat="1" applyFont="1" applyFill="1" applyBorder="1" applyAlignment="1" applyProtection="1">
      <alignment vertical="center" wrapText="1"/>
    </xf>
    <xf numFmtId="49" fontId="72" fillId="0" borderId="122"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3" fontId="72" fillId="2" borderId="18" xfId="0" applyNumberFormat="1" applyFont="1" applyFill="1" applyBorder="1" applyAlignment="1" applyProtection="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184" fontId="71" fillId="2" borderId="13" xfId="0" applyNumberFormat="1" applyFont="1" applyFill="1" applyBorder="1" applyAlignment="1" applyProtection="1">
      <alignment horizontal="center" vertical="center"/>
    </xf>
    <xf numFmtId="184" fontId="71" fillId="2" borderId="14" xfId="0" applyNumberFormat="1" applyFont="1" applyFill="1" applyBorder="1" applyAlignment="1" applyProtection="1">
      <alignment vertical="center"/>
    </xf>
    <xf numFmtId="0" fontId="87"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79" fontId="71" fillId="2" borderId="0" xfId="0" applyNumberFormat="1" applyFont="1" applyFill="1" applyAlignment="1" applyProtection="1">
      <alignment horizontal="center" vertical="center"/>
    </xf>
    <xf numFmtId="0" fontId="87"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79"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8"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71"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8"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79"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96" fillId="2" borderId="0" xfId="0" applyFont="1" applyFill="1" applyBorder="1" applyAlignment="1" applyProtection="1"/>
    <xf numFmtId="0" fontId="71" fillId="2" borderId="0" xfId="0" applyFont="1" applyFill="1" applyAlignment="1" applyProtection="1">
      <alignment horizontal="center" vertical="center"/>
    </xf>
    <xf numFmtId="0" fontId="71" fillId="2" borderId="0" xfId="0" applyFont="1" applyFill="1" applyBorder="1" applyAlignment="1" applyProtection="1"/>
    <xf numFmtId="0" fontId="71" fillId="2" borderId="0" xfId="0" applyFont="1" applyFill="1" applyBorder="1" applyAlignment="1" applyProtection="1">
      <alignment horizontal="center"/>
    </xf>
    <xf numFmtId="185" fontId="89" fillId="2" borderId="38" xfId="0" applyNumberFormat="1" applyFont="1" applyFill="1" applyBorder="1" applyAlignment="1" applyProtection="1">
      <alignment horizontal="center" vertical="center"/>
    </xf>
    <xf numFmtId="184" fontId="89" fillId="2" borderId="38" xfId="0" applyNumberFormat="1" applyFont="1" applyFill="1" applyBorder="1" applyAlignment="1" applyProtection="1">
      <alignment vertical="center"/>
    </xf>
    <xf numFmtId="0" fontId="89" fillId="2" borderId="38"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185" fontId="89" fillId="2" borderId="0" xfId="0" applyNumberFormat="1" applyFont="1" applyFill="1" applyBorder="1" applyAlignment="1" applyProtection="1">
      <alignment horizontal="center" vertical="center"/>
      <protection locked="0"/>
    </xf>
    <xf numFmtId="184" fontId="89" fillId="7" borderId="0" xfId="0" applyNumberFormat="1" applyFont="1" applyFill="1" applyBorder="1" applyAlignment="1" applyProtection="1">
      <alignment vertical="center"/>
      <protection locked="0"/>
    </xf>
    <xf numFmtId="0" fontId="89" fillId="7" borderId="0" xfId="0" applyFont="1" applyFill="1" applyBorder="1" applyAlignment="1" applyProtection="1">
      <alignment horizontal="center" vertical="center"/>
      <protection locked="0"/>
    </xf>
    <xf numFmtId="185" fontId="79" fillId="2" borderId="14" xfId="0" applyNumberFormat="1" applyFont="1" applyFill="1" applyBorder="1" applyAlignment="1" applyProtection="1">
      <alignment horizontal="center" vertical="center" wrapText="1"/>
    </xf>
    <xf numFmtId="184" fontId="79"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71" fillId="2" borderId="93"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wrapText="1"/>
    </xf>
    <xf numFmtId="0" fontId="79" fillId="2" borderId="14" xfId="0" applyNumberFormat="1" applyFont="1" applyFill="1" applyBorder="1" applyAlignment="1" applyProtection="1">
      <alignment horizontal="center" vertical="center" wrapText="1"/>
    </xf>
    <xf numFmtId="184"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2" borderId="13" xfId="0" applyFont="1" applyFill="1" applyBorder="1" applyAlignment="1" applyProtection="1">
      <alignment horizontal="center" vertical="center"/>
    </xf>
    <xf numFmtId="0" fontId="79" fillId="7" borderId="65" xfId="0" applyFont="1" applyFill="1" applyBorder="1" applyAlignment="1" applyProtection="1">
      <alignment horizontal="center" vertical="center"/>
      <protection locked="0"/>
    </xf>
    <xf numFmtId="0" fontId="97" fillId="2" borderId="14" xfId="0" applyNumberFormat="1" applyFont="1" applyFill="1" applyBorder="1" applyAlignment="1" applyProtection="1">
      <alignment horizontal="center" vertical="center" wrapText="1"/>
    </xf>
    <xf numFmtId="184" fontId="85"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protection locked="0"/>
    </xf>
    <xf numFmtId="0" fontId="85" fillId="7" borderId="65" xfId="0" applyFont="1" applyFill="1" applyBorder="1" applyAlignment="1" applyProtection="1">
      <alignment horizontal="center" vertical="center"/>
      <protection locked="0"/>
    </xf>
    <xf numFmtId="0" fontId="97" fillId="0" borderId="14" xfId="0" applyNumberFormat="1" applyFont="1" applyFill="1" applyBorder="1" applyAlignment="1" applyProtection="1">
      <alignment horizontal="center" vertical="center" wrapText="1"/>
      <protection locked="0"/>
    </xf>
    <xf numFmtId="184" fontId="86" fillId="7" borderId="0" xfId="0" applyNumberFormat="1" applyFont="1" applyFill="1" applyBorder="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4" fontId="87" fillId="7" borderId="0" xfId="0" applyNumberFormat="1" applyFont="1" applyFill="1" applyBorder="1" applyAlignment="1" applyProtection="1">
      <alignment horizontal="center" vertical="center" wrapText="1"/>
      <protection locked="0"/>
    </xf>
    <xf numFmtId="49" fontId="71" fillId="0" borderId="67"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wrapText="1"/>
    </xf>
    <xf numFmtId="0" fontId="71" fillId="2" borderId="78" xfId="0" applyFont="1" applyFill="1" applyBorder="1" applyAlignment="1" applyProtection="1">
      <alignment horizontal="center" vertical="center" wrapText="1"/>
    </xf>
    <xf numFmtId="49" fontId="71" fillId="0" borderId="76" xfId="0" applyNumberFormat="1" applyFont="1" applyFill="1" applyBorder="1" applyAlignment="1" applyProtection="1">
      <alignment horizontal="center" vertical="center" wrapText="1"/>
      <protection locked="0"/>
    </xf>
    <xf numFmtId="49" fontId="71" fillId="16" borderId="119"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textRotation="255" wrapText="1"/>
    </xf>
    <xf numFmtId="0" fontId="86" fillId="7" borderId="0" xfId="0" applyFont="1" applyFill="1" applyBorder="1" applyAlignment="1" applyProtection="1">
      <alignment horizontal="center" vertical="center"/>
      <protection locked="0"/>
    </xf>
    <xf numFmtId="0" fontId="86" fillId="7" borderId="65" xfId="0" applyFont="1" applyFill="1" applyBorder="1" applyAlignment="1" applyProtection="1">
      <alignment horizontal="center" vertical="center"/>
      <protection locked="0"/>
    </xf>
    <xf numFmtId="0" fontId="71" fillId="2" borderId="78" xfId="0" applyFont="1" applyFill="1" applyBorder="1" applyAlignment="1" applyProtection="1">
      <alignment horizontal="center" vertical="center" textRotation="255" wrapText="1"/>
    </xf>
    <xf numFmtId="0" fontId="71" fillId="0" borderId="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xf>
    <xf numFmtId="185" fontId="71" fillId="2" borderId="14" xfId="0" applyNumberFormat="1" applyFont="1" applyFill="1" applyBorder="1" applyAlignment="1" applyProtection="1">
      <alignment horizontal="center" vertical="center"/>
    </xf>
    <xf numFmtId="184" fontId="71" fillId="7" borderId="0" xfId="0" applyNumberFormat="1" applyFont="1" applyFill="1" applyBorder="1" applyAlignment="1" applyProtection="1">
      <alignment vertical="center" wrapText="1"/>
      <protection locked="0"/>
    </xf>
    <xf numFmtId="179" fontId="71" fillId="2" borderId="87" xfId="0" applyNumberFormat="1" applyFont="1" applyFill="1" applyBorder="1" applyAlignment="1" applyProtection="1">
      <alignment horizontal="left" vertical="center" wrapText="1"/>
    </xf>
    <xf numFmtId="185"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185" fontId="71" fillId="7" borderId="0" xfId="0" applyNumberFormat="1" applyFont="1" applyFill="1" applyAlignment="1" applyProtection="1">
      <alignment horizontal="center" vertical="center"/>
      <protection locked="0"/>
    </xf>
    <xf numFmtId="184" fontId="71" fillId="7" borderId="0" xfId="0" applyNumberFormat="1" applyFont="1" applyFill="1" applyAlignment="1" applyProtection="1">
      <alignment horizontal="center" vertical="center"/>
      <protection locked="0"/>
    </xf>
    <xf numFmtId="185" fontId="87" fillId="7" borderId="0" xfId="0" applyNumberFormat="1" applyFont="1" applyFill="1" applyAlignment="1" applyProtection="1">
      <alignment horizontal="center" vertical="center"/>
      <protection locked="0"/>
    </xf>
    <xf numFmtId="184" fontId="87"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center" vertical="center"/>
    </xf>
    <xf numFmtId="0" fontId="99" fillId="2" borderId="0" xfId="0" applyFont="1" applyFill="1" applyAlignment="1" applyProtection="1">
      <alignment horizontal="left" vertical="center"/>
      <protection locked="0"/>
    </xf>
    <xf numFmtId="0" fontId="8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5" fontId="71" fillId="2" borderId="0" xfId="0" applyNumberFormat="1" applyFont="1" applyFill="1" applyAlignment="1" applyProtection="1">
      <alignment horizontal="center" vertical="center"/>
      <protection locked="0"/>
    </xf>
    <xf numFmtId="184" fontId="71" fillId="2" borderId="0" xfId="0" applyNumberFormat="1" applyFont="1" applyFill="1" applyAlignment="1" applyProtection="1">
      <alignment horizontal="center" vertical="center"/>
      <protection locked="0"/>
    </xf>
    <xf numFmtId="185" fontId="71" fillId="2" borderId="0" xfId="0" applyNumberFormat="1" applyFont="1" applyFill="1" applyBorder="1" applyAlignment="1" applyProtection="1">
      <alignment horizontal="center"/>
    </xf>
    <xf numFmtId="184"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0" fontId="71" fillId="2" borderId="94"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65"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xf>
    <xf numFmtId="0" fontId="71" fillId="2" borderId="65" xfId="0" applyFont="1" applyFill="1" applyBorder="1" applyAlignment="1" applyProtection="1">
      <alignment horizontal="center" vertical="center"/>
    </xf>
    <xf numFmtId="0" fontId="71" fillId="2" borderId="103"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188"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79" fillId="2" borderId="7" xfId="0" applyFont="1" applyFill="1" applyBorder="1" applyAlignment="1" applyProtection="1">
      <alignment horizontal="center" vertical="center" wrapText="1"/>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188" fontId="86" fillId="2" borderId="13" xfId="0" applyNumberFormat="1" applyFont="1" applyFill="1" applyBorder="1" applyAlignment="1" applyProtection="1">
      <alignment horizontal="center" vertical="center"/>
    </xf>
    <xf numFmtId="49" fontId="86" fillId="2" borderId="14" xfId="0" applyNumberFormat="1" applyFont="1" applyFill="1" applyBorder="1" applyAlignment="1" applyProtection="1">
      <alignment horizontal="center" vertical="center"/>
    </xf>
    <xf numFmtId="0" fontId="86" fillId="2" borderId="78" xfId="0"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72" fillId="10" borderId="7" xfId="0" applyNumberFormat="1" applyFont="1" applyFill="1" applyBorder="1" applyAlignment="1" applyProtection="1">
      <alignment horizontal="center" vertical="center"/>
    </xf>
    <xf numFmtId="9" fontId="79" fillId="7"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xf>
    <xf numFmtId="0" fontId="89" fillId="2" borderId="39" xfId="0" applyFont="1" applyFill="1" applyBorder="1" applyAlignment="1" applyProtection="1">
      <alignment horizontal="center" vertical="center"/>
    </xf>
    <xf numFmtId="0" fontId="84" fillId="2" borderId="0" xfId="0" applyFont="1" applyFill="1" applyAlignment="1" applyProtection="1">
      <alignment horizontal="center" vertical="center"/>
    </xf>
    <xf numFmtId="0" fontId="71" fillId="2" borderId="12"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71" fillId="2" borderId="16" xfId="0" applyFont="1" applyFill="1" applyBorder="1" applyAlignment="1" applyProtection="1">
      <alignment vertical="center" textRotation="255" wrapText="1"/>
    </xf>
    <xf numFmtId="0" fontId="92" fillId="2" borderId="112" xfId="0" applyNumberFormat="1" applyFont="1" applyFill="1" applyBorder="1" applyAlignment="1" applyProtection="1">
      <alignment vertical="center"/>
    </xf>
    <xf numFmtId="0" fontId="92" fillId="2" borderId="106" xfId="0" applyNumberFormat="1" applyFont="1" applyFill="1" applyBorder="1" applyAlignment="1" applyProtection="1">
      <alignment vertical="center"/>
    </xf>
    <xf numFmtId="0" fontId="79" fillId="2" borderId="95" xfId="0" applyNumberFormat="1" applyFont="1" applyFill="1" applyBorder="1" applyAlignment="1" applyProtection="1">
      <alignment horizontal="center" vertical="center" wrapText="1"/>
    </xf>
    <xf numFmtId="0" fontId="92" fillId="2" borderId="86" xfId="0" applyNumberFormat="1" applyFont="1" applyFill="1" applyBorder="1" applyAlignment="1" applyProtection="1">
      <alignment horizontal="center" vertical="center" wrapText="1"/>
    </xf>
    <xf numFmtId="10" fontId="92" fillId="2" borderId="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92" fillId="2" borderId="122" xfId="0" applyNumberFormat="1" applyFont="1" applyFill="1" applyBorder="1" applyAlignment="1" applyProtection="1">
      <alignment vertical="center"/>
    </xf>
    <xf numFmtId="0" fontId="92" fillId="2" borderId="127" xfId="0" applyNumberFormat="1" applyFont="1" applyFill="1" applyBorder="1" applyAlignment="1" applyProtection="1">
      <alignment vertical="center" wrapText="1"/>
    </xf>
    <xf numFmtId="0" fontId="79" fillId="0" borderId="127"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protection locked="0"/>
    </xf>
    <xf numFmtId="0" fontId="92" fillId="2" borderId="92" xfId="0" applyNumberFormat="1" applyFont="1" applyFill="1" applyBorder="1" applyAlignment="1" applyProtection="1">
      <alignment vertical="center" wrapText="1"/>
    </xf>
    <xf numFmtId="0" fontId="92" fillId="2" borderId="65" xfId="0" applyNumberFormat="1" applyFont="1" applyFill="1" applyBorder="1" applyAlignment="1" applyProtection="1">
      <alignment vertical="center" wrapText="1"/>
    </xf>
    <xf numFmtId="0" fontId="79" fillId="2" borderId="103"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79" fillId="2" borderId="94" xfId="0" applyNumberFormat="1" applyFont="1" applyFill="1" applyBorder="1" applyAlignment="1" applyProtection="1">
      <alignment horizontal="center" vertical="center" wrapText="1"/>
    </xf>
    <xf numFmtId="0" fontId="79"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79"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86" fillId="2" borderId="134"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9" fillId="2" borderId="135"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9"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86" fillId="2" borderId="78" xfId="0" applyNumberFormat="1" applyFont="1" applyFill="1" applyBorder="1" applyAlignment="1" applyProtection="1">
      <alignment horizontal="center" vertical="center" wrapText="1"/>
    </xf>
    <xf numFmtId="0" fontId="94" fillId="2" borderId="76" xfId="0" applyNumberFormat="1" applyFont="1" applyFill="1" applyBorder="1" applyAlignment="1" applyProtection="1">
      <alignment vertical="center" wrapText="1"/>
    </xf>
    <xf numFmtId="0" fontId="79" fillId="0" borderId="136" xfId="0" applyNumberFormat="1" applyFont="1" applyFill="1" applyBorder="1" applyAlignment="1" applyProtection="1">
      <alignment horizontal="center" vertical="center" wrapText="1"/>
      <protection locked="0"/>
    </xf>
    <xf numFmtId="0" fontId="86" fillId="0" borderId="136"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86" fillId="0" borderId="2"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94" fillId="2" borderId="79" xfId="0" applyNumberFormat="1" applyFont="1" applyFill="1" applyBorder="1" applyAlignment="1" applyProtection="1">
      <alignment vertical="center" wrapText="1"/>
    </xf>
    <xf numFmtId="0" fontId="79" fillId="2" borderId="77" xfId="0" applyNumberFormat="1" applyFont="1" applyFill="1" applyBorder="1" applyAlignment="1" applyProtection="1">
      <alignment horizontal="center" vertical="center" wrapText="1"/>
    </xf>
    <xf numFmtId="0" fontId="79" fillId="0" borderId="10"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79" fillId="2" borderId="2" xfId="0" applyNumberFormat="1" applyFont="1" applyFill="1" applyBorder="1" applyAlignment="1" applyProtection="1">
      <alignment horizontal="center" vertical="center" wrapText="1"/>
    </xf>
    <xf numFmtId="0" fontId="86" fillId="2" borderId="136" xfId="0" applyNumberFormat="1" applyFont="1" applyFill="1" applyBorder="1" applyAlignment="1" applyProtection="1">
      <alignment horizontal="center" vertical="center" wrapText="1"/>
    </xf>
    <xf numFmtId="0" fontId="86"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94" fillId="2" borderId="76" xfId="0" applyNumberFormat="1" applyFont="1" applyFill="1" applyBorder="1" applyAlignment="1" applyProtection="1">
      <alignment vertical="center" textRotation="255" wrapText="1"/>
    </xf>
    <xf numFmtId="0" fontId="79" fillId="2" borderId="92" xfId="0" applyNumberFormat="1" applyFont="1" applyFill="1" applyBorder="1" applyAlignment="1" applyProtection="1">
      <alignment horizontal="center" vertical="center"/>
    </xf>
    <xf numFmtId="0" fontId="71" fillId="0" borderId="12"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86" fillId="2" borderId="77" xfId="0" applyNumberFormat="1" applyFont="1" applyFill="1" applyBorder="1" applyAlignment="1" applyProtection="1">
      <alignment horizontal="center" vertical="center" wrapText="1"/>
    </xf>
    <xf numFmtId="49" fontId="79" fillId="7" borderId="0" xfId="0" applyNumberFormat="1" applyFont="1" applyFill="1" applyBorder="1" applyAlignment="1" applyProtection="1">
      <alignment horizontal="center" vertical="center"/>
      <protection locked="0"/>
    </xf>
    <xf numFmtId="0" fontId="79" fillId="0" borderId="13" xfId="0" applyNumberFormat="1" applyFont="1" applyFill="1" applyBorder="1" applyAlignment="1" applyProtection="1">
      <alignment horizontal="center" vertical="center" wrapText="1"/>
      <protection locked="0"/>
    </xf>
    <xf numFmtId="0" fontId="79" fillId="0" borderId="8" xfId="0" applyNumberFormat="1" applyFont="1" applyFill="1" applyBorder="1" applyAlignment="1" applyProtection="1">
      <alignment horizontal="center" vertical="center" wrapText="1"/>
      <protection locked="0"/>
    </xf>
    <xf numFmtId="0" fontId="79" fillId="0" borderId="105"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9" fillId="0" borderId="69"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left" vertical="center" wrapText="1"/>
      <protection locked="0"/>
    </xf>
    <xf numFmtId="0" fontId="87" fillId="0" borderId="5" xfId="0" applyNumberFormat="1" applyFont="1" applyFill="1" applyBorder="1" applyAlignment="1" applyProtection="1">
      <alignment horizontal="center" vertical="center" wrapText="1"/>
      <protection locked="0"/>
    </xf>
    <xf numFmtId="0" fontId="87"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87" fillId="2" borderId="136" xfId="0" applyNumberFormat="1" applyFont="1" applyFill="1" applyBorder="1" applyAlignment="1" applyProtection="1">
      <alignment horizontal="center" vertical="center" wrapText="1"/>
    </xf>
    <xf numFmtId="0" fontId="87" fillId="2" borderId="136" xfId="0" applyNumberFormat="1" applyFont="1" applyFill="1" applyBorder="1" applyAlignment="1" applyProtection="1">
      <alignment horizontal="left" vertical="center" wrapText="1"/>
    </xf>
    <xf numFmtId="0" fontId="87" fillId="2" borderId="138"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7" fillId="0" borderId="7"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left" vertical="center" wrapText="1"/>
      <protection locked="0"/>
    </xf>
    <xf numFmtId="0" fontId="87" fillId="0" borderId="8" xfId="0" applyNumberFormat="1" applyFont="1" applyFill="1" applyBorder="1" applyAlignment="1" applyProtection="1">
      <alignment horizontal="center" vertical="center" wrapText="1"/>
      <protection locked="0"/>
    </xf>
    <xf numFmtId="0" fontId="86" fillId="0" borderId="136" xfId="0" applyNumberFormat="1" applyFont="1" applyFill="1" applyBorder="1" applyAlignment="1" applyProtection="1">
      <alignment horizontal="left" vertical="center" wrapText="1"/>
      <protection locked="0"/>
    </xf>
    <xf numFmtId="0" fontId="86" fillId="0" borderId="138" xfId="0" applyNumberFormat="1" applyFont="1" applyFill="1" applyBorder="1" applyAlignment="1" applyProtection="1">
      <alignment horizontal="center" vertical="center" wrapText="1"/>
      <protection locked="0"/>
    </xf>
    <xf numFmtId="0" fontId="86" fillId="7" borderId="0"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wrapText="1"/>
      <protection locked="0"/>
    </xf>
    <xf numFmtId="0" fontId="86" fillId="0" borderId="137"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85"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vertical="center" wrapText="1"/>
      <protection locked="0"/>
    </xf>
    <xf numFmtId="0" fontId="86" fillId="0" borderId="11" xfId="0" applyNumberFormat="1" applyFont="1" applyFill="1" applyBorder="1" applyAlignment="1" applyProtection="1">
      <alignment horizontal="center" vertical="center" wrapText="1"/>
      <protection locked="0"/>
    </xf>
    <xf numFmtId="0" fontId="87" fillId="2" borderId="4" xfId="0" applyNumberFormat="1" applyFont="1" applyFill="1" applyBorder="1" applyAlignment="1" applyProtection="1">
      <alignment horizontal="center" vertical="center" wrapText="1"/>
    </xf>
    <xf numFmtId="0" fontId="87" fillId="2" borderId="4" xfId="0" applyNumberFormat="1" applyFont="1" applyFill="1" applyBorder="1" applyAlignment="1" applyProtection="1">
      <alignment horizontal="left" vertical="center" wrapText="1"/>
    </xf>
    <xf numFmtId="0" fontId="87" fillId="2" borderId="5" xfId="0" applyNumberFormat="1" applyFont="1" applyFill="1" applyBorder="1" applyAlignment="1" applyProtection="1">
      <alignment horizontal="center" vertical="center" wrapText="1"/>
    </xf>
    <xf numFmtId="0" fontId="79" fillId="7" borderId="0" xfId="0" applyFont="1" applyFill="1" applyBorder="1" applyAlignment="1" applyProtection="1">
      <alignment vertical="center" wrapText="1"/>
      <protection locked="0"/>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86" fillId="2" borderId="136" xfId="0" applyNumberFormat="1" applyFont="1" applyFill="1" applyBorder="1" applyAlignment="1" applyProtection="1">
      <alignment horizontal="left" vertical="center" wrapText="1"/>
    </xf>
    <xf numFmtId="0" fontId="86" fillId="2" borderId="138" xfId="0" applyNumberFormat="1" applyFont="1" applyFill="1" applyBorder="1" applyAlignment="1" applyProtection="1">
      <alignment horizontal="center" vertical="center" wrapText="1"/>
    </xf>
    <xf numFmtId="0" fontId="86" fillId="2" borderId="137" xfId="0" applyNumberFormat="1" applyFont="1" applyFill="1" applyBorder="1" applyAlignment="1" applyProtection="1">
      <alignment horizontal="center" vertical="center" wrapText="1"/>
    </xf>
    <xf numFmtId="0" fontId="86" fillId="2" borderId="88" xfId="0" applyNumberFormat="1" applyFont="1" applyFill="1" applyBorder="1" applyAlignment="1" applyProtection="1">
      <alignment horizontal="center" vertical="center" wrapText="1"/>
    </xf>
    <xf numFmtId="0" fontId="87" fillId="0" borderId="136" xfId="0" applyNumberFormat="1" applyFont="1" applyFill="1" applyBorder="1" applyAlignment="1" applyProtection="1">
      <alignment horizontal="center" vertical="center" wrapText="1"/>
      <protection locked="0"/>
    </xf>
    <xf numFmtId="0" fontId="87" fillId="0" borderId="136" xfId="0" applyNumberFormat="1" applyFont="1" applyFill="1" applyBorder="1" applyAlignment="1" applyProtection="1">
      <alignment horizontal="left" vertical="center" wrapText="1"/>
      <protection locked="0"/>
    </xf>
    <xf numFmtId="0" fontId="87" fillId="0" borderId="138"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left" vertical="center" wrapText="1"/>
      <protection locked="0"/>
    </xf>
    <xf numFmtId="0" fontId="86" fillId="0" borderId="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9" fillId="7" borderId="0" xfId="0" applyNumberFormat="1" applyFont="1" applyFill="1" applyAlignment="1" applyProtection="1">
      <alignment horizontal="center" vertical="center"/>
      <protection locked="0"/>
    </xf>
    <xf numFmtId="0" fontId="79" fillId="7" borderId="0" xfId="0" applyFont="1" applyFill="1" applyAlignment="1" applyProtection="1">
      <alignment horizontal="center" vertical="center"/>
      <protection locked="0"/>
    </xf>
    <xf numFmtId="9" fontId="86" fillId="7" borderId="0" xfId="0" applyNumberFormat="1" applyFont="1" applyFill="1" applyBorder="1" applyAlignment="1" applyProtection="1">
      <alignment horizontal="center" vertical="center" wrapText="1"/>
      <protection locked="0"/>
    </xf>
    <xf numFmtId="0" fontId="86" fillId="7" borderId="0" xfId="0" applyFont="1" applyFill="1" applyAlignment="1" applyProtection="1">
      <alignment horizontal="center" vertical="center"/>
      <protection locked="0"/>
    </xf>
    <xf numFmtId="9" fontId="8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91" fillId="0" borderId="68" xfId="0" applyFont="1" applyFill="1" applyBorder="1" applyAlignment="1" applyProtection="1">
      <alignment horizontal="center" vertical="center" wrapText="1"/>
      <protection locked="0"/>
    </xf>
    <xf numFmtId="0" fontId="91" fillId="0" borderId="69" xfId="0" applyFont="1" applyFill="1" applyBorder="1" applyAlignment="1" applyProtection="1">
      <alignment horizontal="center" vertical="center" wrapText="1"/>
      <protection locked="0"/>
    </xf>
    <xf numFmtId="0" fontId="91" fillId="0" borderId="94" xfId="0" applyFont="1" applyFill="1" applyBorder="1" applyAlignment="1" applyProtection="1">
      <alignment horizontal="center" vertical="center" wrapText="1"/>
      <protection locked="0"/>
    </xf>
    <xf numFmtId="0" fontId="91" fillId="0" borderId="93" xfId="0" applyFont="1" applyFill="1" applyBorder="1" applyAlignment="1" applyProtection="1">
      <alignment horizontal="center" vertical="center" wrapText="1"/>
      <protection locked="0"/>
    </xf>
    <xf numFmtId="49" fontId="79" fillId="0" borderId="119" xfId="0" applyNumberFormat="1" applyFont="1" applyFill="1" applyBorder="1" applyAlignment="1" applyProtection="1">
      <alignment horizontal="center" vertical="center" wrapText="1"/>
      <protection locked="0"/>
    </xf>
    <xf numFmtId="49" fontId="79" fillId="0" borderId="103" xfId="0" applyNumberFormat="1" applyFont="1" applyFill="1" applyBorder="1" applyAlignment="1" applyProtection="1">
      <alignment horizontal="center" vertical="center" wrapText="1"/>
      <protection locked="0"/>
    </xf>
    <xf numFmtId="0" fontId="79" fillId="2" borderId="66" xfId="0" applyFont="1" applyFill="1" applyBorder="1" applyAlignment="1" applyProtection="1">
      <alignment horizontal="center" vertical="center" wrapText="1"/>
    </xf>
    <xf numFmtId="49" fontId="71" fillId="2" borderId="67"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79" fillId="2" borderId="93" xfId="0" applyFont="1" applyFill="1" applyBorder="1" applyAlignment="1" applyProtection="1">
      <alignment horizontal="center" vertical="center" wrapText="1"/>
    </xf>
    <xf numFmtId="0" fontId="71" fillId="16" borderId="76" xfId="0" applyNumberFormat="1" applyFont="1" applyFill="1" applyBorder="1" applyAlignment="1" applyProtection="1">
      <alignment horizontal="center" vertical="center" wrapText="1"/>
      <protection locked="0"/>
    </xf>
    <xf numFmtId="49" fontId="71" fillId="16" borderId="65" xfId="0" applyNumberFormat="1" applyFont="1" applyFill="1" applyBorder="1" applyAlignment="1" applyProtection="1">
      <alignment horizontal="center" vertical="center" wrapText="1"/>
      <protection locked="0"/>
    </xf>
    <xf numFmtId="49" fontId="71" fillId="0" borderId="94" xfId="0" applyNumberFormat="1" applyFont="1" applyFill="1" applyBorder="1" applyAlignment="1" applyProtection="1">
      <alignment horizontal="center" vertical="center" wrapText="1"/>
      <protection locked="0"/>
    </xf>
    <xf numFmtId="0" fontId="79" fillId="2" borderId="92" xfId="0" applyFont="1" applyFill="1" applyBorder="1" applyAlignment="1" applyProtection="1">
      <alignment horizontal="center" vertical="center" wrapText="1"/>
    </xf>
    <xf numFmtId="0" fontId="79" fillId="0" borderId="13" xfId="0" applyFont="1" applyFill="1" applyBorder="1" applyAlignment="1" applyProtection="1">
      <alignment horizontal="center" vertical="center" wrapText="1"/>
      <protection locked="0"/>
    </xf>
    <xf numFmtId="0" fontId="86" fillId="0" borderId="75" xfId="0" applyFont="1" applyFill="1" applyBorder="1" applyAlignment="1" applyProtection="1">
      <alignment horizontal="center" vertical="center"/>
      <protection locked="0"/>
    </xf>
    <xf numFmtId="0" fontId="86" fillId="2" borderId="11" xfId="0" applyNumberFormat="1"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71" fillId="16" borderId="76" xfId="0" applyNumberFormat="1" applyFont="1" applyFill="1" applyBorder="1" applyAlignment="1" applyProtection="1">
      <alignment horizontal="center" vertical="center" wrapText="1"/>
      <protection locked="0"/>
    </xf>
    <xf numFmtId="49" fontId="71"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84" fillId="0" borderId="0" xfId="0" applyFont="1" applyFill="1" applyBorder="1" applyAlignment="1" applyProtection="1">
      <alignment horizontal="center" vertical="center"/>
      <protection locked="0"/>
    </xf>
    <xf numFmtId="0" fontId="25" fillId="2" borderId="0" xfId="0" applyFont="1" applyFill="1" applyAlignment="1" applyProtection="1"/>
    <xf numFmtId="0" fontId="9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5" fontId="71" fillId="2" borderId="0" xfId="0" applyNumberFormat="1" applyFont="1" applyFill="1" applyBorder="1" applyAlignment="1" applyProtection="1">
      <alignment horizontal="center"/>
      <protection locked="0"/>
    </xf>
    <xf numFmtId="184" fontId="71" fillId="2" borderId="0" xfId="0" applyNumberFormat="1" applyFont="1" applyFill="1" applyBorder="1" applyAlignment="1" applyProtection="1">
      <protection locked="0"/>
    </xf>
    <xf numFmtId="0" fontId="79" fillId="0" borderId="87"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84"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9" fillId="16" borderId="141" xfId="0" applyFont="1" applyFill="1" applyBorder="1" applyAlignment="1" applyProtection="1">
      <alignment horizontal="right" vertical="center"/>
      <protection locked="0"/>
    </xf>
    <xf numFmtId="0" fontId="89" fillId="2" borderId="1" xfId="0" applyFont="1" applyFill="1" applyBorder="1" applyAlignment="1" applyProtection="1">
      <alignment horizontal="center" vertical="center"/>
    </xf>
    <xf numFmtId="0" fontId="89" fillId="16" borderId="141" xfId="0" applyFont="1" applyFill="1" applyBorder="1" applyAlignment="1" applyProtection="1">
      <alignment vertical="center"/>
      <protection locked="0"/>
    </xf>
    <xf numFmtId="0" fontId="89" fillId="3" borderId="141" xfId="0" applyFont="1" applyFill="1" applyBorder="1" applyAlignment="1" applyProtection="1">
      <alignment vertical="center"/>
      <protection locked="0"/>
    </xf>
    <xf numFmtId="0" fontId="89" fillId="3" borderId="2" xfId="0" applyFont="1" applyFill="1" applyBorder="1" applyAlignment="1" applyProtection="1">
      <alignment horizontal="center" vertical="center"/>
      <protection locked="0"/>
    </xf>
    <xf numFmtId="0" fontId="90" fillId="2" borderId="141" xfId="0" applyFont="1" applyFill="1" applyBorder="1" applyAlignment="1" applyProtection="1">
      <alignment vertical="center"/>
    </xf>
    <xf numFmtId="0" fontId="89"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9" fillId="0" borderId="82" xfId="0" applyNumberFormat="1" applyFont="1" applyFill="1" applyBorder="1" applyAlignment="1" applyProtection="1">
      <alignment horizontal="center" vertical="center" wrapText="1"/>
      <protection locked="0"/>
    </xf>
    <xf numFmtId="49" fontId="79" fillId="16" borderId="3" xfId="0" applyNumberFormat="1" applyFont="1" applyFill="1" applyBorder="1" applyAlignment="1" applyProtection="1">
      <alignment horizontal="center" vertical="center" wrapText="1"/>
      <protection locked="0"/>
    </xf>
    <xf numFmtId="0" fontId="79" fillId="2" borderId="74" xfId="0" applyNumberFormat="1" applyFont="1" applyFill="1" applyBorder="1" applyAlignment="1" applyProtection="1">
      <alignment horizontal="center" vertical="center" wrapText="1"/>
    </xf>
    <xf numFmtId="179" fontId="79" fillId="0" borderId="6" xfId="0" applyNumberFormat="1" applyFont="1" applyFill="1" applyBorder="1" applyAlignment="1" applyProtection="1">
      <alignment horizontal="center" vertical="center" wrapText="1"/>
      <protection locked="0"/>
    </xf>
    <xf numFmtId="0" fontId="79" fillId="2" borderId="13" xfId="0" applyNumberFormat="1" applyFont="1" applyFill="1" applyBorder="1" applyAlignment="1" applyProtection="1">
      <alignment horizontal="center" vertical="center" wrapText="1"/>
    </xf>
    <xf numFmtId="0" fontId="79" fillId="0" borderId="86" xfId="0" applyNumberFormat="1"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1" fillId="2" borderId="66"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142" xfId="0" applyNumberFormat="1" applyFont="1" applyFill="1" applyBorder="1" applyAlignment="1" applyProtection="1">
      <alignment horizontal="center" vertical="center" wrapText="1"/>
      <protection locked="0"/>
    </xf>
    <xf numFmtId="0" fontId="79" fillId="2" borderId="88" xfId="0" applyNumberFormat="1" applyFont="1" applyFill="1" applyBorder="1" applyAlignment="1" applyProtection="1">
      <alignment horizontal="center" vertical="center" wrapText="1"/>
    </xf>
    <xf numFmtId="0" fontId="79"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71" fillId="16"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9" fontId="79" fillId="0" borderId="86" xfId="0" applyNumberFormat="1" applyFont="1" applyFill="1" applyBorder="1" applyAlignment="1" applyProtection="1">
      <alignment horizontal="center" vertical="center" wrapText="1"/>
      <protection locked="0"/>
    </xf>
    <xf numFmtId="9" fontId="79" fillId="0" borderId="14" xfId="0" applyNumberFormat="1" applyFont="1" applyFill="1" applyBorder="1" applyAlignment="1" applyProtection="1">
      <alignment horizontal="center" vertical="center" wrapText="1"/>
      <protection locked="0"/>
    </xf>
    <xf numFmtId="9" fontId="79" fillId="0" borderId="6" xfId="0" applyNumberFormat="1" applyFont="1" applyFill="1" applyBorder="1" applyAlignment="1" applyProtection="1">
      <alignment horizontal="center" vertical="center" wrapText="1"/>
      <protection locked="0"/>
    </xf>
    <xf numFmtId="0" fontId="71" fillId="16" borderId="6" xfId="0" applyNumberFormat="1" applyFont="1" applyFill="1" applyBorder="1" applyAlignment="1" applyProtection="1">
      <alignment horizontal="center" vertical="center" wrapText="1"/>
      <protection locked="0"/>
    </xf>
    <xf numFmtId="0" fontId="79" fillId="16" borderId="8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71"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95" fillId="12" borderId="83" xfId="0" applyNumberFormat="1" applyFont="1" applyFill="1" applyBorder="1" applyAlignment="1" applyProtection="1">
      <alignment vertical="center" wrapText="1"/>
      <protection locked="0"/>
    </xf>
    <xf numFmtId="0" fontId="95" fillId="2" borderId="83" xfId="0" applyNumberFormat="1" applyFont="1" applyFill="1" applyBorder="1" applyAlignment="1" applyProtection="1">
      <alignment vertical="center" wrapText="1"/>
    </xf>
    <xf numFmtId="0" fontId="95" fillId="12" borderId="82" xfId="0" applyNumberFormat="1" applyFont="1" applyFill="1" applyBorder="1" applyAlignment="1" applyProtection="1">
      <alignment vertical="center" wrapText="1"/>
      <protection locked="0"/>
    </xf>
    <xf numFmtId="0" fontId="95"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79" fontId="71" fillId="7" borderId="0" xfId="0" applyNumberFormat="1" applyFont="1" applyFill="1" applyAlignment="1" applyProtection="1">
      <alignment horizontal="center" vertical="center"/>
      <protection locked="0"/>
    </xf>
    <xf numFmtId="0" fontId="92" fillId="2" borderId="112" xfId="0" applyNumberFormat="1" applyFont="1" applyFill="1" applyBorder="1" applyAlignment="1" applyProtection="1">
      <alignment vertical="center" wrapText="1"/>
    </xf>
    <xf numFmtId="0" fontId="92" fillId="2" borderId="106" xfId="0" applyNumberFormat="1" applyFont="1" applyFill="1" applyBorder="1" applyAlignment="1" applyProtection="1">
      <alignment vertical="center" wrapText="1"/>
    </xf>
    <xf numFmtId="193" fontId="79" fillId="2" borderId="95" xfId="0" applyNumberFormat="1" applyFont="1" applyFill="1" applyBorder="1" applyAlignment="1" applyProtection="1">
      <alignment horizontal="center" vertical="center" wrapText="1"/>
    </xf>
    <xf numFmtId="193" fontId="79" fillId="2" borderId="4" xfId="0" applyNumberFormat="1" applyFont="1" applyFill="1" applyBorder="1" applyAlignment="1" applyProtection="1">
      <alignment horizontal="center" vertical="center" wrapText="1"/>
    </xf>
    <xf numFmtId="0" fontId="92" fillId="2" borderId="70" xfId="0" applyNumberFormat="1" applyFont="1" applyFill="1" applyBorder="1" applyAlignment="1" applyProtection="1">
      <alignment vertical="center" wrapText="1"/>
    </xf>
    <xf numFmtId="0" fontId="71" fillId="2" borderId="12" xfId="0" applyNumberFormat="1" applyFont="1" applyFill="1" applyBorder="1" applyAlignment="1" applyProtection="1">
      <alignment horizontal="center" vertical="center" wrapText="1"/>
      <protection locked="0"/>
    </xf>
    <xf numFmtId="185" fontId="89" fillId="2" borderId="141" xfId="0" applyNumberFormat="1" applyFont="1" applyFill="1" applyBorder="1" applyAlignment="1" applyProtection="1">
      <alignment horizontal="center" vertical="center"/>
    </xf>
    <xf numFmtId="184" fontId="89" fillId="2" borderId="141" xfId="0" applyNumberFormat="1" applyFont="1" applyFill="1" applyBorder="1" applyAlignment="1" applyProtection="1">
      <alignment vertical="center"/>
    </xf>
    <xf numFmtId="0" fontId="89"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9" fillId="0" borderId="93" xfId="0" applyNumberFormat="1" applyFont="1" applyFill="1" applyBorder="1" applyAlignment="1" applyProtection="1">
      <alignment horizontal="center" vertical="center" wrapText="1"/>
      <protection locked="0"/>
    </xf>
    <xf numFmtId="0" fontId="86"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71" fillId="2" borderId="135" xfId="0" applyNumberFormat="1" applyFont="1" applyFill="1" applyBorder="1" applyAlignment="1" applyProtection="1">
      <alignment horizontal="center" vertical="center" wrapText="1"/>
    </xf>
    <xf numFmtId="0" fontId="71" fillId="0" borderId="0" xfId="0" applyFont="1" applyFill="1" applyAlignment="1" applyProtection="1">
      <alignment horizontal="center" vertical="center"/>
    </xf>
    <xf numFmtId="0" fontId="71" fillId="2" borderId="13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87" fillId="2" borderId="78" xfId="0" applyNumberFormat="1" applyFont="1" applyFill="1" applyBorder="1" applyAlignment="1" applyProtection="1">
      <alignment horizontal="center" vertical="center" wrapText="1"/>
    </xf>
    <xf numFmtId="0" fontId="87" fillId="2" borderId="78" xfId="0" applyNumberFormat="1" applyFont="1" applyFill="1" applyBorder="1" applyAlignment="1" applyProtection="1">
      <alignment horizontal="left" vertical="center" wrapText="1"/>
    </xf>
    <xf numFmtId="0" fontId="87" fillId="2" borderId="88"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185" fontId="71" fillId="0" borderId="0" xfId="0" applyNumberFormat="1" applyFont="1" applyFill="1" applyAlignment="1" applyProtection="1">
      <alignment horizontal="center" vertical="center"/>
    </xf>
    <xf numFmtId="184" fontId="71" fillId="0" borderId="0" xfId="0" applyNumberFormat="1" applyFont="1" applyFill="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1" fillId="0" borderId="92" xfId="0" applyFont="1" applyFill="1" applyBorder="1" applyAlignment="1" applyProtection="1">
      <alignment horizontal="center" vertical="center"/>
      <protection locked="0"/>
    </xf>
    <xf numFmtId="0" fontId="90" fillId="2" borderId="141" xfId="0" applyFont="1" applyFill="1" applyBorder="1" applyAlignment="1" applyProtection="1">
      <alignment vertical="center"/>
      <protection locked="0"/>
    </xf>
    <xf numFmtId="0" fontId="89" fillId="2" borderId="141" xfId="0" applyFont="1" applyFill="1" applyBorder="1" applyAlignment="1" applyProtection="1">
      <alignment vertical="center"/>
      <protection locked="0"/>
    </xf>
    <xf numFmtId="0" fontId="92" fillId="2" borderId="143" xfId="0" applyFont="1" applyFill="1" applyBorder="1" applyAlignment="1" applyProtection="1">
      <alignment vertical="center" wrapText="1"/>
    </xf>
    <xf numFmtId="0" fontId="79" fillId="2" borderId="83" xfId="0" applyFont="1" applyFill="1" applyBorder="1" applyAlignment="1" applyProtection="1">
      <alignment horizontal="center" vertical="center" wrapText="1"/>
    </xf>
    <xf numFmtId="49" fontId="79" fillId="16" borderId="95" xfId="0" applyNumberFormat="1" applyFont="1" applyFill="1" applyBorder="1" applyAlignment="1" applyProtection="1">
      <alignment horizontal="center" vertical="center" wrapText="1"/>
      <protection locked="0"/>
    </xf>
    <xf numFmtId="0" fontId="93" fillId="2" borderId="144" xfId="0" applyFont="1" applyFill="1" applyBorder="1" applyAlignment="1" applyProtection="1">
      <alignment vertical="center" wrapText="1"/>
    </xf>
    <xf numFmtId="0" fontId="79" fillId="2" borderId="15" xfId="0" applyFont="1" applyFill="1" applyBorder="1" applyAlignment="1" applyProtection="1">
      <alignment horizontal="center" vertical="center" wrapText="1"/>
    </xf>
    <xf numFmtId="179" fontId="79" fillId="0" borderId="14" xfId="0" applyNumberFormat="1" applyFont="1" applyFill="1" applyBorder="1" applyAlignment="1" applyProtection="1">
      <alignment horizontal="center" vertical="center" wrapText="1"/>
      <protection locked="0"/>
    </xf>
    <xf numFmtId="0" fontId="72" fillId="2" borderId="144" xfId="0" applyFont="1" applyFill="1" applyBorder="1" applyAlignment="1" applyProtection="1">
      <alignment vertical="center" wrapText="1"/>
    </xf>
    <xf numFmtId="0" fontId="79" fillId="0" borderId="38" xfId="0" applyFont="1" applyFill="1" applyBorder="1" applyAlignment="1" applyProtection="1">
      <alignment horizontal="center" vertical="center" wrapText="1"/>
      <protection locked="0"/>
    </xf>
    <xf numFmtId="0" fontId="92" fillId="2" borderId="144" xfId="0" applyFont="1" applyFill="1" applyBorder="1" applyAlignment="1" applyProtection="1">
      <alignment vertical="center" wrapText="1"/>
    </xf>
    <xf numFmtId="0" fontId="72" fillId="2" borderId="145" xfId="0" applyFont="1" applyFill="1" applyBorder="1" applyAlignment="1" applyProtection="1">
      <alignment vertical="center" wrapText="1"/>
    </xf>
    <xf numFmtId="0" fontId="71" fillId="2" borderId="88" xfId="0" applyFont="1" applyFill="1" applyBorder="1" applyAlignment="1" applyProtection="1">
      <alignment horizontal="center" vertical="center"/>
    </xf>
    <xf numFmtId="0" fontId="79" fillId="0" borderId="69" xfId="0" applyFont="1" applyFill="1" applyBorder="1" applyAlignment="1" applyProtection="1">
      <alignment horizontal="center" vertical="center" wrapText="1"/>
      <protection locked="0"/>
    </xf>
    <xf numFmtId="0" fontId="79" fillId="0" borderId="11" xfId="0" applyFont="1" applyFill="1" applyBorder="1" applyAlignment="1" applyProtection="1">
      <alignment horizontal="center" vertical="center" wrapText="1"/>
      <protection locked="0"/>
    </xf>
    <xf numFmtId="0" fontId="79" fillId="2" borderId="107" xfId="0" applyNumberFormat="1" applyFont="1" applyFill="1" applyBorder="1" applyAlignment="1" applyProtection="1">
      <alignment horizontal="center" vertical="center" wrapText="1"/>
    </xf>
    <xf numFmtId="0" fontId="79" fillId="0" borderId="79" xfId="0" applyNumberFormat="1" applyFont="1" applyFill="1" applyBorder="1" applyAlignment="1" applyProtection="1">
      <alignment horizontal="center" vertical="center" wrapText="1"/>
      <protection locked="0"/>
    </xf>
    <xf numFmtId="0" fontId="79" fillId="2" borderId="105" xfId="0" applyNumberFormat="1" applyFont="1" applyFill="1" applyBorder="1" applyAlignment="1" applyProtection="1">
      <alignment horizontal="center" vertical="center" wrapText="1"/>
    </xf>
    <xf numFmtId="0" fontId="72" fillId="2" borderId="112" xfId="0" applyFont="1" applyFill="1" applyBorder="1" applyAlignment="1" applyProtection="1">
      <alignment vertical="center" textRotation="255" wrapText="1"/>
    </xf>
    <xf numFmtId="0" fontId="79" fillId="2" borderId="5" xfId="0" applyFont="1" applyFill="1" applyBorder="1" applyAlignment="1" applyProtection="1">
      <alignment horizontal="center" vertical="center" wrapText="1"/>
    </xf>
    <xf numFmtId="0" fontId="71" fillId="2" borderId="119" xfId="0" applyNumberFormat="1" applyFont="1" applyFill="1" applyBorder="1" applyAlignment="1" applyProtection="1">
      <alignment horizontal="center" vertical="center" wrapText="1"/>
    </xf>
    <xf numFmtId="0" fontId="94" fillId="2" borderId="70" xfId="0" applyFont="1" applyFill="1" applyBorder="1" applyAlignment="1" applyProtection="1">
      <alignment vertical="center" textRotation="255" wrapText="1"/>
    </xf>
    <xf numFmtId="49" fontId="79"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92" fillId="2" borderId="70" xfId="0" applyFont="1" applyFill="1" applyBorder="1" applyAlignment="1" applyProtection="1">
      <alignment vertical="center" textRotation="255" wrapText="1"/>
    </xf>
    <xf numFmtId="0" fontId="72" fillId="2" borderId="122"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96"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79" fillId="2" borderId="94" xfId="0" applyNumberFormat="1" applyFont="1" applyFill="1" applyBorder="1" applyAlignment="1" applyProtection="1">
      <alignment horizontal="center" vertical="center" wrapText="1"/>
      <protection locked="0"/>
    </xf>
    <xf numFmtId="185" fontId="89" fillId="2" borderId="141" xfId="0" applyNumberFormat="1" applyFont="1" applyFill="1" applyBorder="1" applyAlignment="1" applyProtection="1">
      <alignment horizontal="center" vertical="center"/>
      <protection locked="0"/>
    </xf>
    <xf numFmtId="184" fontId="89" fillId="2" borderId="141" xfId="0" applyNumberFormat="1" applyFont="1" applyFill="1" applyBorder="1" applyAlignment="1" applyProtection="1">
      <alignment vertical="center"/>
      <protection locked="0"/>
    </xf>
    <xf numFmtId="0" fontId="89" fillId="2" borderId="141" xfId="0" applyFont="1" applyFill="1" applyBorder="1" applyAlignment="1" applyProtection="1">
      <alignment horizontal="center" vertical="center"/>
      <protection locked="0"/>
    </xf>
    <xf numFmtId="0" fontId="89" fillId="2" borderId="146" xfId="0" applyFont="1" applyFill="1" applyBorder="1" applyAlignment="1" applyProtection="1">
      <alignment horizontal="center" vertical="center"/>
    </xf>
    <xf numFmtId="0" fontId="89" fillId="2" borderId="92" xfId="0" applyFont="1" applyFill="1" applyBorder="1" applyAlignment="1" applyProtection="1">
      <alignment horizontal="center" vertical="center"/>
    </xf>
    <xf numFmtId="185" fontId="71" fillId="12" borderId="14" xfId="0" applyNumberFormat="1" applyFont="1" applyFill="1" applyBorder="1" applyAlignment="1" applyProtection="1">
      <alignment horizontal="center" vertical="center"/>
      <protection locked="0"/>
    </xf>
    <xf numFmtId="185"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87"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79" fillId="7" borderId="92" xfId="0" applyNumberFormat="1" applyFont="1" applyFill="1" applyBorder="1" applyAlignment="1" applyProtection="1">
      <alignment horizontal="center" vertical="center"/>
      <protection locked="0"/>
    </xf>
    <xf numFmtId="9" fontId="79"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9" fillId="7" borderId="92" xfId="0" applyFont="1" applyFill="1" applyBorder="1" applyAlignment="1" applyProtection="1">
      <alignment horizontal="center" vertical="center" wrapText="1"/>
      <protection locked="0"/>
    </xf>
    <xf numFmtId="0" fontId="86" fillId="7" borderId="92" xfId="0" applyFont="1" applyFill="1" applyBorder="1" applyAlignment="1" applyProtection="1">
      <alignment horizontal="center" vertical="center" wrapText="1"/>
      <protection locked="0"/>
    </xf>
    <xf numFmtId="0" fontId="86"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49" fontId="71"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left" vertical="center" wrapText="1"/>
      <protection locked="0"/>
    </xf>
    <xf numFmtId="49" fontId="87" fillId="0" borderId="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87" fillId="0" borderId="78" xfId="0" applyNumberFormat="1" applyFont="1" applyFill="1" applyBorder="1" applyAlignment="1" applyProtection="1">
      <alignment horizontal="center" vertical="center" wrapText="1"/>
      <protection locked="0"/>
    </xf>
    <xf numFmtId="0" fontId="87" fillId="0" borderId="78" xfId="0" applyNumberFormat="1" applyFont="1" applyFill="1" applyBorder="1" applyAlignment="1" applyProtection="1">
      <alignment horizontal="left" vertical="center" wrapText="1"/>
      <protection locked="0"/>
    </xf>
    <xf numFmtId="0" fontId="87" fillId="0" borderId="88"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89" fillId="2" borderId="141" xfId="0" applyFont="1" applyFill="1" applyBorder="1" applyAlignment="1" applyProtection="1">
      <alignment horizontal="right" vertical="center"/>
    </xf>
    <xf numFmtId="0" fontId="79" fillId="0" borderId="15" xfId="0" applyNumberFormat="1" applyFont="1" applyFill="1" applyBorder="1" applyAlignment="1" applyProtection="1">
      <alignment horizontal="center" vertical="center" wrapText="1"/>
      <protection locked="0"/>
    </xf>
    <xf numFmtId="0" fontId="79" fillId="2" borderId="85" xfId="0" applyNumberFormat="1" applyFont="1" applyFill="1" applyBorder="1" applyAlignment="1" applyProtection="1">
      <alignment horizontal="center" vertical="center" wrapText="1"/>
    </xf>
    <xf numFmtId="0" fontId="79" fillId="2" borderId="102" xfId="0" applyNumberFormat="1" applyFont="1" applyFill="1" applyBorder="1" applyAlignment="1" applyProtection="1">
      <alignment horizontal="center" vertical="center" wrapText="1"/>
    </xf>
    <xf numFmtId="184" fontId="89" fillId="2" borderId="0" xfId="0" applyNumberFormat="1" applyFont="1" applyFill="1" applyBorder="1" applyAlignment="1" applyProtection="1">
      <alignment vertical="center"/>
      <protection locked="0"/>
    </xf>
    <xf numFmtId="0" fontId="89" fillId="2" borderId="0"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4" fontId="85"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65" xfId="0" applyFont="1" applyFill="1" applyBorder="1" applyAlignment="1" applyProtection="1">
      <alignment horizontal="center" vertical="center"/>
      <protection locked="0"/>
    </xf>
    <xf numFmtId="184" fontId="86" fillId="2" borderId="0" xfId="0" applyNumberFormat="1" applyFont="1" applyFill="1" applyBorder="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4" fontId="87"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0" fontId="71" fillId="2" borderId="16" xfId="0" applyFont="1" applyFill="1" applyBorder="1" applyAlignment="1" applyProtection="1">
      <alignment horizontal="center" vertical="center" textRotation="255" wrapText="1"/>
    </xf>
    <xf numFmtId="184" fontId="71" fillId="2" borderId="0" xfId="0" applyNumberFormat="1" applyFont="1" applyFill="1" applyBorder="1" applyAlignment="1" applyProtection="1">
      <alignment vertical="center" wrapText="1"/>
      <protection locked="0"/>
    </xf>
    <xf numFmtId="184" fontId="87" fillId="2" borderId="0" xfId="0" applyNumberFormat="1" applyFont="1" applyFill="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49" fontId="79"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xf>
    <xf numFmtId="0" fontId="79" fillId="0" borderId="107"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7"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86" fillId="2"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0" fontId="72" fillId="10" borderId="7" xfId="0" applyNumberFormat="1" applyFont="1" applyFill="1" applyBorder="1" applyAlignment="1" applyProtection="1">
      <alignment horizontal="center" vertical="center"/>
    </xf>
    <xf numFmtId="9" fontId="86"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86" fillId="0" borderId="0" xfId="0" applyFont="1" applyFill="1" applyBorder="1" applyAlignment="1" applyProtection="1">
      <alignment horizontal="center" vertical="center"/>
      <protection locked="0"/>
    </xf>
    <xf numFmtId="0" fontId="86" fillId="0" borderId="0" xfId="0" applyFont="1" applyFill="1" applyBorder="1" applyAlignment="1" applyProtection="1">
      <alignment vertical="center" wrapText="1"/>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4" fillId="2" borderId="0" xfId="0" applyFont="1" applyFill="1" applyAlignment="1" applyProtection="1">
      <alignment horizontal="center" vertical="center"/>
      <protection locked="0"/>
    </xf>
    <xf numFmtId="0" fontId="100" fillId="0" borderId="82" xfId="0" applyNumberFormat="1" applyFont="1" applyFill="1" applyBorder="1" applyAlignment="1" applyProtection="1">
      <alignment horizontal="center" vertical="center" wrapText="1"/>
      <protection locked="0"/>
    </xf>
    <xf numFmtId="0" fontId="79" fillId="0" borderId="103" xfId="0" applyNumberFormat="1" applyFont="1" applyFill="1" applyBorder="1" applyAlignment="1" applyProtection="1">
      <alignment horizontal="center" vertical="center" wrapText="1"/>
      <protection locked="0"/>
    </xf>
    <xf numFmtId="49" fontId="71" fillId="2" borderId="106"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1" fillId="16" borderId="6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9" fillId="16" borderId="103" xfId="0" applyNumberFormat="1" applyFont="1" applyFill="1" applyBorder="1" applyAlignment="1" applyProtection="1">
      <alignment horizontal="center" vertical="center" wrapText="1"/>
      <protection locked="0"/>
    </xf>
    <xf numFmtId="0" fontId="79" fillId="16" borderId="119" xfId="0" applyNumberFormat="1"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79" fillId="0" borderId="94" xfId="0" applyNumberFormat="1" applyFont="1" applyFill="1" applyBorder="1" applyAlignment="1" applyProtection="1">
      <alignment horizontal="center" vertical="center" wrapText="1"/>
      <protection locked="0"/>
    </xf>
    <xf numFmtId="0" fontId="71" fillId="2" borderId="112" xfId="0" applyFont="1" applyFill="1" applyBorder="1" applyAlignment="1" applyProtection="1">
      <alignment horizontal="center" vertical="center" wrapText="1"/>
    </xf>
    <xf numFmtId="184" fontId="100" fillId="17" borderId="0" xfId="0" applyNumberFormat="1" applyFont="1" applyFill="1" applyBorder="1" applyAlignment="1" applyProtection="1">
      <alignment vertical="center" wrapText="1"/>
      <protection locked="0"/>
    </xf>
    <xf numFmtId="0" fontId="71" fillId="2" borderId="70" xfId="0" applyFont="1" applyFill="1" applyBorder="1" applyAlignment="1" applyProtection="1">
      <alignment horizontal="center" vertical="center" wrapText="1"/>
    </xf>
    <xf numFmtId="0" fontId="71" fillId="2" borderId="133" xfId="0" applyFont="1" applyFill="1" applyBorder="1" applyAlignment="1" applyProtection="1">
      <alignment horizontal="center" vertical="center" wrapText="1"/>
    </xf>
    <xf numFmtId="0" fontId="79" fillId="2" borderId="86" xfId="0" applyFont="1" applyFill="1" applyBorder="1" applyAlignment="1" applyProtection="1">
      <alignment horizontal="center" vertical="center"/>
    </xf>
    <xf numFmtId="0" fontId="71" fillId="2" borderId="68" xfId="0" applyFont="1" applyFill="1" applyBorder="1" applyAlignment="1" applyProtection="1">
      <alignment horizontal="center" vertical="center" wrapText="1"/>
    </xf>
    <xf numFmtId="0" fontId="71" fillId="2" borderId="76" xfId="0" applyFont="1" applyFill="1" applyBorder="1" applyAlignment="1" applyProtection="1">
      <alignment horizontal="center" vertical="center" wrapText="1"/>
    </xf>
    <xf numFmtId="0" fontId="71" fillId="2" borderId="68" xfId="0" applyFont="1" applyFill="1" applyBorder="1" applyAlignment="1" applyProtection="1">
      <alignment horizontal="center" vertical="center" textRotation="255" wrapText="1"/>
    </xf>
    <xf numFmtId="0" fontId="71" fillId="2" borderId="76" xfId="0" applyFont="1" applyFill="1" applyBorder="1" applyAlignment="1" applyProtection="1">
      <alignment horizontal="center" vertical="center" textRotation="255" wrapText="1"/>
    </xf>
    <xf numFmtId="0" fontId="71" fillId="2" borderId="119" xfId="0" applyFont="1" applyFill="1" applyBorder="1" applyAlignment="1" applyProtection="1">
      <alignment horizontal="center" vertical="center" textRotation="255" wrapText="1"/>
    </xf>
    <xf numFmtId="0" fontId="71" fillId="2" borderId="89" xfId="0" applyFont="1" applyFill="1" applyBorder="1" applyAlignment="1" applyProtection="1">
      <alignment horizontal="center" vertical="center" wrapText="1"/>
    </xf>
    <xf numFmtId="0" fontId="71" fillId="2" borderId="106" xfId="0" applyFont="1" applyFill="1" applyBorder="1" applyAlignment="1" applyProtection="1">
      <alignment horizontal="center" vertical="center" wrapText="1"/>
    </xf>
    <xf numFmtId="0" fontId="71" fillId="2" borderId="66" xfId="0"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0" xfId="0" applyFont="1" applyFill="1" applyBorder="1" applyAlignment="1" applyProtection="1">
      <alignment horizontal="center" vertical="center"/>
    </xf>
    <xf numFmtId="0" fontId="71"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9" fillId="2" borderId="8"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2" xfId="0"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79" fillId="0" borderId="147" xfId="0" applyNumberFormat="1" applyFont="1" applyFill="1" applyBorder="1" applyAlignment="1" applyProtection="1">
      <alignment horizontal="center" vertical="center"/>
      <protection locked="0"/>
    </xf>
    <xf numFmtId="0" fontId="101"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86" fillId="7" borderId="92" xfId="0" applyFont="1" applyFill="1" applyBorder="1" applyAlignment="1" applyProtection="1">
      <alignment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89" fillId="2" borderId="140" xfId="0" applyFont="1" applyFill="1" applyBorder="1" applyAlignment="1" applyProtection="1">
      <alignment horizontal="right" vertical="center"/>
    </xf>
    <xf numFmtId="0" fontId="89" fillId="3" borderId="148" xfId="0" applyFont="1" applyFill="1" applyBorder="1" applyAlignment="1" applyProtection="1">
      <alignment vertical="center"/>
      <protection locked="0"/>
    </xf>
    <xf numFmtId="0" fontId="71" fillId="16" borderId="3" xfId="0" applyFont="1" applyFill="1" applyBorder="1" applyAlignment="1" applyProtection="1">
      <alignment horizontal="center" vertical="center" wrapText="1"/>
      <protection locked="0"/>
    </xf>
    <xf numFmtId="0" fontId="71" fillId="16" borderId="6" xfId="0" applyFont="1" applyFill="1" applyBorder="1" applyAlignment="1" applyProtection="1">
      <alignment horizontal="center" vertical="center" wrapText="1"/>
      <protection locked="0"/>
    </xf>
    <xf numFmtId="17" fontId="86" fillId="0" borderId="86" xfId="0" applyNumberFormat="1" applyFont="1" applyFill="1" applyBorder="1" applyAlignment="1" applyProtection="1">
      <alignment horizontal="center" vertical="center" wrapText="1"/>
      <protection locked="0"/>
    </xf>
    <xf numFmtId="0" fontId="86" fillId="0" borderId="86"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horizontal="center" vertical="center"/>
      <protection locked="0"/>
    </xf>
    <xf numFmtId="0" fontId="89" fillId="2"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87"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79" fillId="7" borderId="70" xfId="0" applyNumberFormat="1" applyFont="1" applyFill="1" applyBorder="1" applyAlignment="1" applyProtection="1">
      <alignment horizontal="center" vertical="center"/>
      <protection locked="0"/>
    </xf>
    <xf numFmtId="9" fontId="79"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9" fillId="7" borderId="70" xfId="0" applyFont="1" applyFill="1" applyBorder="1" applyAlignment="1" applyProtection="1">
      <alignment horizontal="center" vertical="center" wrapText="1"/>
      <protection locked="0"/>
    </xf>
    <xf numFmtId="0" fontId="89"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84"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6" fillId="7" borderId="70" xfId="0" applyFont="1" applyFill="1" applyBorder="1" applyAlignment="1" applyProtection="1">
      <alignment horizontal="center" vertical="center" wrapText="1"/>
      <protection locked="0"/>
    </xf>
    <xf numFmtId="0" fontId="86" fillId="7" borderId="70" xfId="0" applyFont="1" applyFill="1" applyBorder="1" applyAlignment="1" applyProtection="1">
      <alignment horizontal="center" vertical="center"/>
      <protection locked="0"/>
    </xf>
    <xf numFmtId="0" fontId="86" fillId="7" borderId="70" xfId="0" applyFont="1" applyFill="1" applyBorder="1" applyAlignment="1" applyProtection="1">
      <alignment vertical="center" wrapText="1"/>
      <protection locked="0"/>
    </xf>
    <xf numFmtId="0" fontId="79"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49" fontId="79" fillId="16" borderId="100" xfId="0" applyNumberFormat="1" applyFont="1" applyFill="1" applyBorder="1" applyAlignment="1" applyProtection="1">
      <alignment horizontal="center" vertical="center" wrapText="1"/>
      <protection locked="0"/>
    </xf>
    <xf numFmtId="49" fontId="71" fillId="16" borderId="14" xfId="0" applyNumberFormat="1" applyFont="1" applyFill="1" applyBorder="1" applyAlignment="1" applyProtection="1">
      <alignment horizontal="center" vertical="center" wrapText="1"/>
      <protection locked="0"/>
    </xf>
    <xf numFmtId="0" fontId="71" fillId="16" borderId="95" xfId="0" applyFont="1" applyFill="1" applyBorder="1" applyAlignment="1" applyProtection="1">
      <alignment horizontal="center" vertical="center" wrapText="1"/>
      <protection locked="0"/>
    </xf>
    <xf numFmtId="0" fontId="71" fillId="16" borderId="14" xfId="0"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93" fontId="79" fillId="2" borderId="106" xfId="0" applyNumberFormat="1" applyFont="1" applyFill="1" applyBorder="1" applyAlignment="1" applyProtection="1">
      <alignment horizontal="center" vertical="center" wrapText="1"/>
    </xf>
    <xf numFmtId="0" fontId="92" fillId="2" borderId="0" xfId="0" applyNumberFormat="1" applyFont="1" applyFill="1" applyBorder="1" applyAlignment="1" applyProtection="1">
      <alignment vertical="center" wrapText="1"/>
    </xf>
    <xf numFmtId="0" fontId="89" fillId="2" borderId="149" xfId="0" applyFont="1" applyFill="1" applyBorder="1" applyAlignment="1" applyProtection="1">
      <alignment horizontal="center" vertical="center"/>
    </xf>
    <xf numFmtId="185"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5" fontId="79" fillId="2" borderId="84" xfId="0" applyNumberFormat="1" applyFont="1" applyFill="1" applyBorder="1" applyAlignment="1" applyProtection="1">
      <alignment horizontal="center" vertical="center" wrapText="1"/>
    </xf>
    <xf numFmtId="185" fontId="79" fillId="2" borderId="87" xfId="0" applyNumberFormat="1" applyFont="1" applyFill="1" applyBorder="1" applyAlignment="1" applyProtection="1">
      <alignment horizontal="center" vertical="center" wrapText="1"/>
    </xf>
    <xf numFmtId="0" fontId="79"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5" fontId="71" fillId="2" borderId="87" xfId="0" applyNumberFormat="1" applyFont="1" applyFill="1" applyBorder="1" applyAlignment="1" applyProtection="1">
      <alignment horizontal="center" vertical="center"/>
    </xf>
    <xf numFmtId="179" fontId="71" fillId="10" borderId="87" xfId="0" applyNumberFormat="1" applyFont="1" applyFill="1" applyBorder="1" applyAlignment="1" applyProtection="1">
      <alignment horizontal="left" vertical="center" wrapText="1"/>
    </xf>
    <xf numFmtId="185" fontId="71" fillId="2" borderId="11" xfId="0" applyNumberFormat="1" applyFont="1" applyFill="1" applyBorder="1" applyAlignment="1" applyProtection="1">
      <alignment horizontal="center" vertical="center" wrapText="1"/>
    </xf>
    <xf numFmtId="0" fontId="87" fillId="0" borderId="70" xfId="0" applyFont="1" applyFill="1" applyBorder="1" applyAlignment="1" applyProtection="1">
      <alignment horizontal="center" vertical="center"/>
      <protection locked="0"/>
    </xf>
    <xf numFmtId="0" fontId="71" fillId="0" borderId="70" xfId="0" applyFont="1" applyBorder="1" applyAlignment="1" applyProtection="1">
      <protection locked="0"/>
    </xf>
    <xf numFmtId="49" fontId="79" fillId="0" borderId="70" xfId="0" applyNumberFormat="1" applyFont="1" applyFill="1" applyBorder="1" applyAlignment="1" applyProtection="1">
      <alignment horizontal="center" vertical="center"/>
      <protection locked="0"/>
    </xf>
    <xf numFmtId="9" fontId="79"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9"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6" fillId="0" borderId="70" xfId="0" applyFont="1" applyFill="1" applyBorder="1" applyAlignment="1" applyProtection="1">
      <alignment horizontal="center" vertical="center" wrapText="1"/>
      <protection locked="0"/>
    </xf>
    <xf numFmtId="0" fontId="86" fillId="0" borderId="70" xfId="0" applyFont="1" applyFill="1" applyBorder="1" applyAlignment="1" applyProtection="1">
      <alignment horizontal="center" vertical="center"/>
      <protection locked="0"/>
    </xf>
    <xf numFmtId="0" fontId="86" fillId="0" borderId="70" xfId="0" applyFont="1" applyFill="1" applyBorder="1" applyAlignment="1" applyProtection="1">
      <alignment vertical="center" wrapText="1"/>
      <protection locked="0"/>
    </xf>
    <xf numFmtId="0" fontId="79" fillId="0" borderId="70" xfId="0" applyFont="1" applyFill="1" applyBorder="1" applyAlignment="1" applyProtection="1">
      <alignment vertical="center" wrapText="1"/>
      <protection locked="0"/>
    </xf>
    <xf numFmtId="0" fontId="86" fillId="2" borderId="7" xfId="0" applyNumberFormat="1" applyFont="1" applyFill="1" applyBorder="1" applyAlignment="1" applyProtection="1">
      <alignment horizontal="center" vertical="center" wrapText="1"/>
    </xf>
    <xf numFmtId="0" fontId="86" fillId="2" borderId="7" xfId="0" applyNumberFormat="1" applyFont="1" applyFill="1" applyBorder="1" applyAlignment="1" applyProtection="1">
      <alignment horizontal="left" vertical="center" wrapText="1"/>
    </xf>
    <xf numFmtId="0" fontId="86" fillId="2" borderId="8"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1" fillId="2" borderId="73" xfId="0" applyFont="1" applyFill="1" applyBorder="1" applyAlignment="1" applyProtection="1">
      <alignment horizontal="center" vertical="center"/>
    </xf>
    <xf numFmtId="0" fontId="71"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9" fontId="47" fillId="2" borderId="8" xfId="0" applyNumberFormat="1" applyFont="1" applyFill="1" applyBorder="1" applyAlignment="1" applyProtection="1">
      <alignment horizontal="center" vertical="center"/>
    </xf>
    <xf numFmtId="18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8" fillId="2" borderId="6" xfId="0" applyFont="1" applyFill="1" applyBorder="1" applyAlignment="1">
      <alignment horizontal="left" vertical="center"/>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8" fillId="7" borderId="0" xfId="0" applyFont="1" applyFill="1" applyBorder="1">
      <alignment vertical="center"/>
    </xf>
    <xf numFmtId="0" fontId="7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3" fillId="0" borderId="0" xfId="61" applyFont="1" applyAlignment="1">
      <alignment horizontal="left"/>
    </xf>
    <xf numFmtId="0" fontId="103" fillId="0" borderId="0" xfId="61" applyFont="1" applyFill="1" applyAlignment="1" applyProtection="1">
      <alignment horizontal="left"/>
      <protection locked="0"/>
    </xf>
    <xf numFmtId="0" fontId="103" fillId="0" borderId="0" xfId="61" applyFont="1" applyAlignment="1" applyProtection="1">
      <alignment horizontal="left"/>
      <protection locked="0"/>
    </xf>
    <xf numFmtId="0" fontId="104" fillId="0" borderId="0" xfId="61" applyFont="1" applyAlignment="1" applyProtection="1">
      <alignment horizontal="left"/>
      <protection locked="0"/>
    </xf>
    <xf numFmtId="0" fontId="104" fillId="0" borderId="0" xfId="61" applyFont="1" applyAlignment="1" applyProtection="1">
      <alignment horizontal="left" vertical="center"/>
      <protection locked="0"/>
    </xf>
    <xf numFmtId="49" fontId="105" fillId="2" borderId="39" xfId="61" applyNumberFormat="1" applyFont="1" applyFill="1" applyBorder="1" applyAlignment="1" applyProtection="1"/>
    <xf numFmtId="0" fontId="84"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3" fontId="82"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79"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82"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9"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5"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4" fontId="25" fillId="0" borderId="155"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5"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5"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79"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79" fontId="25" fillId="0" borderId="75" xfId="61" applyNumberFormat="1" applyFont="1" applyFill="1" applyBorder="1" applyAlignment="1" applyProtection="1">
      <alignment horizontal="left" vertical="center"/>
      <protection locked="0"/>
    </xf>
    <xf numFmtId="179" fontId="25" fillId="0" borderId="156" xfId="61" applyNumberFormat="1" applyFont="1" applyFill="1" applyBorder="1" applyAlignment="1" applyProtection="1">
      <alignment horizontal="left" vertical="center"/>
      <protection locked="0"/>
    </xf>
    <xf numFmtId="179" fontId="25" fillId="0" borderId="96" xfId="61" applyNumberFormat="1" applyFont="1" applyFill="1" applyBorder="1" applyAlignment="1" applyProtection="1">
      <alignment horizontal="left" vertical="center"/>
      <protection locked="0"/>
    </xf>
    <xf numFmtId="179"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3" borderId="133" xfId="61" applyFont="1" applyFill="1" applyBorder="1" applyAlignment="1" applyProtection="1">
      <alignment vertical="center"/>
      <protection locked="0"/>
    </xf>
    <xf numFmtId="0" fontId="29" fillId="13"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63"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10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4" fillId="0" borderId="0" xfId="61" applyFont="1" applyAlignment="1">
      <alignment horizontal="left"/>
    </xf>
    <xf numFmtId="0" fontId="8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5"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84" fillId="2" borderId="0" xfId="0" applyFont="1" applyFill="1" applyAlignment="1" applyProtection="1">
      <alignment vertical="center"/>
      <protection locked="0"/>
    </xf>
    <xf numFmtId="191" fontId="82"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8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2" fillId="2" borderId="68" xfId="0" applyNumberFormat="1" applyFont="1" applyFill="1" applyBorder="1" applyAlignment="1" applyProtection="1">
      <alignment vertical="center"/>
    </xf>
    <xf numFmtId="0" fontId="82"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2"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2"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2" fillId="2" borderId="76" xfId="0" applyNumberFormat="1" applyFont="1" applyFill="1" applyBorder="1" applyAlignment="1" applyProtection="1">
      <alignment vertical="center"/>
    </xf>
    <xf numFmtId="0" fontId="82"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82"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82" fillId="3" borderId="69" xfId="0" applyNumberFormat="1" applyFont="1" applyFill="1" applyBorder="1" applyAlignment="1" applyProtection="1">
      <alignment horizontal="center" vertical="center"/>
      <protection locked="0"/>
    </xf>
    <xf numFmtId="49" fontId="82" fillId="2" borderId="119" xfId="0" applyNumberFormat="1" applyFont="1" applyFill="1" applyBorder="1" applyAlignment="1" applyProtection="1">
      <alignment vertical="center"/>
    </xf>
    <xf numFmtId="0" fontId="107" fillId="2" borderId="7" xfId="0" applyFont="1" applyFill="1" applyBorder="1" applyAlignment="1" applyProtection="1">
      <alignment horizontal="right" vertical="center" wrapText="1"/>
    </xf>
    <xf numFmtId="0" fontId="82" fillId="2" borderId="7" xfId="0" applyFont="1" applyFill="1" applyBorder="1" applyAlignment="1" applyProtection="1">
      <alignment horizontal="center" vertical="center"/>
      <protection locked="0"/>
    </xf>
    <xf numFmtId="184" fontId="82" fillId="2" borderId="69" xfId="0" applyNumberFormat="1" applyFont="1" applyFill="1" applyBorder="1" applyAlignment="1" applyProtection="1">
      <alignment horizontal="center" vertical="center"/>
    </xf>
    <xf numFmtId="49" fontId="82"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82" fillId="2" borderId="137" xfId="0" applyNumberFormat="1" applyFont="1" applyFill="1" applyBorder="1" applyAlignment="1" applyProtection="1">
      <alignment horizontal="center" vertical="center"/>
    </xf>
    <xf numFmtId="49" fontId="82" fillId="2" borderId="119" xfId="0" applyNumberFormat="1" applyFont="1" applyFill="1" applyBorder="1" applyAlignment="1" applyProtection="1">
      <alignment horizontal="left" vertical="center"/>
    </xf>
    <xf numFmtId="0" fontId="82" fillId="2" borderId="16" xfId="0" applyFont="1" applyFill="1" applyBorder="1" applyAlignment="1" applyProtection="1">
      <alignment horizontal="left" vertical="center"/>
    </xf>
    <xf numFmtId="0" fontId="82"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82"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82"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82" fillId="2" borderId="8" xfId="0" applyNumberFormat="1" applyFont="1" applyFill="1" applyBorder="1" applyAlignment="1" applyProtection="1">
      <alignment horizontal="center" vertical="center"/>
    </xf>
    <xf numFmtId="192" fontId="82" fillId="2" borderId="8" xfId="0" applyNumberFormat="1" applyFont="1" applyFill="1" applyBorder="1" applyAlignment="1" applyProtection="1">
      <alignment horizontal="center" vertical="center"/>
    </xf>
    <xf numFmtId="0" fontId="82"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8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2"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82"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2" fillId="2" borderId="16" xfId="0" applyFont="1" applyFill="1" applyBorder="1" applyAlignment="1" applyProtection="1">
      <alignment vertical="center" wrapText="1"/>
    </xf>
    <xf numFmtId="0" fontId="82" fillId="2" borderId="10" xfId="0" applyFont="1" applyFill="1" applyBorder="1" applyAlignment="1" applyProtection="1">
      <alignment horizontal="left" vertical="center"/>
    </xf>
    <xf numFmtId="0" fontId="8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8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75" fillId="2" borderId="0" xfId="0" applyFont="1" applyFill="1" applyAlignment="1" applyProtection="1">
      <protection locked="0"/>
    </xf>
    <xf numFmtId="0" fontId="76"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82" fillId="2" borderId="142" xfId="0" applyNumberFormat="1" applyFont="1" applyFill="1" applyBorder="1" applyAlignment="1" applyProtection="1">
      <alignment horizontal="left" vertical="center"/>
      <protection locked="0"/>
    </xf>
    <xf numFmtId="0" fontId="82" fillId="2" borderId="93" xfId="0" applyFont="1" applyFill="1" applyBorder="1" applyAlignment="1" applyProtection="1">
      <alignment vertical="center" wrapText="1"/>
      <protection locked="0"/>
    </xf>
    <xf numFmtId="0" fontId="8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82" fillId="2" borderId="70" xfId="0" applyNumberFormat="1" applyFont="1" applyFill="1" applyBorder="1" applyAlignment="1" applyProtection="1">
      <alignment horizontal="center" vertical="center"/>
      <protection locked="0"/>
    </xf>
    <xf numFmtId="0" fontId="82" fillId="2" borderId="92" xfId="0" applyFont="1" applyFill="1" applyBorder="1" applyAlignment="1" applyProtection="1">
      <alignment vertical="center" wrapText="1"/>
      <protection locked="0"/>
    </xf>
    <xf numFmtId="0" fontId="82"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2" fillId="2" borderId="85" xfId="0" applyFont="1" applyFill="1" applyBorder="1" applyAlignment="1" applyProtection="1">
      <alignment horizontal="center" vertical="center"/>
    </xf>
    <xf numFmtId="49" fontId="82"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82" fillId="0" borderId="8" xfId="0" applyNumberFormat="1" applyFont="1" applyFill="1" applyBorder="1" applyAlignment="1" applyProtection="1">
      <alignment horizontal="center" vertical="center"/>
      <protection locked="0"/>
    </xf>
    <xf numFmtId="49" fontId="82" fillId="2" borderId="86" xfId="0" applyNumberFormat="1" applyFont="1" applyFill="1" applyBorder="1" applyAlignment="1" applyProtection="1">
      <alignment horizontal="left" vertical="center"/>
      <protection locked="0"/>
    </xf>
    <xf numFmtId="0" fontId="10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2" fillId="2" borderId="6" xfId="0" applyNumberFormat="1" applyFont="1" applyFill="1" applyBorder="1" applyAlignment="1" applyProtection="1">
      <alignment horizontal="left" vertical="center"/>
      <protection locked="0"/>
    </xf>
    <xf numFmtId="0" fontId="82"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8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9" fillId="2" borderId="0" xfId="0" applyNumberFormat="1" applyFont="1" applyFill="1" applyBorder="1" applyAlignment="1" applyProtection="1">
      <alignment horizontal="center"/>
      <protection locked="0"/>
    </xf>
    <xf numFmtId="49" fontId="89" fillId="2" borderId="0" xfId="0" applyNumberFormat="1" applyFont="1" applyFill="1" applyBorder="1" applyAlignment="1" applyProtection="1">
      <alignment horizontal="left"/>
      <protection locked="0"/>
    </xf>
    <xf numFmtId="0" fontId="84"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5" fillId="2" borderId="12" xfId="0" applyFont="1" applyFill="1" applyBorder="1" applyAlignment="1" applyProtection="1">
      <alignment vertical="center"/>
    </xf>
    <xf numFmtId="0" fontId="75"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82"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82" fillId="2" borderId="2" xfId="0" applyNumberFormat="1" applyFont="1" applyFill="1" applyBorder="1" applyAlignment="1" applyProtection="1">
      <alignment horizontal="center" vertical="center"/>
    </xf>
    <xf numFmtId="0" fontId="82"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2" fillId="2" borderId="0" xfId="0" applyFont="1" applyFill="1" applyAlignment="1" applyProtection="1">
      <alignment horizontal="left"/>
      <protection locked="0"/>
    </xf>
    <xf numFmtId="0" fontId="82"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6" fillId="2" borderId="0" xfId="0" applyFont="1" applyFill="1" applyAlignment="1" applyProtection="1">
      <alignment vertical="center"/>
    </xf>
    <xf numFmtId="0" fontId="76" fillId="14" borderId="132"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2" fillId="2" borderId="68" xfId="0" applyNumberFormat="1" applyFont="1" applyFill="1" applyBorder="1" applyAlignment="1" applyProtection="1">
      <alignment vertical="center"/>
      <protection locked="0"/>
    </xf>
    <xf numFmtId="0" fontId="82" fillId="2" borderId="12" xfId="0" applyFont="1" applyFill="1" applyBorder="1" applyAlignment="1" applyProtection="1">
      <alignment vertical="center" wrapText="1"/>
      <protection locked="0"/>
    </xf>
    <xf numFmtId="49" fontId="82" fillId="2" borderId="76" xfId="0" applyNumberFormat="1" applyFont="1" applyFill="1" applyBorder="1" applyAlignment="1" applyProtection="1">
      <alignment vertical="center"/>
      <protection locked="0"/>
    </xf>
    <xf numFmtId="0" fontId="82"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2" fillId="2" borderId="119" xfId="0" applyNumberFormat="1" applyFont="1" applyFill="1" applyBorder="1" applyAlignment="1" applyProtection="1">
      <alignment vertical="center"/>
      <protection locked="0"/>
    </xf>
    <xf numFmtId="0" fontId="82" fillId="2" borderId="16" xfId="0" applyFont="1" applyFill="1" applyBorder="1" applyAlignment="1" applyProtection="1">
      <alignment vertical="center" wrapText="1"/>
      <protection locked="0"/>
    </xf>
    <xf numFmtId="49" fontId="82" fillId="2" borderId="9" xfId="0" applyNumberFormat="1" applyFont="1" applyFill="1" applyBorder="1" applyAlignment="1" applyProtection="1">
      <alignment horizontal="left" vertical="center"/>
      <protection locked="0"/>
    </xf>
    <xf numFmtId="0" fontId="8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8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8"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2"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49" fontId="82"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2" fillId="2" borderId="119" xfId="0" applyNumberFormat="1" applyFont="1" applyFill="1" applyBorder="1" applyAlignment="1" applyProtection="1">
      <alignment horizontal="left" vertical="center"/>
      <protection locked="0"/>
    </xf>
    <xf numFmtId="0" fontId="76" fillId="2" borderId="0" xfId="0" applyFont="1" applyFill="1" applyAlignment="1" applyProtection="1">
      <alignment vertical="center"/>
      <protection locked="0"/>
    </xf>
    <xf numFmtId="0" fontId="97" fillId="14"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86" fillId="14"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86" fillId="12" borderId="0" xfId="0" applyFont="1" applyFill="1" applyAlignment="1" applyProtection="1">
      <alignment vertical="center" wrapText="1"/>
      <protection locked="0"/>
    </xf>
    <xf numFmtId="0" fontId="7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83" fillId="3" borderId="13" xfId="59" applyFont="1" applyFill="1" applyBorder="1" applyAlignment="1" applyProtection="1">
      <alignment horizontal="left" vertical="center"/>
      <protection locked="0"/>
    </xf>
    <xf numFmtId="0" fontId="83" fillId="3" borderId="14" xfId="59" applyFont="1" applyFill="1" applyBorder="1" applyAlignment="1" applyProtection="1">
      <alignment vertical="center"/>
    </xf>
    <xf numFmtId="0" fontId="83"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83" fillId="2" borderId="0" xfId="59" applyFont="1" applyFill="1" applyBorder="1" applyAlignment="1" applyProtection="1">
      <alignment vertical="center"/>
    </xf>
    <xf numFmtId="0" fontId="83" fillId="2" borderId="82" xfId="0" applyFont="1" applyFill="1" applyBorder="1" applyAlignment="1" applyProtection="1">
      <alignment vertical="center"/>
    </xf>
    <xf numFmtId="0" fontId="83" fillId="2" borderId="83" xfId="0" applyFont="1" applyFill="1" applyBorder="1" applyAlignment="1" applyProtection="1">
      <alignment vertical="center"/>
    </xf>
    <xf numFmtId="183" fontId="92" fillId="2" borderId="74" xfId="0" applyNumberFormat="1" applyFont="1" applyFill="1" applyBorder="1" applyAlignment="1" applyProtection="1">
      <alignment horizontal="center" vertical="center"/>
    </xf>
    <xf numFmtId="0" fontId="92" fillId="2" borderId="6" xfId="0" applyFont="1" applyFill="1" applyBorder="1" applyAlignment="1" applyProtection="1">
      <alignment horizontal="center" vertical="center"/>
    </xf>
    <xf numFmtId="0" fontId="92"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7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92" fillId="2" borderId="13" xfId="0" applyFont="1" applyFill="1" applyBorder="1" applyAlignment="1" applyProtection="1">
      <alignment vertical="center"/>
    </xf>
    <xf numFmtId="183" fontId="92"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2"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76"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2" fillId="2" borderId="13" xfId="59" applyFont="1" applyFill="1" applyBorder="1" applyAlignment="1" applyProtection="1">
      <alignment vertical="center"/>
    </xf>
    <xf numFmtId="181" fontId="92" fillId="2" borderId="7" xfId="59" applyNumberFormat="1" applyFont="1" applyFill="1" applyBorder="1" applyAlignment="1" applyProtection="1">
      <alignment horizontal="center" vertical="center"/>
    </xf>
    <xf numFmtId="0" fontId="92" fillId="2" borderId="7" xfId="59" applyFont="1" applyFill="1" applyBorder="1" applyAlignment="1" applyProtection="1">
      <alignment vertical="center"/>
    </xf>
    <xf numFmtId="181" fontId="92" fillId="2" borderId="7" xfId="59" applyNumberFormat="1" applyFont="1" applyFill="1" applyBorder="1" applyAlignment="1" applyProtection="1">
      <alignment vertical="center"/>
    </xf>
    <xf numFmtId="10" fontId="92" fillId="2" borderId="7" xfId="59" applyNumberFormat="1" applyFont="1" applyFill="1" applyBorder="1" applyAlignment="1" applyProtection="1">
      <alignment horizontal="center" vertical="center"/>
    </xf>
    <xf numFmtId="0" fontId="92" fillId="2" borderId="7" xfId="0" applyFont="1" applyFill="1" applyBorder="1" applyAlignment="1" applyProtection="1">
      <alignment horizontal="right" vertical="center"/>
    </xf>
    <xf numFmtId="0" fontId="79" fillId="2" borderId="15" xfId="0" applyFont="1" applyFill="1" applyBorder="1" applyAlignment="1" applyProtection="1">
      <alignment vertical="center"/>
    </xf>
    <xf numFmtId="181" fontId="92" fillId="2" borderId="0" xfId="0" applyNumberFormat="1" applyFont="1" applyFill="1" applyBorder="1" applyAlignment="1" applyProtection="1">
      <alignment horizontal="center" vertical="center"/>
    </xf>
    <xf numFmtId="181" fontId="92" fillId="2" borderId="15" xfId="59" applyNumberFormat="1" applyFont="1" applyFill="1" applyBorder="1" applyAlignment="1" applyProtection="1">
      <alignment vertical="center"/>
    </xf>
    <xf numFmtId="10" fontId="92"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92" fillId="2" borderId="7" xfId="59" applyFont="1" applyFill="1" applyBorder="1" applyAlignment="1" applyProtection="1">
      <alignment vertical="center" wrapText="1"/>
    </xf>
    <xf numFmtId="181" fontId="92" fillId="2" borderId="14" xfId="0" applyNumberFormat="1" applyFont="1" applyFill="1" applyBorder="1" applyAlignment="1" applyProtection="1">
      <alignment horizontal="center" vertical="center" wrapText="1"/>
    </xf>
    <xf numFmtId="0" fontId="79"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2" fillId="2" borderId="75" xfId="59" applyFont="1" applyFill="1" applyBorder="1" applyAlignment="1" applyProtection="1">
      <alignment vertical="center"/>
    </xf>
    <xf numFmtId="181" fontId="92" fillId="2" borderId="10" xfId="0"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181" fontId="92" fillId="2" borderId="10" xfId="0" applyNumberFormat="1" applyFont="1" applyFill="1" applyBorder="1" applyAlignment="1" applyProtection="1">
      <alignment vertical="center"/>
    </xf>
    <xf numFmtId="10" fontId="92" fillId="2" borderId="10" xfId="0" applyNumberFormat="1" applyFont="1" applyFill="1" applyBorder="1" applyAlignment="1" applyProtection="1">
      <alignment horizontal="center" vertical="center"/>
    </xf>
    <xf numFmtId="181" fontId="92" fillId="2" borderId="75" xfId="0" applyNumberFormat="1" applyFont="1" applyFill="1" applyBorder="1" applyAlignment="1" applyProtection="1">
      <alignment vertical="center"/>
    </xf>
    <xf numFmtId="181" fontId="92" fillId="2" borderId="90" xfId="0" applyNumberFormat="1" applyFont="1" applyFill="1" applyBorder="1" applyAlignment="1" applyProtection="1">
      <alignment vertical="center"/>
    </xf>
    <xf numFmtId="0" fontId="92" fillId="2" borderId="122" xfId="0" applyFont="1" applyFill="1" applyBorder="1" applyAlignment="1" applyProtection="1">
      <alignment vertical="center"/>
    </xf>
    <xf numFmtId="0" fontId="92" fillId="2" borderId="18" xfId="0" applyFont="1" applyFill="1" applyBorder="1" applyAlignment="1" applyProtection="1">
      <alignment vertical="center"/>
    </xf>
    <xf numFmtId="183" fontId="83" fillId="2" borderId="77" xfId="0" applyNumberFormat="1" applyFont="1" applyFill="1" applyBorder="1" applyAlignment="1" applyProtection="1">
      <alignment horizontal="center" vertical="center"/>
    </xf>
    <xf numFmtId="0" fontId="83" fillId="2" borderId="105" xfId="0" applyFont="1" applyFill="1" applyBorder="1" applyAlignment="1" applyProtection="1">
      <alignment vertical="center"/>
    </xf>
    <xf numFmtId="0" fontId="83" fillId="2" borderId="0" xfId="59" applyFont="1" applyFill="1" applyBorder="1" applyAlignment="1" applyProtection="1">
      <alignment horizontal="center" vertical="center"/>
    </xf>
    <xf numFmtId="0" fontId="83" fillId="2" borderId="84" xfId="0" applyFont="1" applyFill="1" applyBorder="1" applyAlignment="1" applyProtection="1">
      <alignment vertical="center"/>
    </xf>
    <xf numFmtId="0" fontId="92" fillId="14"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79"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92" fillId="2" borderId="87" xfId="0" applyFont="1" applyFill="1" applyBorder="1" applyAlignment="1" applyProtection="1">
      <alignment vertical="center"/>
    </xf>
    <xf numFmtId="0" fontId="82"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9" fillId="2" borderId="87" xfId="0" applyFont="1" applyFill="1" applyBorder="1" applyAlignment="1" applyProtection="1">
      <alignment vertical="center"/>
    </xf>
    <xf numFmtId="181" fontId="92" fillId="2" borderId="91" xfId="0" applyNumberFormat="1" applyFont="1" applyFill="1" applyBorder="1" applyAlignment="1" applyProtection="1">
      <alignment vertical="center"/>
    </xf>
    <xf numFmtId="0" fontId="92" fillId="2" borderId="72" xfId="0" applyFont="1" applyFill="1" applyBorder="1" applyAlignment="1" applyProtection="1">
      <alignment vertical="center"/>
    </xf>
    <xf numFmtId="49" fontId="89" fillId="16" borderId="143" xfId="0" applyNumberFormat="1" applyFont="1" applyFill="1" applyBorder="1" applyAlignment="1" applyProtection="1">
      <alignment horizontal="right"/>
      <protection locked="0"/>
    </xf>
    <xf numFmtId="0" fontId="109"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1"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6" fillId="3" borderId="8" xfId="59" applyFont="1" applyFill="1" applyBorder="1" applyAlignment="1" applyProtection="1">
      <alignment horizontal="right" vertical="center"/>
      <protection locked="0"/>
    </xf>
    <xf numFmtId="0" fontId="76" fillId="12" borderId="14" xfId="0" applyFont="1" applyFill="1" applyBorder="1" applyAlignment="1" applyProtection="1">
      <alignment vertical="center"/>
      <protection locked="0"/>
    </xf>
    <xf numFmtId="0" fontId="76"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1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7" fillId="2" borderId="12" xfId="0" applyFont="1" applyFill="1" applyBorder="1" applyProtection="1">
      <alignment vertical="center"/>
    </xf>
    <xf numFmtId="0" fontId="97" fillId="3" borderId="12" xfId="0" applyFont="1" applyFill="1" applyBorder="1" applyAlignment="1" applyProtection="1">
      <alignment horizontal="center" vertical="center" wrapText="1"/>
      <protection locked="0"/>
    </xf>
    <xf numFmtId="0" fontId="97" fillId="2" borderId="12" xfId="0" applyNumberFormat="1" applyFont="1" applyFill="1" applyBorder="1" applyProtection="1">
      <alignment vertical="center"/>
    </xf>
    <xf numFmtId="0" fontId="99" fillId="2" borderId="132" xfId="0" applyFont="1" applyFill="1" applyBorder="1" applyAlignment="1" applyProtection="1">
      <alignment horizontal="center" vertical="center"/>
    </xf>
    <xf numFmtId="0" fontId="99"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79" fillId="0" borderId="12" xfId="0" applyFont="1" applyBorder="1" applyAlignment="1" applyProtection="1">
      <alignment horizontal="center" vertical="center"/>
      <protection locked="0"/>
    </xf>
    <xf numFmtId="0" fontId="79"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9" fillId="0" borderId="7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92" fillId="2" borderId="13" xfId="0" applyFont="1" applyFill="1" applyBorder="1" applyAlignment="1" applyProtection="1">
      <alignment horizontal="right" vertical="center"/>
    </xf>
    <xf numFmtId="0" fontId="79" fillId="2" borderId="14" xfId="0" applyFont="1" applyFill="1" applyBorder="1" applyProtection="1">
      <alignment vertical="center"/>
    </xf>
    <xf numFmtId="0" fontId="79" fillId="2" borderId="16" xfId="0" applyFont="1" applyFill="1" applyBorder="1" applyAlignment="1" applyProtection="1">
      <alignment horizontal="center" vertical="center"/>
    </xf>
    <xf numFmtId="0" fontId="92" fillId="2" borderId="92" xfId="0" applyFont="1" applyFill="1" applyBorder="1" applyAlignment="1" applyProtection="1">
      <alignment horizontal="right" vertical="center"/>
    </xf>
    <xf numFmtId="0" fontId="79" fillId="2" borderId="0" xfId="0" applyFont="1" applyFill="1" applyProtection="1">
      <alignment vertical="center"/>
    </xf>
    <xf numFmtId="182" fontId="79"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2" fillId="2" borderId="112" xfId="0" applyFont="1" applyFill="1" applyBorder="1" applyAlignment="1" applyProtection="1">
      <alignment vertical="center"/>
    </xf>
    <xf numFmtId="0" fontId="79"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9"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2" fillId="2" borderId="70" xfId="0" applyFont="1" applyFill="1" applyBorder="1" applyAlignment="1" applyProtection="1">
      <alignment vertical="center"/>
    </xf>
    <xf numFmtId="0" fontId="79" fillId="2" borderId="7" xfId="0" applyFont="1" applyFill="1" applyBorder="1" applyProtection="1">
      <alignment vertical="center"/>
    </xf>
    <xf numFmtId="0" fontId="79" fillId="2" borderId="13" xfId="0" applyFont="1" applyFill="1" applyBorder="1" applyAlignment="1" applyProtection="1">
      <alignment horizontal="right" vertical="center"/>
    </xf>
    <xf numFmtId="0" fontId="79" fillId="2" borderId="10" xfId="0" applyFont="1" applyFill="1" applyBorder="1" applyProtection="1">
      <alignment vertical="center"/>
    </xf>
    <xf numFmtId="0" fontId="79" fillId="2" borderId="10" xfId="0" applyFont="1" applyFill="1" applyBorder="1" applyAlignment="1" applyProtection="1">
      <alignment horizontal="center" vertical="center"/>
    </xf>
    <xf numFmtId="0" fontId="79" fillId="2" borderId="11" xfId="0" applyFont="1" applyFill="1" applyBorder="1" applyAlignment="1" applyProtection="1">
      <alignment horizontal="center" vertical="center"/>
    </xf>
    <xf numFmtId="0" fontId="79"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9" fillId="2" borderId="132" xfId="0" applyFont="1" applyFill="1" applyBorder="1" applyAlignment="1" applyProtection="1">
      <alignment vertical="center"/>
    </xf>
    <xf numFmtId="0" fontId="79" fillId="2" borderId="100" xfId="0" applyFont="1" applyFill="1" applyBorder="1" applyProtection="1">
      <alignment vertical="center"/>
    </xf>
    <xf numFmtId="0" fontId="79" fillId="2" borderId="99" xfId="0" applyFont="1" applyFill="1" applyBorder="1" applyProtection="1">
      <alignment vertical="center"/>
    </xf>
    <xf numFmtId="184" fontId="111" fillId="2" borderId="108" xfId="0" applyNumberFormat="1" applyFont="1" applyFill="1" applyBorder="1" applyAlignment="1" applyProtection="1">
      <alignment horizontal="center" vertical="center"/>
    </xf>
    <xf numFmtId="0" fontId="92" fillId="2" borderId="67" xfId="0"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92" fillId="2" borderId="119" xfId="0" applyFont="1" applyFill="1" applyBorder="1" applyAlignment="1" applyProtection="1">
      <alignment horizontal="left" vertical="center" wrapText="1"/>
    </xf>
    <xf numFmtId="0" fontId="79" fillId="2" borderId="102" xfId="0" applyFont="1" applyFill="1" applyBorder="1" applyAlignment="1" applyProtection="1">
      <alignment horizontal="right" vertical="center"/>
    </xf>
    <xf numFmtId="0" fontId="79" fillId="2" borderId="87" xfId="0" applyFont="1" applyFill="1" applyBorder="1" applyAlignment="1" applyProtection="1">
      <alignment horizontal="center" vertical="center"/>
    </xf>
    <xf numFmtId="0" fontId="99" fillId="0" borderId="6" xfId="0" applyFont="1" applyBorder="1" applyAlignment="1" applyProtection="1">
      <alignment horizontal="center"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2" fillId="2" borderId="112" xfId="0" applyFont="1" applyFill="1" applyBorder="1" applyAlignment="1" applyProtection="1">
      <alignment horizontal="left" vertical="center"/>
    </xf>
    <xf numFmtId="0" fontId="79" fillId="2" borderId="73" xfId="0" applyFont="1" applyFill="1" applyBorder="1" applyProtection="1">
      <alignment vertical="center"/>
    </xf>
    <xf numFmtId="0" fontId="79" fillId="2" borderId="66" xfId="0" applyFont="1" applyFill="1" applyBorder="1" applyAlignment="1" applyProtection="1">
      <alignment horizontal="center" vertical="center"/>
    </xf>
    <xf numFmtId="0" fontId="9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2" fillId="3" borderId="7" xfId="0" applyFont="1" applyFill="1" applyBorder="1" applyAlignment="1" applyProtection="1">
      <alignment horizontal="center" vertical="center"/>
      <protection locked="0"/>
    </xf>
    <xf numFmtId="0" fontId="78"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2" fillId="2" borderId="133" xfId="0" applyFont="1" applyFill="1" applyBorder="1" applyAlignment="1" applyProtection="1">
      <alignment horizontal="left" vertical="center"/>
    </xf>
    <xf numFmtId="0" fontId="79" fillId="2" borderId="103" xfId="0" applyFont="1" applyFill="1" applyBorder="1" applyAlignment="1" applyProtection="1">
      <alignment horizontal="right" vertical="center"/>
    </xf>
    <xf numFmtId="0" fontId="92" fillId="2" borderId="102" xfId="0" applyFont="1" applyFill="1" applyBorder="1" applyAlignment="1" applyProtection="1">
      <alignment horizontal="center" vertical="center"/>
    </xf>
    <xf numFmtId="184" fontId="79"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2" fillId="2" borderId="89" xfId="0" applyFont="1" applyFill="1" applyBorder="1" applyAlignment="1" applyProtection="1">
      <alignment horizontal="left" vertical="center"/>
    </xf>
    <xf numFmtId="0" fontId="79" fillId="2" borderId="96" xfId="0" applyFont="1" applyFill="1" applyBorder="1" applyAlignment="1" applyProtection="1">
      <alignment horizontal="right" vertical="center"/>
    </xf>
    <xf numFmtId="0" fontId="92" fillId="2" borderId="75" xfId="0" applyFont="1" applyFill="1" applyBorder="1" applyAlignment="1" applyProtection="1">
      <alignment horizontal="center" vertical="center"/>
    </xf>
    <xf numFmtId="184" fontId="79"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2" fillId="2" borderId="67" xfId="0" applyFont="1" applyFill="1" applyBorder="1" applyAlignment="1" applyProtection="1">
      <alignment horizontal="center" vertical="center" wrapText="1"/>
    </xf>
    <xf numFmtId="0" fontId="79" fillId="2" borderId="95" xfId="0" applyFont="1" applyFill="1" applyBorder="1" applyAlignment="1" applyProtection="1">
      <alignment horizontal="left" vertical="center"/>
    </xf>
    <xf numFmtId="0" fontId="92" fillId="0" borderId="5" xfId="0" applyFont="1" applyFill="1" applyBorder="1" applyAlignment="1" applyProtection="1">
      <alignment horizontal="center" vertical="center"/>
      <protection locked="0"/>
    </xf>
    <xf numFmtId="0" fontId="79" fillId="3" borderId="132" xfId="0" applyFont="1" applyFill="1" applyBorder="1" applyProtection="1">
      <alignment vertical="center"/>
      <protection locked="0"/>
    </xf>
    <xf numFmtId="0" fontId="79" fillId="2" borderId="108" xfId="0" applyFont="1" applyFill="1" applyBorder="1" applyProtection="1">
      <alignment vertical="center"/>
    </xf>
    <xf numFmtId="0" fontId="79"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center" vertical="center" wrapText="1"/>
    </xf>
    <xf numFmtId="0" fontId="79" fillId="2" borderId="14" xfId="0" applyFont="1" applyFill="1" applyBorder="1" applyAlignment="1" applyProtection="1">
      <alignment horizontal="left" vertical="center"/>
    </xf>
    <xf numFmtId="0" fontId="92" fillId="0" borderId="8" xfId="0" applyFont="1" applyFill="1" applyBorder="1" applyAlignment="1" applyProtection="1">
      <alignment horizontal="center" vertical="center"/>
      <protection locked="0"/>
    </xf>
    <xf numFmtId="0" fontId="79" fillId="2" borderId="0" xfId="0" applyFont="1" applyFill="1" applyProtection="1">
      <alignment vertical="center"/>
      <protection locked="0"/>
    </xf>
    <xf numFmtId="0" fontId="92" fillId="2" borderId="79" xfId="0" applyFont="1" applyFill="1" applyBorder="1" applyAlignment="1" applyProtection="1">
      <alignment horizontal="center" vertical="center" wrapText="1"/>
    </xf>
    <xf numFmtId="0" fontId="79" fillId="2" borderId="96" xfId="0" applyFont="1" applyFill="1" applyBorder="1" applyAlignment="1" applyProtection="1">
      <alignment horizontal="left" vertical="center"/>
    </xf>
    <xf numFmtId="0" fontId="92" fillId="0" borderId="10" xfId="0" applyFont="1" applyFill="1" applyBorder="1" applyAlignment="1" applyProtection="1">
      <alignment horizontal="center" vertical="center"/>
      <protection locked="0"/>
    </xf>
    <xf numFmtId="0" fontId="79" fillId="0" borderId="108" xfId="0" applyFont="1" applyFill="1" applyBorder="1" applyProtection="1">
      <alignment vertical="center"/>
      <protection locked="0"/>
    </xf>
    <xf numFmtId="0" fontId="99" fillId="0" borderId="3" xfId="0" applyFont="1" applyFill="1" applyBorder="1" applyAlignment="1" applyProtection="1">
      <alignment horizontal="center" vertical="center"/>
      <protection locked="0"/>
    </xf>
    <xf numFmtId="0" fontId="99" fillId="0" borderId="4" xfId="0" applyFont="1" applyFill="1" applyBorder="1" applyAlignment="1" applyProtection="1">
      <alignment horizontal="center" vertical="center"/>
      <protection locked="0"/>
    </xf>
    <xf numFmtId="0" fontId="9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82" fillId="2" borderId="93" xfId="0" applyFont="1" applyFill="1" applyBorder="1" applyAlignment="1" applyProtection="1">
      <alignment horizontal="left" vertical="center" wrapText="1"/>
    </xf>
    <xf numFmtId="0" fontId="82" fillId="2" borderId="38" xfId="0" applyFont="1" applyFill="1" applyBorder="1" applyAlignment="1" applyProtection="1">
      <alignment horizontal="left" vertical="center" wrapText="1"/>
    </xf>
    <xf numFmtId="0" fontId="82"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2" fillId="2" borderId="82" xfId="0" applyFont="1" applyFill="1" applyBorder="1" applyAlignment="1" applyProtection="1">
      <alignment horizontal="center" vertical="center" wrapText="1"/>
    </xf>
    <xf numFmtId="0" fontId="82" fillId="2" borderId="83" xfId="0" applyFont="1" applyFill="1" applyBorder="1" applyAlignment="1" applyProtection="1">
      <alignment horizontal="center" vertical="center" wrapText="1"/>
    </xf>
    <xf numFmtId="0" fontId="8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2" fillId="2" borderId="70" xfId="0" applyFont="1" applyFill="1" applyBorder="1" applyAlignment="1" applyProtection="1">
      <alignment horizontal="left" vertical="center" wrapText="1"/>
    </xf>
    <xf numFmtId="0" fontId="82" fillId="2" borderId="39" xfId="0" applyFont="1" applyFill="1" applyBorder="1" applyAlignment="1" applyProtection="1">
      <alignment horizontal="left" vertical="center" wrapText="1"/>
    </xf>
    <xf numFmtId="0" fontId="82" fillId="2" borderId="103"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2"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7" fillId="3" borderId="12" xfId="0" applyFont="1" applyFill="1" applyBorder="1" applyAlignment="1" applyProtection="1">
      <alignment horizontal="center" vertical="center"/>
      <protection locked="0"/>
    </xf>
    <xf numFmtId="0" fontId="99"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2" fillId="2" borderId="160" xfId="0" applyFont="1" applyFill="1" applyBorder="1" applyAlignment="1" applyProtection="1">
      <alignment horizontal="right"/>
    </xf>
    <xf numFmtId="0" fontId="112"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protection locked="0"/>
    </xf>
    <xf numFmtId="195" fontId="115" fillId="2" borderId="7" xfId="0" applyNumberFormat="1" applyFont="1" applyFill="1" applyBorder="1" applyAlignment="1" applyProtection="1">
      <alignment horizontal="center" vertical="center" wrapText="1"/>
    </xf>
    <xf numFmtId="0" fontId="115"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9" fontId="11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38"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75"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65" xfId="0" applyFont="1" applyFill="1" applyBorder="1" applyAlignment="1" applyProtection="1">
      <alignment horizontal="left" vertical="center" wrapText="1"/>
    </xf>
    <xf numFmtId="0" fontId="116" fillId="2" borderId="102" xfId="0" applyFont="1" applyFill="1" applyBorder="1" applyAlignment="1" applyProtection="1">
      <alignment horizontal="left" vertical="center" wrapText="1"/>
    </xf>
    <xf numFmtId="0" fontId="116" fillId="2" borderId="39" xfId="0" applyFont="1" applyFill="1" applyBorder="1" applyAlignment="1" applyProtection="1">
      <alignment horizontal="left" vertical="center" wrapText="1"/>
    </xf>
    <xf numFmtId="0" fontId="116" fillId="2" borderId="103" xfId="0" applyFont="1" applyFill="1" applyBorder="1" applyAlignment="1" applyProtection="1">
      <alignment horizontal="left" vertical="center" wrapText="1"/>
    </xf>
    <xf numFmtId="0" fontId="108"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8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9" fillId="2" borderId="84" xfId="60" applyFont="1" applyFill="1" applyBorder="1" applyAlignment="1" applyProtection="1">
      <alignment horizontal="left" vertical="center" wrapText="1"/>
    </xf>
    <xf numFmtId="0" fontId="79"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9" fillId="2" borderId="7" xfId="60" applyFont="1" applyFill="1" applyBorder="1" applyAlignment="1" applyProtection="1">
      <alignment horizontal="left" vertical="center" wrapText="1"/>
    </xf>
    <xf numFmtId="0" fontId="79" fillId="16"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9"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78" fontId="25" fillId="2" borderId="7" xfId="0" applyNumberFormat="1" applyFont="1" applyFill="1" applyBorder="1" applyAlignment="1" applyProtection="1">
      <alignment horizontal="left" vertical="center" wrapText="1"/>
    </xf>
    <xf numFmtId="10" fontId="82"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9"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7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92" fillId="2" borderId="82" xfId="0" applyFont="1" applyFill="1" applyBorder="1" applyAlignment="1" applyProtection="1">
      <alignment horizontal="center" vertical="center"/>
    </xf>
    <xf numFmtId="0" fontId="92" fillId="2" borderId="83" xfId="0" applyFont="1" applyFill="1" applyBorder="1" applyAlignment="1" applyProtection="1">
      <alignment horizontal="center" vertical="center"/>
    </xf>
    <xf numFmtId="0" fontId="92"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xf>
    <xf numFmtId="0" fontId="92"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92" fillId="2" borderId="8" xfId="0"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69" xfId="0" applyFont="1" applyFill="1" applyBorder="1" applyAlignment="1" applyProtection="1">
      <alignment horizontal="left" vertical="center" wrapText="1"/>
    </xf>
    <xf numFmtId="0" fontId="92" fillId="3" borderId="86" xfId="0" applyFont="1" applyFill="1" applyBorder="1" applyAlignment="1" applyProtection="1">
      <alignment horizontal="left" vertical="center" wrapText="1"/>
      <protection locked="0"/>
    </xf>
    <xf numFmtId="0" fontId="92"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xf>
    <xf numFmtId="0" fontId="79" fillId="10"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75" xfId="0" applyFont="1" applyFill="1" applyBorder="1" applyAlignment="1" applyProtection="1">
      <alignment horizontal="left" vertical="center" wrapText="1"/>
    </xf>
    <xf numFmtId="0" fontId="118" fillId="2" borderId="75"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9"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92" fillId="2" borderId="6" xfId="0" applyFont="1" applyFill="1" applyBorder="1" applyAlignment="1" applyProtection="1">
      <alignment horizontal="left" vertical="center"/>
    </xf>
    <xf numFmtId="0" fontId="82" fillId="2" borderId="8" xfId="0" applyFont="1" applyFill="1" applyBorder="1" applyAlignment="1" applyProtection="1">
      <alignment horizontal="left" vertical="center"/>
    </xf>
    <xf numFmtId="0" fontId="92" fillId="2" borderId="6" xfId="0" applyFont="1" applyFill="1" applyBorder="1" applyAlignment="1" applyProtection="1">
      <alignment horizontal="left" vertical="center" wrapText="1"/>
    </xf>
    <xf numFmtId="0" fontId="92" fillId="2" borderId="7" xfId="0" applyFont="1" applyFill="1" applyBorder="1" applyAlignment="1" applyProtection="1">
      <alignment horizontal="left" vertical="center" wrapText="1"/>
    </xf>
    <xf numFmtId="0" fontId="92" fillId="2" borderId="9" xfId="0" applyFont="1" applyFill="1" applyBorder="1" applyAlignment="1" applyProtection="1">
      <alignment horizontal="left" vertical="center" wrapText="1"/>
    </xf>
    <xf numFmtId="0" fontId="92"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0" fontId="79"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2" fillId="2" borderId="13" xfId="0" applyFont="1" applyFill="1" applyBorder="1" applyAlignment="1" applyProtection="1">
      <alignment horizontal="center" vertical="center"/>
    </xf>
    <xf numFmtId="0" fontId="92" fillId="2" borderId="15" xfId="0" applyFont="1" applyFill="1" applyBorder="1" applyAlignment="1" applyProtection="1">
      <alignment horizontal="center" vertical="center"/>
    </xf>
    <xf numFmtId="0" fontId="79" fillId="3" borderId="12" xfId="0" applyFont="1" applyFill="1" applyBorder="1" applyAlignment="1" applyProtection="1">
      <alignment horizontal="left" vertical="center" wrapText="1"/>
      <protection locked="0"/>
    </xf>
    <xf numFmtId="0" fontId="79" fillId="3" borderId="13"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3" borderId="7" xfId="0" applyFont="1" applyFill="1" applyBorder="1" applyAlignment="1" applyProtection="1">
      <alignment horizontal="left" vertical="center" wrapText="1"/>
      <protection locked="0"/>
    </xf>
    <xf numFmtId="0" fontId="79" fillId="3" borderId="16" xfId="0" applyFont="1" applyFill="1" applyBorder="1" applyAlignment="1" applyProtection="1">
      <alignment horizontal="left" vertical="center" wrapText="1"/>
      <protection locked="0"/>
    </xf>
    <xf numFmtId="0" fontId="79" fillId="2" borderId="7" xfId="0" applyFont="1" applyFill="1" applyBorder="1" applyAlignment="1" applyProtection="1">
      <alignment horizontal="left" vertical="center" wrapText="1"/>
      <protection locked="0"/>
    </xf>
    <xf numFmtId="0" fontId="79" fillId="2" borderId="13"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92" fillId="2" borderId="13" xfId="0" applyFont="1" applyFill="1" applyBorder="1" applyAlignment="1" applyProtection="1">
      <alignment horizontal="left" vertical="center" wrapText="1"/>
    </xf>
    <xf numFmtId="0" fontId="92" fillId="2" borderId="15"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20" fillId="14" borderId="0" xfId="0" applyFont="1" applyFill="1" applyProtection="1">
      <alignment vertical="center"/>
    </xf>
    <xf numFmtId="0" fontId="24" fillId="0" borderId="6" xfId="0" applyFont="1" applyFill="1" applyBorder="1" applyProtection="1">
      <alignment vertical="center"/>
      <protection locked="0"/>
    </xf>
    <xf numFmtId="0" fontId="99" fillId="14" borderId="0" xfId="0" applyFont="1" applyFill="1" applyProtection="1">
      <alignment vertical="center"/>
    </xf>
    <xf numFmtId="0" fontId="92" fillId="2" borderId="14" xfId="0" applyFont="1" applyFill="1" applyBorder="1" applyAlignment="1" applyProtection="1">
      <alignment horizontal="center" vertical="center"/>
    </xf>
    <xf numFmtId="0" fontId="24" fillId="14" borderId="0" xfId="0" applyFont="1" applyFill="1" applyProtection="1">
      <alignment vertical="center"/>
    </xf>
    <xf numFmtId="0" fontId="109"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6"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82"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8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1" fillId="2" borderId="7" xfId="65" applyFont="1" applyFill="1" applyBorder="1" applyAlignment="1" applyProtection="1">
      <alignment horizontal="left" vertical="center" wrapText="1"/>
    </xf>
    <xf numFmtId="0" fontId="121"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1" fillId="2" borderId="7" xfId="65" applyNumberFormat="1" applyFont="1" applyFill="1" applyBorder="1" applyAlignment="1" applyProtection="1">
      <alignment horizontal="left" vertical="center" wrapText="1"/>
    </xf>
    <xf numFmtId="0" fontId="121" fillId="0" borderId="7" xfId="65" applyFont="1" applyFill="1" applyBorder="1" applyAlignment="1" applyProtection="1">
      <alignment horizontal="left" vertical="center" wrapText="1"/>
      <protection locked="0"/>
    </xf>
    <xf numFmtId="0" fontId="121"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1"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1" fillId="0" borderId="7" xfId="65"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0" fontId="79" fillId="0" borderId="0" xfId="0" applyFont="1" applyAlignment="1" applyProtection="1">
      <alignment vertical="center" wrapText="1"/>
      <protection locked="0"/>
    </xf>
    <xf numFmtId="0" fontId="79" fillId="0" borderId="0" xfId="0" applyFont="1" applyFill="1" applyAlignment="1" applyProtection="1">
      <alignment vertical="center" wrapText="1"/>
      <protection locked="0"/>
    </xf>
    <xf numFmtId="0" fontId="79" fillId="0" borderId="0" xfId="0" applyNumberFormat="1" applyFont="1" applyFill="1" applyAlignment="1" applyProtection="1">
      <alignment vertical="center" wrapText="1"/>
      <protection locked="0"/>
    </xf>
    <xf numFmtId="0" fontId="79" fillId="14" borderId="0" xfId="0" applyFont="1" applyFill="1" applyAlignment="1" applyProtection="1">
      <alignment vertical="center" wrapText="1"/>
      <protection locked="0"/>
    </xf>
    <xf numFmtId="0" fontId="79" fillId="14" borderId="0" xfId="0" applyNumberFormat="1" applyFont="1" applyFill="1" applyAlignment="1" applyProtection="1">
      <alignment vertical="center" wrapText="1"/>
      <protection locked="0"/>
    </xf>
    <xf numFmtId="0" fontId="79" fillId="14" borderId="0" xfId="0" applyNumberFormat="1" applyFont="1" applyFill="1" applyAlignment="1" applyProtection="1">
      <alignment vertical="center"/>
      <protection locked="0"/>
    </xf>
    <xf numFmtId="0" fontId="94" fillId="2" borderId="163" xfId="0" applyFont="1" applyFill="1" applyBorder="1" applyAlignment="1" applyProtection="1">
      <alignment vertical="center"/>
    </xf>
    <xf numFmtId="0" fontId="94" fillId="2" borderId="164" xfId="0" applyFont="1" applyFill="1" applyBorder="1" applyAlignment="1" applyProtection="1">
      <alignment vertical="center"/>
    </xf>
    <xf numFmtId="0" fontId="113" fillId="14" borderId="164" xfId="0" applyFont="1" applyFill="1" applyBorder="1" applyAlignment="1" applyProtection="1">
      <alignment vertical="center" wrapText="1"/>
      <protection locked="0"/>
    </xf>
    <xf numFmtId="0" fontId="82" fillId="2" borderId="132" xfId="0" applyFont="1" applyFill="1" applyBorder="1" applyAlignment="1" applyProtection="1">
      <alignment vertical="center" wrapText="1"/>
    </xf>
    <xf numFmtId="0" fontId="82" fillId="2" borderId="99" xfId="0" applyFont="1" applyFill="1" applyBorder="1" applyAlignment="1" applyProtection="1">
      <alignment vertical="center" wrapText="1"/>
    </xf>
    <xf numFmtId="0" fontId="82" fillId="2" borderId="108" xfId="0" applyFont="1" applyFill="1" applyBorder="1" applyAlignment="1" applyProtection="1">
      <alignment vertical="center"/>
    </xf>
    <xf numFmtId="0" fontId="82"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82"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2"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2"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9" fillId="14" borderId="0" xfId="0" applyFont="1" applyFill="1" applyBorder="1" applyAlignment="1" applyProtection="1">
      <alignment vertical="center" wrapText="1"/>
      <protection locked="0"/>
    </xf>
    <xf numFmtId="0" fontId="8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3" fillId="14" borderId="0" xfId="0" applyFont="1" applyFill="1" applyBorder="1" applyAlignment="1" applyProtection="1">
      <alignment vertical="center" wrapText="1"/>
      <protection locked="0"/>
    </xf>
    <xf numFmtId="0" fontId="94" fillId="2" borderId="165" xfId="0" applyFont="1" applyFill="1" applyBorder="1" applyAlignment="1" applyProtection="1">
      <alignment vertical="center"/>
    </xf>
    <xf numFmtId="0" fontId="82" fillId="2" borderId="112" xfId="0" applyFont="1" applyFill="1" applyBorder="1" applyAlignment="1" applyProtection="1">
      <alignment vertical="center" wrapText="1"/>
    </xf>
    <xf numFmtId="0" fontId="82" fillId="2" borderId="109" xfId="0" applyFont="1" applyFill="1" applyBorder="1" applyAlignment="1" applyProtection="1">
      <alignment vertical="center" wrapText="1"/>
    </xf>
    <xf numFmtId="0" fontId="82" fillId="2" borderId="159" xfId="0" applyFont="1" applyFill="1" applyBorder="1" applyAlignment="1" applyProtection="1">
      <alignment vertical="center" wrapText="1"/>
    </xf>
    <xf numFmtId="0" fontId="82"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2"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2"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2"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2"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2"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3" fillId="14" borderId="164" xfId="0" applyNumberFormat="1" applyFont="1" applyFill="1" applyBorder="1" applyAlignment="1" applyProtection="1">
      <alignment vertical="center" wrapText="1"/>
      <protection locked="0"/>
    </xf>
    <xf numFmtId="0" fontId="79" fillId="14" borderId="0" xfId="0" applyNumberFormat="1" applyFont="1" applyFill="1" applyBorder="1" applyAlignment="1" applyProtection="1">
      <alignment vertical="center" wrapText="1"/>
      <protection locked="0"/>
    </xf>
    <xf numFmtId="49" fontId="79" fillId="14" borderId="0" xfId="0" applyNumberFormat="1" applyFont="1" applyFill="1" applyBorder="1" applyAlignment="1" applyProtection="1">
      <alignment vertical="center" wrapText="1"/>
      <protection locked="0"/>
    </xf>
    <xf numFmtId="0" fontId="113" fillId="14" borderId="0" xfId="0" applyNumberFormat="1" applyFont="1" applyFill="1" applyBorder="1" applyAlignment="1" applyProtection="1">
      <alignment vertical="center" wrapText="1"/>
      <protection locked="0"/>
    </xf>
    <xf numFmtId="0" fontId="113" fillId="14" borderId="65" xfId="0" applyNumberFormat="1" applyFont="1" applyFill="1" applyBorder="1" applyAlignment="1" applyProtection="1">
      <alignment vertical="center" wrapText="1"/>
      <protection locked="0"/>
    </xf>
    <xf numFmtId="0" fontId="114" fillId="14" borderId="0" xfId="0" applyFont="1" applyFill="1" applyAlignment="1" applyProtection="1">
      <alignment vertical="center" wrapText="1"/>
      <protection locked="0"/>
    </xf>
    <xf numFmtId="0" fontId="114" fillId="14" borderId="0" xfId="0" applyNumberFormat="1" applyFont="1" applyFill="1" applyAlignment="1" applyProtection="1">
      <alignment vertical="center" wrapText="1"/>
      <protection locked="0"/>
    </xf>
    <xf numFmtId="0" fontId="113" fillId="14" borderId="166" xfId="0" applyFont="1" applyFill="1" applyBorder="1" applyAlignment="1" applyProtection="1">
      <alignment vertical="center" wrapText="1"/>
      <protection locked="0"/>
    </xf>
    <xf numFmtId="0" fontId="114" fillId="14" borderId="0" xfId="0" applyNumberFormat="1" applyFont="1" applyFill="1" applyAlignment="1" applyProtection="1">
      <alignment vertical="center"/>
      <protection locked="0"/>
    </xf>
    <xf numFmtId="0" fontId="114" fillId="14" borderId="0" xfId="0" applyFont="1" applyFill="1" applyAlignment="1" applyProtection="1">
      <alignment vertical="center"/>
      <protection locked="0"/>
    </xf>
    <xf numFmtId="0" fontId="79" fillId="0" borderId="0" xfId="0" applyFont="1" applyAlignment="1" applyProtection="1">
      <alignment vertical="center"/>
    </xf>
    <xf numFmtId="0" fontId="79"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0"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92" fillId="2" borderId="97" xfId="0" applyFont="1" applyFill="1" applyBorder="1" applyAlignment="1" applyProtection="1">
      <alignment vertical="center" wrapText="1"/>
    </xf>
    <xf numFmtId="14" fontId="79" fillId="2" borderId="101" xfId="0" applyNumberFormat="1" applyFont="1" applyFill="1" applyBorder="1" applyAlignment="1" applyProtection="1">
      <alignment horizontal="center" vertical="center"/>
    </xf>
    <xf numFmtId="0" fontId="79" fillId="2" borderId="0" xfId="0" applyFont="1" applyFill="1" applyAlignment="1" applyProtection="1">
      <alignment vertical="center"/>
      <protection locked="0"/>
    </xf>
    <xf numFmtId="182" fontId="79" fillId="2" borderId="0" xfId="0" applyNumberFormat="1" applyFont="1" applyFill="1" applyAlignment="1" applyProtection="1">
      <alignment vertical="center"/>
      <protection locked="0"/>
    </xf>
    <xf numFmtId="0" fontId="79" fillId="2" borderId="0" xfId="0" applyFont="1" applyFill="1" applyAlignment="1" applyProtection="1">
      <alignment vertical="center" wrapText="1"/>
    </xf>
    <xf numFmtId="0" fontId="79" fillId="2" borderId="0" xfId="0" applyFont="1" applyFill="1" applyAlignment="1" applyProtection="1">
      <alignment vertical="center"/>
    </xf>
    <xf numFmtId="0" fontId="79" fillId="2" borderId="104" xfId="0" applyFont="1" applyFill="1" applyBorder="1" applyAlignment="1" applyProtection="1">
      <alignment vertical="center"/>
    </xf>
    <xf numFmtId="182" fontId="79" fillId="2" borderId="104" xfId="0" applyNumberFormat="1" applyFont="1" applyFill="1" applyBorder="1" applyAlignment="1" applyProtection="1">
      <alignment vertical="center"/>
    </xf>
    <xf numFmtId="0" fontId="79" fillId="2" borderId="3" xfId="59" applyFont="1" applyFill="1" applyBorder="1" applyAlignment="1" applyProtection="1">
      <alignment vertical="center" wrapText="1"/>
    </xf>
    <xf numFmtId="0" fontId="79" fillId="2" borderId="4" xfId="59" applyFont="1" applyFill="1" applyBorder="1" applyAlignment="1" applyProtection="1">
      <alignment vertical="center" wrapText="1"/>
    </xf>
    <xf numFmtId="0" fontId="79" fillId="2" borderId="74" xfId="59" applyFont="1" applyFill="1" applyBorder="1" applyAlignment="1" applyProtection="1">
      <alignment vertical="center" wrapText="1"/>
    </xf>
    <xf numFmtId="186" fontId="71" fillId="2" borderId="3" xfId="59" applyNumberFormat="1"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82" fontId="79"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79" fillId="2" borderId="7" xfId="59" applyNumberFormat="1" applyFont="1" applyFill="1" applyBorder="1" applyAlignment="1" applyProtection="1">
      <alignment vertical="center"/>
    </xf>
    <xf numFmtId="181" fontId="79" fillId="16"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76" fontId="54" fillId="2" borderId="7" xfId="0" applyNumberFormat="1" applyFont="1" applyFill="1" applyBorder="1" applyAlignment="1" applyProtection="1">
      <alignment horizontal="center" vertical="center"/>
    </xf>
    <xf numFmtId="182" fontId="71" fillId="2" borderId="7" xfId="59" applyNumberFormat="1" applyFont="1" applyFill="1" applyBorder="1" applyAlignment="1" applyProtection="1">
      <alignment horizontal="center" vertical="center"/>
    </xf>
    <xf numFmtId="186" fontId="71"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9" fillId="0" borderId="7" xfId="0" applyNumberFormat="1" applyFont="1" applyFill="1" applyBorder="1" applyAlignment="1" applyProtection="1">
      <alignment horizontal="center" vertical="center"/>
      <protection locked="0"/>
    </xf>
    <xf numFmtId="181" fontId="79" fillId="2" borderId="6" xfId="59" applyNumberFormat="1" applyFont="1" applyFill="1" applyBorder="1" applyAlignment="1" applyProtection="1">
      <alignment horizontal="left" vertical="center" wrapText="1"/>
      <protection locked="0"/>
    </xf>
    <xf numFmtId="181" fontId="79" fillId="2" borderId="13" xfId="59" applyNumberFormat="1" applyFont="1" applyFill="1" applyBorder="1" applyAlignment="1" applyProtection="1">
      <alignment vertical="center"/>
    </xf>
    <xf numFmtId="184" fontId="86" fillId="2" borderId="7" xfId="0" applyNumberFormat="1" applyFont="1" applyFill="1" applyBorder="1" applyAlignment="1" applyProtection="1">
      <alignment horizontal="center" vertical="center"/>
      <protection locked="0"/>
    </xf>
    <xf numFmtId="0" fontId="92" fillId="2" borderId="9" xfId="59" applyFont="1" applyFill="1" applyBorder="1" applyAlignment="1" applyProtection="1">
      <alignment vertical="center" wrapText="1"/>
    </xf>
    <xf numFmtId="0" fontId="92" fillId="2" borderId="10" xfId="59" applyFont="1" applyFill="1" applyBorder="1" applyAlignment="1" applyProtection="1">
      <alignment vertical="center"/>
    </xf>
    <xf numFmtId="0" fontId="92" fillId="2" borderId="9" xfId="59" applyFont="1" applyFill="1" applyBorder="1" applyAlignment="1" applyProtection="1">
      <alignment vertical="center"/>
    </xf>
    <xf numFmtId="0" fontId="92" fillId="2" borderId="10" xfId="59" applyFont="1" applyFill="1" applyBorder="1" applyAlignment="1" applyProtection="1">
      <alignment horizontal="center" vertical="center"/>
    </xf>
    <xf numFmtId="184" fontId="92" fillId="2" borderId="10" xfId="59" applyNumberFormat="1" applyFont="1" applyFill="1" applyBorder="1" applyAlignment="1" applyProtection="1">
      <alignment vertical="center"/>
    </xf>
    <xf numFmtId="0" fontId="82"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9" fillId="7" borderId="0" xfId="0" applyFont="1" applyFill="1" applyAlignment="1" applyProtection="1">
      <alignment vertical="center"/>
    </xf>
    <xf numFmtId="0" fontId="79" fillId="7" borderId="0" xfId="0" applyFont="1" applyFill="1" applyAlignment="1" applyProtection="1">
      <alignment vertical="center"/>
      <protection locked="0"/>
    </xf>
    <xf numFmtId="182" fontId="79" fillId="7" borderId="0" xfId="0" applyNumberFormat="1" applyFont="1" applyFill="1" applyAlignment="1" applyProtection="1">
      <alignment vertical="center"/>
      <protection locked="0"/>
    </xf>
    <xf numFmtId="179" fontId="71" fillId="2" borderId="3" xfId="59" applyNumberFormat="1" applyFont="1" applyFill="1" applyBorder="1" applyAlignment="1" applyProtection="1">
      <alignment vertical="center" wrapText="1"/>
    </xf>
    <xf numFmtId="179" fontId="71" fillId="0" borderId="5" xfId="59" applyNumberFormat="1" applyFont="1" applyFill="1" applyBorder="1" applyAlignment="1" applyProtection="1">
      <alignment horizontal="center" vertical="center"/>
      <protection locked="0"/>
    </xf>
    <xf numFmtId="0" fontId="120" fillId="7" borderId="0" xfId="0" applyFont="1" applyFill="1" applyAlignment="1" applyProtection="1">
      <alignment vertical="center"/>
    </xf>
    <xf numFmtId="179" fontId="71" fillId="2" borderId="6" xfId="59" applyNumberFormat="1" applyFont="1" applyFill="1" applyBorder="1" applyAlignment="1" applyProtection="1">
      <alignment vertical="center" wrapText="1"/>
    </xf>
    <xf numFmtId="179" fontId="79" fillId="0" borderId="8" xfId="59" applyNumberFormat="1" applyFont="1" applyFill="1" applyBorder="1" applyAlignment="1" applyProtection="1">
      <alignment horizontal="center" vertical="center"/>
      <protection locked="0"/>
    </xf>
    <xf numFmtId="0" fontId="99" fillId="7" borderId="0" xfId="0" applyFont="1" applyFill="1" applyAlignment="1" applyProtection="1">
      <alignment vertical="center"/>
    </xf>
    <xf numFmtId="179" fontId="79" fillId="2" borderId="6" xfId="59" applyNumberFormat="1" applyFont="1" applyFill="1" applyBorder="1" applyAlignment="1" applyProtection="1">
      <alignment vertical="center" wrapText="1"/>
    </xf>
    <xf numFmtId="179" fontId="71" fillId="2" borderId="8" xfId="59" applyNumberFormat="1" applyFont="1" applyFill="1" applyBorder="1" applyAlignment="1" applyProtection="1">
      <alignment horizontal="center" vertical="center"/>
    </xf>
    <xf numFmtId="179" fontId="71" fillId="2" borderId="9" xfId="59" applyNumberFormat="1" applyFont="1" applyFill="1" applyBorder="1" applyAlignment="1" applyProtection="1">
      <alignment vertical="center" wrapText="1"/>
    </xf>
    <xf numFmtId="179" fontId="71" fillId="2" borderId="11" xfId="59" applyNumberFormat="1" applyFont="1" applyFill="1" applyBorder="1" applyAlignment="1" applyProtection="1">
      <alignment horizontal="center" vertical="center"/>
    </xf>
    <xf numFmtId="0" fontId="79" fillId="2" borderId="99" xfId="0" applyFont="1" applyFill="1" applyBorder="1" applyAlignment="1" applyProtection="1">
      <alignment horizontal="center" vertical="center"/>
    </xf>
    <xf numFmtId="0" fontId="79" fillId="7" borderId="101" xfId="0" applyFont="1" applyFill="1" applyBorder="1" applyAlignment="1" applyProtection="1">
      <alignment horizontal="center" vertical="center"/>
      <protection locked="0"/>
    </xf>
    <xf numFmtId="0" fontId="79"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82" fontId="79" fillId="7" borderId="0" xfId="0" applyNumberFormat="1" applyFont="1" applyFill="1" applyAlignment="1" applyProtection="1">
      <alignment horizontal="center" vertical="center"/>
      <protection locked="0"/>
    </xf>
    <xf numFmtId="0" fontId="79"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79"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9" fillId="7" borderId="0" xfId="0" applyFont="1" applyFill="1" applyAlignment="1" applyProtection="1">
      <alignment horizontal="left" vertical="center"/>
    </xf>
    <xf numFmtId="0" fontId="79"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1" fillId="2" borderId="8" xfId="59" applyNumberFormat="1" applyFont="1" applyFill="1" applyBorder="1" applyAlignment="1" applyProtection="1">
      <alignment horizontal="center" vertical="center"/>
    </xf>
    <xf numFmtId="0" fontId="99" fillId="7" borderId="0" xfId="0" applyFont="1" applyFill="1" applyAlignment="1" applyProtection="1">
      <alignment horizontal="left" vertical="center"/>
      <protection locked="0"/>
    </xf>
    <xf numFmtId="0" fontId="79"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99"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9"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9" fillId="2" borderId="5" xfId="0" applyNumberFormat="1" applyFont="1" applyFill="1" applyBorder="1" applyAlignment="1" applyProtection="1">
      <alignment horizontal="center" vertical="center"/>
    </xf>
    <xf numFmtId="0" fontId="79" fillId="2" borderId="68" xfId="0" applyFont="1" applyFill="1" applyBorder="1" applyAlignment="1" applyProtection="1">
      <alignment horizontal="left" vertical="center" wrapText="1"/>
    </xf>
    <xf numFmtId="10" fontId="79"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2" fontId="79" fillId="2" borderId="69" xfId="0" applyNumberFormat="1" applyFont="1" applyFill="1" applyBorder="1" applyAlignment="1" applyProtection="1">
      <alignment horizontal="center" vertical="center"/>
    </xf>
    <xf numFmtId="0" fontId="79" fillId="2" borderId="68" xfId="0" applyFont="1" applyFill="1" applyBorder="1" applyAlignment="1" applyProtection="1">
      <alignment horizontal="right" vertical="center" wrapText="1"/>
    </xf>
    <xf numFmtId="10" fontId="79" fillId="16" borderId="69" xfId="0" applyNumberFormat="1" applyFont="1" applyFill="1" applyBorder="1" applyAlignment="1" applyProtection="1">
      <alignment horizontal="center" vertical="center"/>
      <protection locked="0"/>
    </xf>
    <xf numFmtId="0" fontId="79" fillId="2" borderId="9" xfId="0" applyFont="1" applyFill="1" applyBorder="1" applyAlignment="1" applyProtection="1">
      <alignment horizontal="right" vertical="center" wrapText="1"/>
    </xf>
    <xf numFmtId="10" fontId="79" fillId="0" borderId="1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0" fontId="79" fillId="2" borderId="76" xfId="0" applyFont="1" applyFill="1" applyBorder="1" applyAlignment="1" applyProtection="1">
      <alignment vertical="center" wrapText="1"/>
    </xf>
    <xf numFmtId="10" fontId="79" fillId="0" borderId="88" xfId="0" applyNumberFormat="1" applyFont="1" applyFill="1" applyBorder="1" applyAlignment="1" applyProtection="1">
      <alignment horizontal="center" vertical="center"/>
      <protection locked="0"/>
    </xf>
    <xf numFmtId="0" fontId="79" fillId="2" borderId="67" xfId="0" applyFont="1" applyFill="1" applyBorder="1" applyAlignment="1" applyProtection="1">
      <alignment vertical="center" wrapText="1"/>
    </xf>
    <xf numFmtId="10" fontId="79" fillId="2" borderId="81" xfId="0" applyNumberFormat="1" applyFont="1" applyFill="1" applyBorder="1" applyAlignment="1" applyProtection="1">
      <alignment horizontal="center" vertical="center"/>
    </xf>
    <xf numFmtId="10" fontId="79" fillId="2" borderId="11" xfId="0" applyNumberFormat="1" applyFont="1" applyFill="1" applyBorder="1" applyAlignment="1" applyProtection="1">
      <alignment horizontal="center" vertical="center"/>
    </xf>
    <xf numFmtId="189" fontId="79" fillId="2" borderId="81" xfId="0" applyNumberFormat="1" applyFont="1" applyFill="1" applyBorder="1" applyAlignment="1" applyProtection="1">
      <alignment horizontal="center" vertical="center"/>
    </xf>
    <xf numFmtId="0" fontId="79" fillId="16"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right" vertical="center" wrapText="1"/>
      <protection locked="0"/>
    </xf>
    <xf numFmtId="0" fontId="79"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9" fillId="2" borderId="0" xfId="0" applyFont="1" applyFill="1" applyAlignment="1" applyProtection="1">
      <alignment horizontal="center" vertical="center"/>
      <protection locked="0"/>
    </xf>
    <xf numFmtId="0" fontId="79" fillId="2" borderId="108" xfId="0" applyFont="1" applyFill="1" applyBorder="1" applyAlignment="1" applyProtection="1">
      <alignment vertical="center"/>
    </xf>
    <xf numFmtId="0" fontId="79" fillId="2" borderId="132" xfId="0" applyFont="1" applyFill="1" applyBorder="1" applyAlignment="1" applyProtection="1">
      <alignment horizontal="center" vertical="center"/>
    </xf>
    <xf numFmtId="0" fontId="79"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9" fillId="2" borderId="3" xfId="59" applyNumberFormat="1" applyFont="1" applyFill="1" applyBorder="1" applyAlignment="1" applyProtection="1">
      <alignment horizontal="center" vertical="center" wrapText="1"/>
    </xf>
    <xf numFmtId="0" fontId="79" fillId="2" borderId="4" xfId="59" applyFont="1" applyFill="1" applyBorder="1" applyAlignment="1" applyProtection="1">
      <alignment horizontal="center" vertical="center" wrapText="1"/>
    </xf>
    <xf numFmtId="182" fontId="79" fillId="2" borderId="4" xfId="59" applyNumberFormat="1" applyFont="1" applyFill="1" applyBorder="1" applyAlignment="1" applyProtection="1">
      <alignment horizontal="center" vertical="center" wrapText="1"/>
    </xf>
    <xf numFmtId="0" fontId="79" fillId="3" borderId="4" xfId="59" applyFont="1" applyFill="1" applyBorder="1" applyAlignment="1" applyProtection="1">
      <alignment horizontal="center" vertical="center" wrapText="1"/>
      <protection locked="0"/>
    </xf>
    <xf numFmtId="0" fontId="79" fillId="2" borderId="74" xfId="59"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79"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9" fillId="2" borderId="13" xfId="0" applyNumberFormat="1" applyFont="1" applyFill="1" applyBorder="1" applyAlignment="1" applyProtection="1">
      <alignment horizontal="center" vertical="center"/>
    </xf>
    <xf numFmtId="181" fontId="79" fillId="0" borderId="7" xfId="59" applyNumberFormat="1" applyFont="1" applyFill="1" applyBorder="1" applyAlignment="1" applyProtection="1">
      <alignment horizontal="center" vertical="center"/>
      <protection locked="0"/>
    </xf>
    <xf numFmtId="10" fontId="79" fillId="0" borderId="7" xfId="59" applyNumberFormat="1" applyFont="1" applyFill="1" applyBorder="1" applyAlignment="1" applyProtection="1">
      <alignment horizontal="center" vertical="center"/>
      <protection locked="0"/>
    </xf>
    <xf numFmtId="181" fontId="79" fillId="2" borderId="7" xfId="59" applyNumberFormat="1" applyFont="1" applyFill="1" applyBorder="1" applyAlignment="1" applyProtection="1">
      <alignment horizontal="center" vertical="center"/>
    </xf>
    <xf numFmtId="10" fontId="79" fillId="2" borderId="7" xfId="59" applyNumberFormat="1" applyFont="1" applyFill="1" applyBorder="1" applyAlignment="1" applyProtection="1">
      <alignment horizontal="center" vertical="center"/>
    </xf>
    <xf numFmtId="0" fontId="92" fillId="2" borderId="11" xfId="59" applyFont="1" applyFill="1" applyBorder="1" applyAlignment="1" applyProtection="1">
      <alignment vertical="center"/>
    </xf>
    <xf numFmtId="179" fontId="79" fillId="2" borderId="9" xfId="0" applyNumberFormat="1" applyFont="1" applyFill="1" applyBorder="1" applyAlignment="1" applyProtection="1">
      <alignment horizontal="center" vertical="center"/>
    </xf>
    <xf numFmtId="0" fontId="79" fillId="2" borderId="10" xfId="59" applyNumberFormat="1" applyFont="1" applyFill="1" applyBorder="1" applyAlignment="1" applyProtection="1">
      <alignment horizontal="center" vertical="center"/>
    </xf>
    <xf numFmtId="10" fontId="79"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9"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9" fillId="2" borderId="3" xfId="59" applyFont="1" applyFill="1" applyBorder="1" applyAlignment="1" applyProtection="1">
      <alignment horizontal="center" vertical="center" wrapText="1"/>
    </xf>
    <xf numFmtId="0" fontId="79" fillId="2" borderId="73" xfId="59" applyFont="1" applyFill="1" applyBorder="1" applyAlignment="1" applyProtection="1">
      <alignment horizontal="center" vertical="center" wrapText="1"/>
    </xf>
    <xf numFmtId="0" fontId="79" fillId="2" borderId="81" xfId="59" applyFont="1" applyFill="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9" fillId="2" borderId="6" xfId="59" applyNumberFormat="1" applyFont="1" applyFill="1" applyBorder="1" applyAlignment="1" applyProtection="1">
      <alignment horizontal="center" vertical="center"/>
    </xf>
    <xf numFmtId="182" fontId="79" fillId="2" borderId="7" xfId="0" applyNumberFormat="1" applyFont="1" applyFill="1" applyBorder="1" applyAlignment="1" applyProtection="1">
      <alignment horizontal="center" vertical="center"/>
    </xf>
    <xf numFmtId="0" fontId="79" fillId="2" borderId="8" xfId="59" applyNumberFormat="1" applyFont="1" applyFill="1" applyBorder="1" applyAlignment="1" applyProtection="1">
      <alignment horizontal="center" vertical="center"/>
    </xf>
    <xf numFmtId="182" fontId="79" fillId="0" borderId="6" xfId="0" applyNumberFormat="1" applyFont="1" applyBorder="1" applyAlignment="1" applyProtection="1">
      <alignment horizontal="center" vertical="center"/>
      <protection locked="0"/>
    </xf>
    <xf numFmtId="184" fontId="79" fillId="0" borderId="7" xfId="0" applyNumberFormat="1" applyFont="1" applyBorder="1" applyAlignment="1" applyProtection="1">
      <alignment vertical="center"/>
      <protection locked="0"/>
    </xf>
    <xf numFmtId="184" fontId="79"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9" fillId="0" borderId="13" xfId="0" applyNumberFormat="1" applyFont="1" applyFill="1" applyBorder="1" applyAlignment="1" applyProtection="1">
      <alignment horizontal="center" vertical="center"/>
      <protection locked="0"/>
    </xf>
    <xf numFmtId="182" fontId="79" fillId="0" borderId="6" xfId="0" applyNumberFormat="1" applyFont="1" applyBorder="1" applyAlignment="1" applyProtection="1">
      <alignment vertical="center"/>
      <protection locked="0"/>
    </xf>
    <xf numFmtId="9" fontId="79" fillId="2" borderId="13" xfId="0" applyNumberFormat="1" applyFont="1" applyFill="1" applyBorder="1" applyAlignment="1" applyProtection="1">
      <alignment horizontal="center" vertical="center"/>
    </xf>
    <xf numFmtId="0" fontId="79" fillId="2" borderId="6" xfId="0" applyFont="1" applyFill="1" applyBorder="1" applyAlignment="1" applyProtection="1">
      <alignment vertical="center"/>
    </xf>
    <xf numFmtId="184" fontId="79" fillId="2" borderId="7" xfId="0" applyNumberFormat="1" applyFont="1" applyFill="1" applyBorder="1" applyAlignment="1" applyProtection="1">
      <alignment vertical="center"/>
    </xf>
    <xf numFmtId="184" fontId="79" fillId="2" borderId="13" xfId="0" applyNumberFormat="1" applyFont="1" applyFill="1" applyBorder="1" applyAlignment="1" applyProtection="1">
      <alignment vertical="center"/>
    </xf>
    <xf numFmtId="9" fontId="79" fillId="2" borderId="75" xfId="0" applyNumberFormat="1" applyFont="1" applyFill="1" applyBorder="1" applyAlignment="1" applyProtection="1">
      <alignment horizontal="center" vertical="center"/>
    </xf>
    <xf numFmtId="182" fontId="79" fillId="2" borderId="9" xfId="59" applyNumberFormat="1" applyFont="1" applyFill="1" applyBorder="1" applyAlignment="1" applyProtection="1">
      <alignment horizontal="center" vertical="center"/>
    </xf>
    <xf numFmtId="182" fontId="79" fillId="2" borderId="96" xfId="59" applyNumberFormat="1" applyFont="1" applyFill="1" applyBorder="1" applyAlignment="1" applyProtection="1">
      <alignment horizontal="center" vertical="center"/>
    </xf>
    <xf numFmtId="0" fontId="79" fillId="2" borderId="91" xfId="59" applyNumberFormat="1" applyFont="1" applyFill="1" applyBorder="1" applyAlignment="1" applyProtection="1">
      <alignment horizontal="center" vertical="center"/>
    </xf>
    <xf numFmtId="0" fontId="79" fillId="2" borderId="9" xfId="0" applyFont="1" applyFill="1" applyBorder="1" applyAlignment="1" applyProtection="1">
      <alignment vertical="center"/>
    </xf>
    <xf numFmtId="0" fontId="79" fillId="2" borderId="10" xfId="0" applyFont="1" applyFill="1" applyBorder="1" applyAlignment="1" applyProtection="1">
      <alignment vertical="center"/>
    </xf>
    <xf numFmtId="0" fontId="79" fillId="2" borderId="75" xfId="0" applyFont="1" applyFill="1" applyBorder="1" applyAlignment="1" applyProtection="1">
      <alignment vertical="center"/>
    </xf>
    <xf numFmtId="0" fontId="79" fillId="2" borderId="73" xfId="0" applyFont="1" applyFill="1" applyBorder="1" applyAlignment="1" applyProtection="1">
      <alignment vertical="center"/>
    </xf>
    <xf numFmtId="0" fontId="79" fillId="2" borderId="112" xfId="0" applyFont="1" applyFill="1" applyBorder="1" applyAlignment="1" applyProtection="1">
      <alignment vertical="center"/>
    </xf>
    <xf numFmtId="0" fontId="79" fillId="2" borderId="95" xfId="0" applyFont="1" applyFill="1" applyBorder="1" applyAlignment="1" applyProtection="1">
      <alignment horizontal="center" vertical="center" wrapText="1"/>
    </xf>
    <xf numFmtId="184" fontId="79" fillId="0" borderId="8" xfId="0" applyNumberFormat="1" applyFont="1" applyBorder="1" applyAlignment="1" applyProtection="1">
      <alignment vertical="center"/>
      <protection locked="0"/>
    </xf>
    <xf numFmtId="0" fontId="79" fillId="0" borderId="14" xfId="0" applyFont="1" applyBorder="1" applyAlignment="1" applyProtection="1">
      <alignment vertical="center"/>
      <protection locked="0"/>
    </xf>
    <xf numFmtId="184" fontId="79" fillId="0" borderId="13" xfId="0" applyNumberFormat="1" applyFont="1" applyBorder="1" applyAlignment="1" applyProtection="1">
      <alignment vertical="center"/>
      <protection locked="0"/>
    </xf>
    <xf numFmtId="0" fontId="79" fillId="2" borderId="6" xfId="0" applyFont="1" applyFill="1" applyBorder="1" applyAlignment="1" applyProtection="1">
      <alignment horizontal="center" vertical="center"/>
    </xf>
    <xf numFmtId="0" fontId="79" fillId="0" borderId="14" xfId="0" applyFont="1" applyBorder="1" applyAlignment="1" applyProtection="1">
      <alignment horizontal="center" vertical="center"/>
      <protection locked="0"/>
    </xf>
    <xf numFmtId="184" fontId="79" fillId="2" borderId="8" xfId="0" applyNumberFormat="1" applyFont="1" applyFill="1" applyBorder="1" applyAlignment="1" applyProtection="1">
      <alignment vertical="center"/>
    </xf>
    <xf numFmtId="0" fontId="79" fillId="2" borderId="14" xfId="0" applyFont="1" applyFill="1" applyBorder="1" applyAlignment="1" applyProtection="1">
      <alignment vertical="center"/>
    </xf>
    <xf numFmtId="184" fontId="79" fillId="2" borderId="7" xfId="0" applyNumberFormat="1" applyFont="1" applyFill="1" applyBorder="1" applyAlignment="1" applyProtection="1">
      <alignment horizontal="center" vertical="center"/>
    </xf>
    <xf numFmtId="0" fontId="79" fillId="2" borderId="11" xfId="0" applyFont="1" applyFill="1" applyBorder="1" applyAlignment="1" applyProtection="1">
      <alignment vertical="center"/>
    </xf>
    <xf numFmtId="0" fontId="79" fillId="2" borderId="96" xfId="0" applyFont="1" applyFill="1" applyBorder="1" applyAlignment="1" applyProtection="1">
      <alignment vertical="center"/>
    </xf>
    <xf numFmtId="0" fontId="79" fillId="2" borderId="109" xfId="0" applyFont="1" applyFill="1" applyBorder="1" applyAlignment="1" applyProtection="1">
      <alignment vertical="center"/>
    </xf>
    <xf numFmtId="0" fontId="79" fillId="2" borderId="14" xfId="0" applyFont="1" applyFill="1" applyBorder="1" applyAlignment="1" applyProtection="1">
      <alignment horizontal="center" vertical="center" wrapText="1"/>
      <protection locked="0"/>
    </xf>
    <xf numFmtId="0" fontId="79" fillId="0" borderId="6" xfId="0" applyFont="1" applyBorder="1" applyAlignment="1" applyProtection="1">
      <alignment horizontal="center" vertical="center"/>
      <protection locked="0"/>
    </xf>
    <xf numFmtId="0" fontId="79" fillId="3" borderId="14" xfId="0" applyFont="1" applyFill="1" applyBorder="1" applyAlignment="1" applyProtection="1">
      <alignment horizontal="center" vertical="center"/>
      <protection locked="0"/>
    </xf>
    <xf numFmtId="0" fontId="79" fillId="0" borderId="7" xfId="0" applyNumberFormat="1" applyFont="1" applyBorder="1" applyAlignment="1" applyProtection="1">
      <alignment horizontal="center" vertical="center"/>
      <protection locked="0"/>
    </xf>
    <xf numFmtId="10" fontId="79" fillId="0" borderId="7" xfId="0" applyNumberFormat="1" applyFont="1" applyBorder="1" applyAlignment="1" applyProtection="1">
      <alignment horizontal="center" vertical="center"/>
      <protection locked="0"/>
    </xf>
    <xf numFmtId="192" fontId="79" fillId="0" borderId="7" xfId="0" applyNumberFormat="1" applyFont="1" applyBorder="1" applyAlignment="1" applyProtection="1">
      <alignment horizontal="center" vertical="center"/>
      <protection locked="0"/>
    </xf>
    <xf numFmtId="184" fontId="79"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9" fillId="0" borderId="7" xfId="0" applyNumberFormat="1" applyFont="1" applyFill="1" applyBorder="1" applyAlignment="1" applyProtection="1">
      <alignment horizontal="center" vertical="center"/>
      <protection locked="0"/>
    </xf>
    <xf numFmtId="192" fontId="79" fillId="0" borderId="7" xfId="0" applyNumberFormat="1" applyFont="1" applyFill="1" applyBorder="1" applyAlignment="1" applyProtection="1">
      <alignment horizontal="center" vertical="center"/>
      <protection locked="0"/>
    </xf>
    <xf numFmtId="184" fontId="79" fillId="0" borderId="8" xfId="0" applyNumberFormat="1" applyFont="1" applyFill="1" applyBorder="1" applyAlignment="1" applyProtection="1">
      <alignment horizontal="center" vertical="center"/>
      <protection locked="0"/>
    </xf>
    <xf numFmtId="10" fontId="79" fillId="2" borderId="7" xfId="0" applyNumberFormat="1" applyFont="1" applyFill="1" applyBorder="1" applyAlignment="1" applyProtection="1">
      <alignment horizontal="center" vertical="center"/>
    </xf>
    <xf numFmtId="192" fontId="79" fillId="2" borderId="7" xfId="0" applyNumberFormat="1" applyFont="1" applyFill="1" applyBorder="1" applyAlignment="1" applyProtection="1">
      <alignment horizontal="center" vertical="center"/>
    </xf>
    <xf numFmtId="184" fontId="79" fillId="2" borderId="8" xfId="0" applyNumberFormat="1" applyFont="1" applyFill="1" applyBorder="1" applyAlignment="1" applyProtection="1">
      <alignment horizontal="center" vertical="center"/>
    </xf>
    <xf numFmtId="0" fontId="79" fillId="2" borderId="7" xfId="0" applyFont="1" applyFill="1" applyBorder="1" applyAlignment="1" applyProtection="1">
      <alignment vertical="center" wrapText="1"/>
    </xf>
    <xf numFmtId="0" fontId="79" fillId="2" borderId="7" xfId="0" applyFont="1" applyFill="1" applyBorder="1" applyAlignment="1" applyProtection="1">
      <alignment horizontal="right" vertical="center" wrapText="1"/>
    </xf>
    <xf numFmtId="0" fontId="79" fillId="2" borderId="7" xfId="59" applyFont="1" applyFill="1" applyBorder="1" applyAlignment="1" applyProtection="1">
      <alignment horizontal="center" vertical="center" wrapText="1"/>
    </xf>
    <xf numFmtId="0" fontId="79" fillId="2" borderId="7" xfId="0" applyFont="1" applyFill="1" applyBorder="1" applyAlignment="1" applyProtection="1">
      <alignment horizontal="right" vertical="center"/>
    </xf>
    <xf numFmtId="182"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9" fillId="0" borderId="0" xfId="0" applyFont="1" applyProtection="1">
      <alignment vertical="center"/>
      <protection locked="0"/>
    </xf>
    <xf numFmtId="0" fontId="79" fillId="0" borderId="0" xfId="0" applyFont="1" applyFill="1" applyProtection="1">
      <alignment vertical="center"/>
      <protection locked="0"/>
    </xf>
    <xf numFmtId="179" fontId="72" fillId="2" borderId="7" xfId="59" applyNumberFormat="1" applyFont="1" applyFill="1" applyBorder="1" applyAlignment="1" applyProtection="1">
      <alignment horizontal="center" vertical="center"/>
    </xf>
    <xf numFmtId="0" fontId="79" fillId="7" borderId="0" xfId="0" applyFont="1" applyFill="1" applyProtection="1">
      <alignment vertical="center"/>
      <protection locked="0"/>
    </xf>
    <xf numFmtId="0" fontId="79" fillId="2" borderId="82" xfId="0" applyFont="1" applyFill="1" applyBorder="1" applyProtection="1">
      <alignment vertical="center"/>
    </xf>
    <xf numFmtId="0" fontId="79" fillId="2" borderId="83" xfId="0" applyFont="1" applyFill="1" applyBorder="1" applyProtection="1">
      <alignment vertical="center"/>
    </xf>
    <xf numFmtId="0" fontId="92" fillId="2" borderId="12" xfId="0" applyFont="1" applyFill="1" applyBorder="1" applyAlignment="1" applyProtection="1">
      <alignment horizontal="center" vertical="center"/>
    </xf>
    <xf numFmtId="0" fontId="92" fillId="2" borderId="12" xfId="0" applyFont="1" applyFill="1" applyBorder="1" applyAlignment="1" applyProtection="1">
      <alignment vertical="center"/>
    </xf>
    <xf numFmtId="0" fontId="79" fillId="2" borderId="68" xfId="0" applyFont="1" applyFill="1" applyBorder="1" applyProtection="1">
      <alignment vertical="center"/>
    </xf>
    <xf numFmtId="0" fontId="92" fillId="2" borderId="95" xfId="0" applyFont="1" applyFill="1" applyBorder="1" applyAlignment="1" applyProtection="1">
      <alignment horizontal="center" vertical="center"/>
    </xf>
    <xf numFmtId="0" fontId="92" fillId="2" borderId="4" xfId="0" applyFont="1" applyFill="1" applyBorder="1" applyAlignment="1" applyProtection="1">
      <alignment horizontal="center" vertical="center"/>
    </xf>
    <xf numFmtId="179" fontId="72" fillId="2" borderId="5" xfId="59" applyNumberFormat="1" applyFont="1" applyFill="1" applyBorder="1" applyAlignment="1" applyProtection="1">
      <alignment horizontal="center" vertical="center"/>
    </xf>
    <xf numFmtId="0" fontId="79" fillId="2" borderId="119" xfId="0" applyFont="1" applyFill="1" applyBorder="1" applyProtection="1">
      <alignment vertical="center"/>
    </xf>
    <xf numFmtId="0" fontId="79" fillId="2" borderId="68" xfId="0" applyFont="1" applyFill="1" applyBorder="1" applyAlignment="1" applyProtection="1">
      <alignment vertical="center"/>
    </xf>
    <xf numFmtId="0" fontId="79" fillId="2" borderId="7" xfId="0" applyFont="1" applyFill="1" applyBorder="1" applyAlignment="1" applyProtection="1">
      <alignment vertical="center"/>
    </xf>
    <xf numFmtId="179" fontId="79" fillId="2" borderId="8" xfId="0" applyNumberFormat="1" applyFont="1" applyFill="1" applyBorder="1" applyAlignment="1" applyProtection="1">
      <alignment vertical="center"/>
    </xf>
    <xf numFmtId="0" fontId="79" fillId="2" borderId="79" xfId="0" applyFont="1" applyFill="1" applyBorder="1" applyAlignment="1" applyProtection="1">
      <alignment vertical="center"/>
    </xf>
    <xf numFmtId="0" fontId="79" fillId="2" borderId="76" xfId="0" applyFont="1" applyFill="1" applyBorder="1" applyProtection="1">
      <alignment vertical="center"/>
    </xf>
    <xf numFmtId="0" fontId="79" fillId="2" borderId="12" xfId="0" applyFont="1" applyFill="1" applyBorder="1" applyProtection="1">
      <alignment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179" fontId="92" fillId="2" borderId="5" xfId="59" applyNumberFormat="1" applyFont="1" applyFill="1" applyBorder="1" applyAlignment="1" applyProtection="1">
      <alignment horizontal="center" vertical="center"/>
    </xf>
    <xf numFmtId="0" fontId="79" fillId="2" borderId="89" xfId="0" applyFont="1" applyFill="1" applyBorder="1" applyProtection="1">
      <alignment vertical="center"/>
    </xf>
    <xf numFmtId="0" fontId="79" fillId="2" borderId="96" xfId="0" applyFont="1" applyFill="1" applyBorder="1" applyProtection="1">
      <alignment vertical="center"/>
    </xf>
    <xf numFmtId="0" fontId="79" fillId="2" borderId="12" xfId="0" applyFont="1" applyFill="1" applyBorder="1" applyAlignment="1" applyProtection="1">
      <alignment vertical="center"/>
    </xf>
    <xf numFmtId="0" fontId="79" fillId="2" borderId="8" xfId="0" applyFont="1" applyFill="1" applyBorder="1" applyAlignment="1" applyProtection="1">
      <alignment vertical="center"/>
    </xf>
    <xf numFmtId="0" fontId="79" fillId="7" borderId="0" xfId="0" applyFont="1" applyFill="1" applyBorder="1" applyProtection="1">
      <alignment vertical="center"/>
      <protection locked="0"/>
    </xf>
    <xf numFmtId="0" fontId="79" fillId="2" borderId="76" xfId="0" applyFont="1" applyFill="1" applyBorder="1" applyAlignment="1" applyProtection="1">
      <alignment vertical="center"/>
    </xf>
    <xf numFmtId="0" fontId="79" fillId="2" borderId="78" xfId="0" applyFont="1" applyFill="1" applyBorder="1" applyAlignment="1" applyProtection="1">
      <alignment vertical="center"/>
    </xf>
    <xf numFmtId="0" fontId="79" fillId="0" borderId="8" xfId="0" applyFont="1" applyFill="1" applyBorder="1" applyAlignment="1" applyProtection="1">
      <alignment vertical="center"/>
      <protection locked="0"/>
    </xf>
    <xf numFmtId="0" fontId="79" fillId="2" borderId="69" xfId="0" applyFont="1" applyFill="1" applyBorder="1" applyAlignment="1" applyProtection="1">
      <alignment vertical="center"/>
    </xf>
    <xf numFmtId="0" fontId="92" fillId="2" borderId="82" xfId="0" applyFont="1" applyFill="1" applyBorder="1" applyProtection="1">
      <alignment vertical="center"/>
    </xf>
    <xf numFmtId="0" fontId="79" fillId="2" borderId="80" xfId="0" applyFont="1" applyFill="1" applyBorder="1" applyProtection="1">
      <alignment vertical="center"/>
    </xf>
    <xf numFmtId="0" fontId="92" fillId="2" borderId="80" xfId="0" applyFont="1" applyFill="1" applyBorder="1" applyAlignment="1" applyProtection="1">
      <alignment horizontal="center" vertical="center"/>
    </xf>
    <xf numFmtId="179" fontId="72" fillId="2" borderId="66" xfId="59" applyNumberFormat="1" applyFont="1" applyFill="1" applyBorder="1" applyAlignment="1" applyProtection="1">
      <alignment horizontal="center" vertical="center"/>
    </xf>
    <xf numFmtId="179" fontId="72" fillId="2" borderId="83" xfId="59" applyNumberFormat="1" applyFont="1" applyFill="1" applyBorder="1" applyAlignment="1" applyProtection="1">
      <alignment horizontal="center" vertical="center"/>
    </xf>
    <xf numFmtId="179" fontId="72" fillId="2" borderId="84" xfId="59" applyNumberFormat="1" applyFont="1" applyFill="1" applyBorder="1" applyAlignment="1" applyProtection="1">
      <alignment horizontal="center" vertical="center"/>
    </xf>
    <xf numFmtId="0" fontId="92" fillId="2" borderId="142" xfId="0" applyFont="1" applyFill="1" applyBorder="1" applyAlignment="1" applyProtection="1">
      <alignment horizontal="right" vertical="center"/>
    </xf>
    <xf numFmtId="0" fontId="79" fillId="2" borderId="16" xfId="0" applyFont="1" applyFill="1" applyBorder="1" applyAlignment="1" applyProtection="1">
      <alignment vertical="center"/>
    </xf>
    <xf numFmtId="0" fontId="79" fillId="2" borderId="0" xfId="0" applyFont="1" applyFill="1" applyBorder="1" applyAlignment="1" applyProtection="1">
      <alignment vertical="center"/>
    </xf>
    <xf numFmtId="0" fontId="92" fillId="2" borderId="16" xfId="0" applyFont="1" applyFill="1" applyBorder="1" applyAlignment="1" applyProtection="1">
      <alignment horizontal="center" vertical="center"/>
    </xf>
    <xf numFmtId="179" fontId="71" fillId="2" borderId="16" xfId="59" applyNumberFormat="1" applyFont="1" applyFill="1" applyBorder="1" applyAlignment="1" applyProtection="1">
      <alignment horizontal="center" vertical="center"/>
    </xf>
    <xf numFmtId="0" fontId="79" fillId="2" borderId="103" xfId="0" applyFont="1" applyFill="1" applyBorder="1" applyAlignment="1" applyProtection="1">
      <alignment horizontal="center" vertical="center"/>
    </xf>
    <xf numFmtId="0" fontId="79" fillId="2" borderId="85" xfId="0" applyFont="1" applyFill="1" applyBorder="1" applyAlignment="1" applyProtection="1">
      <alignment horizontal="center" vertical="center"/>
    </xf>
    <xf numFmtId="0" fontId="79" fillId="2" borderId="70" xfId="0" applyFont="1" applyFill="1" applyBorder="1" applyProtection="1">
      <alignment vertical="center"/>
    </xf>
    <xf numFmtId="181" fontId="75" fillId="0" borderId="7" xfId="59" applyNumberFormat="1" applyFont="1" applyFill="1" applyBorder="1" applyAlignment="1" applyProtection="1">
      <alignment vertical="center"/>
      <protection locked="0" hidden="1"/>
    </xf>
    <xf numFmtId="179" fontId="79"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9" fillId="2" borderId="70" xfId="0" applyFont="1" applyFill="1" applyBorder="1" applyAlignment="1" applyProtection="1">
      <alignment vertical="center"/>
    </xf>
    <xf numFmtId="181" fontId="124" fillId="0" borderId="7" xfId="59" applyNumberFormat="1" applyFont="1" applyFill="1" applyBorder="1" applyAlignment="1" applyProtection="1">
      <alignment vertical="center"/>
      <protection locked="0"/>
    </xf>
    <xf numFmtId="0" fontId="79" fillId="0" borderId="94" xfId="0" applyFont="1" applyFill="1" applyBorder="1" applyProtection="1">
      <alignment vertical="center"/>
      <protection locked="0"/>
    </xf>
    <xf numFmtId="0" fontId="79" fillId="0" borderId="69" xfId="0" applyFont="1" applyFill="1" applyBorder="1" applyProtection="1">
      <alignment vertical="center"/>
      <protection locked="0"/>
    </xf>
    <xf numFmtId="181" fontId="79" fillId="0" borderId="14" xfId="59" applyNumberFormat="1" applyFont="1" applyFill="1" applyBorder="1" applyAlignment="1" applyProtection="1">
      <alignment vertical="center"/>
      <protection locked="0"/>
    </xf>
    <xf numFmtId="179" fontId="92" fillId="2" borderId="7" xfId="0" applyNumberFormat="1" applyFont="1" applyFill="1" applyBorder="1" applyAlignment="1" applyProtection="1">
      <alignment vertical="center"/>
    </xf>
    <xf numFmtId="179" fontId="92" fillId="2" borderId="7" xfId="0" applyNumberFormat="1" applyFont="1" applyFill="1" applyBorder="1" applyAlignment="1" applyProtection="1">
      <alignment horizontal="center" vertical="center"/>
    </xf>
    <xf numFmtId="179" fontId="92" fillId="2" borderId="8" xfId="0" applyNumberFormat="1" applyFont="1" applyFill="1" applyBorder="1" applyAlignment="1" applyProtection="1">
      <alignment vertical="center"/>
    </xf>
    <xf numFmtId="179" fontId="92" fillId="2" borderId="9" xfId="0" applyNumberFormat="1" applyFont="1" applyFill="1" applyBorder="1" applyAlignment="1" applyProtection="1">
      <alignment vertical="center"/>
    </xf>
    <xf numFmtId="0" fontId="79" fillId="2" borderId="87" xfId="0" applyFont="1" applyFill="1" applyBorder="1" applyProtection="1">
      <alignment vertical="center"/>
    </xf>
    <xf numFmtId="0" fontId="79" fillId="2" borderId="94" xfId="0" applyFont="1" applyFill="1" applyBorder="1" applyProtection="1">
      <alignment vertical="center"/>
    </xf>
    <xf numFmtId="0" fontId="79" fillId="2" borderId="69" xfId="0" applyFont="1" applyFill="1" applyBorder="1" applyProtection="1">
      <alignment vertical="center"/>
    </xf>
    <xf numFmtId="0" fontId="92" fillId="2" borderId="94" xfId="0" applyFont="1" applyFill="1" applyBorder="1" applyAlignment="1" applyProtection="1">
      <alignment horizontal="left" vertical="center"/>
    </xf>
    <xf numFmtId="0" fontId="79" fillId="2" borderId="122" xfId="0" applyFont="1" applyFill="1" applyBorder="1" applyAlignment="1" applyProtection="1">
      <alignment vertical="center"/>
    </xf>
    <xf numFmtId="0" fontId="79" fillId="2" borderId="75" xfId="0" applyFont="1" applyFill="1" applyBorder="1" applyProtection="1">
      <alignment vertical="center"/>
    </xf>
    <xf numFmtId="182" fontId="92" fillId="2" borderId="96" xfId="0" applyNumberFormat="1" applyFont="1" applyFill="1" applyBorder="1" applyAlignment="1" applyProtection="1">
      <alignment vertical="center"/>
    </xf>
    <xf numFmtId="182" fontId="92" fillId="2" borderId="10" xfId="0" applyNumberFormat="1" applyFont="1" applyFill="1" applyBorder="1" applyAlignment="1" applyProtection="1">
      <alignment vertical="center"/>
    </xf>
    <xf numFmtId="182" fontId="92" fillId="2" borderId="11" xfId="0" applyNumberFormat="1" applyFont="1" applyFill="1" applyBorder="1" applyAlignment="1" applyProtection="1">
      <alignment vertical="center"/>
    </xf>
    <xf numFmtId="0" fontId="79" fillId="2" borderId="16" xfId="0" applyFont="1" applyFill="1" applyBorder="1" applyProtection="1">
      <alignment vertical="center"/>
    </xf>
    <xf numFmtId="182" fontId="79" fillId="2" borderId="16" xfId="0" applyNumberFormat="1" applyFont="1" applyFill="1" applyBorder="1" applyProtection="1">
      <alignment vertical="center"/>
    </xf>
    <xf numFmtId="179" fontId="79" fillId="0" borderId="0" xfId="0" applyNumberFormat="1" applyFont="1" applyProtection="1">
      <alignment vertical="center"/>
      <protection locked="0"/>
    </xf>
    <xf numFmtId="0" fontId="79" fillId="2" borderId="8" xfId="0" applyFont="1" applyFill="1" applyBorder="1" applyAlignment="1" applyProtection="1">
      <alignment horizontal="center" vertical="center"/>
    </xf>
    <xf numFmtId="0" fontId="79" fillId="2" borderId="69" xfId="0" applyFont="1" applyFill="1" applyBorder="1" applyAlignment="1" applyProtection="1">
      <alignment horizontal="center" vertical="center"/>
    </xf>
    <xf numFmtId="0" fontId="79" fillId="0" borderId="11" xfId="0" applyFont="1" applyFill="1" applyBorder="1" applyAlignment="1" applyProtection="1">
      <alignment horizontal="center" vertical="center"/>
      <protection locked="0"/>
    </xf>
    <xf numFmtId="0" fontId="79" fillId="2" borderId="84" xfId="0" applyFont="1" applyFill="1" applyBorder="1" applyProtection="1">
      <alignment vertical="center"/>
    </xf>
    <xf numFmtId="0" fontId="92" fillId="2" borderId="67"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82" fontId="92" fillId="16" borderId="8" xfId="0" applyNumberFormat="1" applyFont="1" applyFill="1" applyBorder="1" applyAlignment="1" applyProtection="1">
      <alignment horizontal="center" vertical="center"/>
      <protection locked="0"/>
    </xf>
    <xf numFmtId="0" fontId="79" fillId="2" borderId="3"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182" fontId="79" fillId="2" borderId="8" xfId="0" applyNumberFormat="1" applyFont="1" applyFill="1" applyBorder="1" applyAlignment="1" applyProtection="1">
      <alignment horizontal="center" vertical="center"/>
    </xf>
    <xf numFmtId="0" fontId="79" fillId="2" borderId="6" xfId="0" applyFont="1" applyFill="1" applyBorder="1" applyProtection="1">
      <alignment vertical="center"/>
    </xf>
    <xf numFmtId="0" fontId="79" fillId="2" borderId="8" xfId="0" applyFont="1" applyFill="1" applyBorder="1" applyProtection="1">
      <alignment vertical="center"/>
    </xf>
    <xf numFmtId="0" fontId="79" fillId="0" borderId="6" xfId="0" applyFont="1" applyBorder="1" applyProtection="1">
      <alignment vertical="center"/>
      <protection locked="0"/>
    </xf>
    <xf numFmtId="0" fontId="79" fillId="0" borderId="7" xfId="0" applyFont="1" applyBorder="1" applyProtection="1">
      <alignment vertical="center"/>
      <protection locked="0"/>
    </xf>
    <xf numFmtId="0" fontId="79" fillId="0" borderId="68" xfId="0" applyFont="1" applyBorder="1" applyProtection="1">
      <alignment vertical="center"/>
      <protection locked="0"/>
    </xf>
    <xf numFmtId="0" fontId="79" fillId="0" borderId="12" xfId="0" applyFont="1" applyBorder="1" applyProtection="1">
      <alignment vertical="center"/>
      <protection locked="0"/>
    </xf>
    <xf numFmtId="179" fontId="92" fillId="2" borderId="107" xfId="0" applyNumberFormat="1" applyFont="1" applyFill="1" applyBorder="1" applyAlignment="1" applyProtection="1">
      <alignment vertical="center"/>
    </xf>
    <xf numFmtId="0" fontId="92" fillId="2" borderId="9" xfId="0" applyFont="1" applyFill="1" applyBorder="1" applyProtection="1">
      <alignment vertical="center"/>
    </xf>
    <xf numFmtId="0" fontId="92" fillId="2" borderId="10" xfId="0" applyFont="1" applyFill="1" applyBorder="1" applyProtection="1">
      <alignment vertical="center"/>
    </xf>
    <xf numFmtId="0" fontId="92" fillId="2" borderId="11" xfId="0" applyFont="1" applyFill="1" applyBorder="1" applyProtection="1">
      <alignment vertical="center"/>
    </xf>
    <xf numFmtId="0" fontId="79" fillId="2" borderId="11" xfId="0" applyFont="1" applyFill="1" applyBorder="1" applyProtection="1">
      <alignment vertical="center"/>
    </xf>
    <xf numFmtId="0" fontId="79" fillId="2" borderId="13" xfId="0" applyFont="1" applyFill="1" applyBorder="1" applyProtection="1">
      <alignment vertical="center"/>
    </xf>
    <xf numFmtId="179" fontId="79"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9" fontId="54" fillId="0" borderId="0" xfId="0" applyNumberFormat="1" applyFont="1" applyAlignment="1" applyProtection="1">
      <alignment horizontal="center" vertical="center" wrapText="1"/>
    </xf>
    <xf numFmtId="0" fontId="79" fillId="0" borderId="0" xfId="0" applyFont="1" applyFill="1" applyAlignment="1" applyProtection="1">
      <alignment horizontal="center" vertical="center" wrapText="1"/>
    </xf>
    <xf numFmtId="0" fontId="86" fillId="0" borderId="0" xfId="0" applyFont="1" applyAlignment="1" applyProtection="1">
      <alignment horizontal="center" vertical="center" wrapText="1"/>
    </xf>
    <xf numFmtId="0" fontId="79"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9"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74"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74" fillId="2" borderId="0"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179" fontId="54" fillId="2" borderId="15" xfId="0" applyNumberFormat="1" applyFont="1" applyFill="1" applyBorder="1" applyAlignment="1" applyProtection="1">
      <alignment horizontal="center" vertical="center" wrapText="1"/>
    </xf>
    <xf numFmtId="179" fontId="54" fillId="2" borderId="14" xfId="0" applyNumberFormat="1" applyFont="1" applyFill="1" applyBorder="1" applyAlignment="1" applyProtection="1">
      <alignment horizontal="center" vertical="center" wrapText="1"/>
    </xf>
    <xf numFmtId="17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79" fontId="54" fillId="0" borderId="16" xfId="0" applyNumberFormat="1" applyFont="1" applyFill="1" applyBorder="1" applyAlignment="1" applyProtection="1">
      <alignment horizontal="center" vertical="center" wrapText="1"/>
      <protection locked="0"/>
    </xf>
    <xf numFmtId="17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9" fillId="0" borderId="7"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3" borderId="16" xfId="0" applyFont="1" applyFill="1" applyBorder="1" applyAlignment="1" applyProtection="1">
      <alignment horizontal="center" vertical="center" wrapText="1"/>
      <protection locked="0"/>
    </xf>
    <xf numFmtId="179" fontId="79" fillId="2" borderId="7" xfId="0" applyNumberFormat="1" applyFont="1" applyFill="1" applyBorder="1" applyAlignment="1" applyProtection="1">
      <alignment horizontal="center" vertical="center" wrapText="1"/>
    </xf>
    <xf numFmtId="179" fontId="79" fillId="0" borderId="16" xfId="0" applyNumberFormat="1" applyFont="1" applyFill="1" applyBorder="1" applyAlignment="1" applyProtection="1">
      <alignment horizontal="center" vertical="center" wrapText="1"/>
      <protection locked="0"/>
    </xf>
    <xf numFmtId="179" fontId="79" fillId="2" borderId="16" xfId="0" applyNumberFormat="1" applyFont="1" applyFill="1" applyBorder="1" applyAlignment="1" applyProtection="1">
      <alignment horizontal="center" vertical="center" wrapText="1"/>
    </xf>
    <xf numFmtId="179" fontId="79" fillId="2" borderId="12" xfId="0" applyNumberFormat="1"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179" fontId="54" fillId="0" borderId="7" xfId="0" applyNumberFormat="1" applyFont="1" applyBorder="1" applyAlignment="1" applyProtection="1">
      <alignment vertical="center" wrapText="1"/>
      <protection locked="0"/>
    </xf>
    <xf numFmtId="179" fontId="79"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74"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7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79"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9" fontId="79" fillId="0" borderId="16" xfId="0" applyNumberFormat="1" applyFont="1" applyBorder="1" applyAlignment="1" applyProtection="1">
      <alignment horizontal="center" vertical="center" wrapText="1"/>
      <protection locked="0"/>
    </xf>
    <xf numFmtId="0" fontId="79"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9" fontId="54" fillId="0" borderId="7" xfId="0" applyNumberFormat="1" applyFont="1" applyFill="1" applyBorder="1" applyAlignment="1" applyProtection="1">
      <alignment horizontal="center" vertical="center" wrapText="1"/>
      <protection locked="0"/>
    </xf>
    <xf numFmtId="17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9" fontId="54" fillId="2" borderId="4" xfId="0" applyNumberFormat="1" applyFont="1" applyFill="1" applyBorder="1" applyAlignment="1" applyProtection="1">
      <alignment horizontal="center" vertical="center" wrapText="1"/>
    </xf>
    <xf numFmtId="179"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9"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79" fontId="54" fillId="2" borderId="5" xfId="0" applyNumberFormat="1" applyFont="1" applyFill="1" applyBorder="1" applyAlignment="1" applyProtection="1">
      <alignment horizontal="center" vertical="center" wrapText="1"/>
    </xf>
    <xf numFmtId="179"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9" fontId="79" fillId="2" borderId="8" xfId="0" applyNumberFormat="1" applyFont="1" applyFill="1" applyBorder="1" applyAlignment="1" applyProtection="1">
      <alignment horizontal="center" vertical="center" wrapText="1"/>
    </xf>
    <xf numFmtId="179" fontId="79" fillId="0" borderId="7" xfId="0" applyNumberFormat="1" applyFont="1" applyFill="1" applyBorder="1" applyAlignment="1" applyProtection="1">
      <alignment horizontal="center" vertical="center" wrapText="1"/>
      <protection locked="0"/>
    </xf>
    <xf numFmtId="0" fontId="79" fillId="0" borderId="7" xfId="0" applyFont="1" applyBorder="1" applyAlignment="1" applyProtection="1">
      <alignment vertical="center" wrapText="1"/>
      <protection locked="0"/>
    </xf>
    <xf numFmtId="0" fontId="79" fillId="0" borderId="13"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xf>
    <xf numFmtId="179" fontId="79" fillId="0" borderId="0" xfId="0" applyNumberFormat="1" applyFont="1" applyFill="1" applyBorder="1" applyAlignment="1" applyProtection="1">
      <alignment horizontal="center" vertical="center" wrapText="1"/>
    </xf>
    <xf numFmtId="0" fontId="86" fillId="0" borderId="0" xfId="0" applyFont="1" applyAlignment="1" applyProtection="1">
      <alignment horizontal="center" vertical="center"/>
    </xf>
    <xf numFmtId="0" fontId="82"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76"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6"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76"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5"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xf>
    <xf numFmtId="0" fontId="82" fillId="2" borderId="167" xfId="0" applyFont="1" applyFill="1" applyBorder="1" applyAlignment="1" applyProtection="1">
      <alignment vertical="center" wrapText="1"/>
    </xf>
    <xf numFmtId="0" fontId="82"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2" fillId="2" borderId="167" xfId="0" applyFont="1" applyFill="1" applyBorder="1" applyAlignment="1" applyProtection="1">
      <alignment vertical="center" wrapText="1"/>
      <protection locked="0"/>
    </xf>
    <xf numFmtId="0" fontId="82" fillId="2" borderId="169" xfId="0" applyFont="1" applyFill="1" applyBorder="1" applyAlignment="1" applyProtection="1">
      <alignment vertical="center" wrapText="1"/>
      <protection locked="0"/>
    </xf>
    <xf numFmtId="0" fontId="82"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2"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7"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70" fillId="0" borderId="0" xfId="62" applyFont="1" applyFill="1" applyAlignment="1">
      <alignment horizontal="left" vertical="center"/>
    </xf>
    <xf numFmtId="0" fontId="127" fillId="0" borderId="0" xfId="62" applyFont="1" applyAlignment="1">
      <alignment horizontal="left" vertical="center"/>
    </xf>
    <xf numFmtId="0" fontId="70" fillId="0" borderId="0" xfId="62" applyFont="1" applyAlignment="1">
      <alignment horizontal="left" vertical="center"/>
    </xf>
    <xf numFmtId="0" fontId="128" fillId="0" borderId="0" xfId="62" applyFont="1" applyAlignment="1">
      <alignment horizontal="left" vertical="center"/>
    </xf>
    <xf numFmtId="0" fontId="129" fillId="0" borderId="0" xfId="62" applyFont="1" applyAlignment="1">
      <alignment horizontal="left" vertical="center"/>
    </xf>
    <xf numFmtId="14" fontId="129" fillId="0" borderId="0" xfId="62" applyNumberFormat="1" applyFont="1" applyAlignment="1">
      <alignment horizontal="left" vertical="center"/>
    </xf>
    <xf numFmtId="0" fontId="130" fillId="0" borderId="0" xfId="62" applyFont="1" applyAlignment="1">
      <alignment horizontal="left" vertical="center"/>
    </xf>
    <xf numFmtId="0" fontId="131" fillId="3" borderId="12" xfId="62" applyFont="1" applyFill="1" applyBorder="1" applyAlignment="1">
      <alignment horizontal="left" vertical="center"/>
    </xf>
    <xf numFmtId="0" fontId="132" fillId="0" borderId="7" xfId="62" applyFont="1" applyBorder="1" applyAlignment="1">
      <alignment horizontal="left" vertical="center"/>
    </xf>
    <xf numFmtId="0" fontId="132" fillId="0" borderId="13" xfId="62" applyFont="1" applyBorder="1" applyAlignment="1">
      <alignment horizontal="left" vertical="center"/>
    </xf>
    <xf numFmtId="0" fontId="131" fillId="3" borderId="173" xfId="62" applyFont="1" applyFill="1" applyBorder="1" applyAlignment="1">
      <alignment horizontal="left" vertical="center"/>
    </xf>
    <xf numFmtId="0" fontId="132" fillId="0" borderId="7" xfId="62" applyFont="1" applyFill="1" applyBorder="1" applyAlignment="1">
      <alignment horizontal="left" vertical="center"/>
    </xf>
    <xf numFmtId="195" fontId="132" fillId="0" borderId="7" xfId="62" applyNumberFormat="1" applyFont="1" applyFill="1" applyBorder="1" applyAlignment="1">
      <alignment horizontal="left" vertical="center"/>
    </xf>
    <xf numFmtId="195" fontId="133" fillId="0" borderId="13" xfId="62" applyNumberFormat="1" applyFont="1" applyFill="1" applyBorder="1" applyAlignment="1">
      <alignment horizontal="left" vertical="center"/>
    </xf>
    <xf numFmtId="0" fontId="132" fillId="0" borderId="174" xfId="62" applyFont="1" applyFill="1" applyBorder="1" applyAlignment="1">
      <alignment horizontal="left" vertical="center"/>
    </xf>
    <xf numFmtId="176" fontId="132" fillId="0" borderId="7" xfId="62" applyNumberFormat="1" applyFont="1" applyFill="1" applyBorder="1" applyAlignment="1">
      <alignment horizontal="left" vertical="center"/>
    </xf>
    <xf numFmtId="0" fontId="133" fillId="0" borderId="7" xfId="62" applyFont="1" applyFill="1" applyBorder="1" applyAlignment="1">
      <alignment horizontal="left" vertical="center"/>
    </xf>
    <xf numFmtId="195" fontId="132" fillId="0" borderId="13" xfId="62" applyNumberFormat="1" applyFont="1" applyFill="1" applyBorder="1" applyAlignment="1">
      <alignment horizontal="left" vertical="center"/>
    </xf>
    <xf numFmtId="0" fontId="133" fillId="0" borderId="0" xfId="62" applyFont="1" applyFill="1" applyAlignment="1">
      <alignment horizontal="left" vertical="center"/>
    </xf>
    <xf numFmtId="0" fontId="131" fillId="3" borderId="7" xfId="62" applyFont="1" applyFill="1" applyBorder="1" applyAlignment="1">
      <alignment horizontal="left" vertical="center"/>
    </xf>
    <xf numFmtId="0" fontId="132" fillId="0" borderId="174" xfId="62" applyFont="1" applyBorder="1" applyAlignment="1">
      <alignment horizontal="left" vertical="center"/>
    </xf>
    <xf numFmtId="0" fontId="131" fillId="0" borderId="7" xfId="62" applyFont="1" applyFill="1" applyBorder="1" applyAlignment="1">
      <alignment horizontal="left" vertical="center"/>
    </xf>
    <xf numFmtId="0" fontId="129" fillId="0" borderId="7" xfId="62" applyFont="1" applyBorder="1" applyAlignment="1">
      <alignment horizontal="left" vertical="center"/>
    </xf>
    <xf numFmtId="176" fontId="132" fillId="0" borderId="13" xfId="62" applyNumberFormat="1" applyFont="1" applyFill="1" applyBorder="1" applyAlignment="1">
      <alignment horizontal="left" vertical="center"/>
    </xf>
    <xf numFmtId="0" fontId="129" fillId="0" borderId="174" xfId="62" applyFont="1" applyBorder="1" applyAlignment="1">
      <alignment horizontal="left" vertical="center"/>
    </xf>
    <xf numFmtId="0" fontId="134" fillId="0" borderId="7" xfId="62" applyFont="1" applyBorder="1" applyAlignment="1">
      <alignment horizontal="left" vertical="center"/>
    </xf>
    <xf numFmtId="176" fontId="134" fillId="0" borderId="7" xfId="0" applyNumberFormat="1" applyFont="1" applyFill="1" applyBorder="1" applyAlignment="1">
      <alignment horizontal="left" vertical="center"/>
    </xf>
    <xf numFmtId="14" fontId="129" fillId="0" borderId="7" xfId="62" applyNumberFormat="1" applyFont="1" applyBorder="1" applyAlignment="1">
      <alignment horizontal="left" vertical="center"/>
    </xf>
    <xf numFmtId="14" fontId="129" fillId="0" borderId="13" xfId="62" applyNumberFormat="1" applyFont="1" applyBorder="1" applyAlignment="1">
      <alignment horizontal="left" vertical="center"/>
    </xf>
    <xf numFmtId="14" fontId="70" fillId="0" borderId="0" xfId="62" applyNumberFormat="1" applyFont="1" applyAlignment="1">
      <alignment horizontal="left" vertical="center"/>
    </xf>
    <xf numFmtId="14" fontId="70" fillId="0" borderId="175" xfId="62" applyNumberFormat="1" applyFont="1" applyBorder="1" applyAlignment="1">
      <alignment horizontal="left" vertical="center"/>
    </xf>
    <xf numFmtId="0" fontId="70" fillId="0" borderId="0" xfId="62" applyFont="1" applyBorder="1" applyAlignment="1">
      <alignment horizontal="left" vertical="center"/>
    </xf>
    <xf numFmtId="0" fontId="135" fillId="0" borderId="0" xfId="62"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6"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0"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6"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79"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97"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81"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7" fontId="146" fillId="0" borderId="0" xfId="0" applyNumberFormat="1" applyFont="1" applyAlignment="1" applyProtection="1">
      <alignment horizontal="right" vertical="center"/>
      <protection locked="0"/>
    </xf>
    <xf numFmtId="0" fontId="113" fillId="0" borderId="0" xfId="0" applyFont="1" applyFill="1" applyBorder="1" applyAlignment="1" applyProtection="1">
      <alignment horizontal="center" vertical="center"/>
    </xf>
    <xf numFmtId="0" fontId="97" fillId="0" borderId="136" xfId="0" applyFont="1" applyFill="1" applyBorder="1" applyAlignment="1" applyProtection="1">
      <alignment horizontal="center" vertical="center" wrapText="1"/>
    </xf>
    <xf numFmtId="0" fontId="97"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left" vertical="center" wrapText="1"/>
    </xf>
    <xf numFmtId="0" fontId="83" fillId="0" borderId="7" xfId="0" applyFont="1" applyFill="1" applyBorder="1" applyAlignment="1" applyProtection="1">
      <alignment horizontal="center" vertical="center" wrapText="1"/>
    </xf>
    <xf numFmtId="0" fontId="97" fillId="0" borderId="13"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97" fillId="0" borderId="14" xfId="0" applyFont="1" applyFill="1" applyBorder="1" applyAlignment="1" applyProtection="1">
      <alignment horizontal="center" vertical="center" wrapText="1"/>
    </xf>
    <xf numFmtId="0" fontId="24" fillId="0" borderId="0" xfId="63" applyFont="1">
      <alignment vertical="center"/>
    </xf>
    <xf numFmtId="0" fontId="141" fillId="0" borderId="0" xfId="63" applyFont="1" applyProtection="1">
      <alignment vertical="center"/>
    </xf>
    <xf numFmtId="0" fontId="24"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83" fillId="0" borderId="78" xfId="63" applyFont="1" applyFill="1" applyBorder="1" applyAlignment="1" applyProtection="1">
      <alignment horizontal="left" vertical="center" wrapText="1"/>
    </xf>
    <xf numFmtId="0" fontId="81" fillId="0" borderId="16" xfId="63" applyFont="1" applyFill="1" applyBorder="1" applyAlignment="1" applyProtection="1">
      <alignment horizontal="left" vertical="center" wrapText="1"/>
    </xf>
    <xf numFmtId="0" fontId="83" fillId="0" borderId="16" xfId="63" applyFont="1" applyFill="1" applyBorder="1" applyAlignment="1" applyProtection="1">
      <alignment horizontal="center" vertical="center" wrapText="1"/>
    </xf>
    <xf numFmtId="0" fontId="83" fillId="0" borderId="16" xfId="63" applyFont="1" applyFill="1" applyBorder="1" applyAlignment="1" applyProtection="1">
      <alignment horizontal="left" vertical="center" wrapText="1"/>
    </xf>
    <xf numFmtId="0" fontId="119"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83"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83" fillId="0" borderId="16" xfId="63" applyFont="1" applyFill="1" applyBorder="1" applyAlignment="1" applyProtection="1">
      <alignment vertical="center" wrapText="1"/>
    </xf>
    <xf numFmtId="0" fontId="97" fillId="0" borderId="13" xfId="63" applyFont="1" applyFill="1" applyBorder="1" applyAlignment="1" applyProtection="1">
      <alignment vertical="center" wrapText="1"/>
    </xf>
    <xf numFmtId="0" fontId="118" fillId="0" borderId="7" xfId="63" applyFont="1" applyFill="1" applyBorder="1" applyAlignment="1" applyProtection="1">
      <alignment horizontal="left" vertical="center" wrapText="1"/>
    </xf>
    <xf numFmtId="0" fontId="97" fillId="0" borderId="7" xfId="63" applyFont="1" applyFill="1" applyBorder="1" applyAlignment="1" applyProtection="1">
      <alignment horizontal="center" vertical="center" wrapText="1"/>
    </xf>
    <xf numFmtId="0" fontId="83" fillId="0" borderId="12" xfId="63" applyFont="1" applyFill="1" applyBorder="1" applyAlignment="1" applyProtection="1">
      <alignment horizontal="left" vertical="center" wrapText="1"/>
    </xf>
    <xf numFmtId="0" fontId="81" fillId="0" borderId="7" xfId="63" applyFont="1" applyFill="1" applyBorder="1" applyAlignment="1" applyProtection="1">
      <alignment horizontal="left" vertical="center" wrapText="1"/>
    </xf>
    <xf numFmtId="0" fontId="83" fillId="0" borderId="14" xfId="63" applyFont="1" applyFill="1" applyBorder="1" applyAlignment="1" applyProtection="1">
      <alignment horizontal="center" vertical="center" wrapText="1"/>
    </xf>
    <xf numFmtId="0" fontId="97" fillId="0" borderId="14" xfId="63" applyFont="1" applyFill="1" applyBorder="1" applyAlignment="1" applyProtection="1">
      <alignment horizontal="center" vertical="center" wrapText="1"/>
    </xf>
    <xf numFmtId="0" fontId="78" fillId="0" borderId="7" xfId="63" applyFont="1" applyBorder="1" applyAlignment="1">
      <alignment horizontal="center" vertical="center"/>
    </xf>
    <xf numFmtId="0" fontId="83" fillId="0" borderId="78" xfId="63" applyFont="1" applyFill="1" applyBorder="1" applyAlignment="1" applyProtection="1">
      <alignment vertical="center" wrapText="1"/>
    </xf>
    <xf numFmtId="0" fontId="83" fillId="0" borderId="134" xfId="63" applyFont="1" applyFill="1" applyBorder="1" applyAlignment="1" applyProtection="1">
      <alignment horizontal="left" vertical="center" wrapText="1"/>
    </xf>
    <xf numFmtId="0" fontId="119" fillId="0" borderId="2" xfId="63" applyFont="1" applyFill="1" applyBorder="1" applyAlignment="1" applyProtection="1">
      <alignment horizontal="left" vertical="center" wrapText="1"/>
    </xf>
    <xf numFmtId="0" fontId="97"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76"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62" applyFont="1">
      <alignment vertical="center"/>
    </xf>
    <xf numFmtId="0" fontId="0" fillId="0" borderId="0" xfId="62">
      <alignment vertical="center"/>
    </xf>
    <xf numFmtId="0" fontId="153" fillId="0" borderId="0" xfId="62" applyFont="1" applyAlignment="1" applyProtection="1">
      <alignment horizontal="left" vertical="top" wrapText="1"/>
    </xf>
    <xf numFmtId="0" fontId="152" fillId="0" borderId="0" xfId="62" applyFont="1" applyAlignment="1">
      <alignment vertical="top" wrapText="1"/>
    </xf>
    <xf numFmtId="0" fontId="153" fillId="0" borderId="0" xfId="62" applyFont="1">
      <alignment vertical="center"/>
    </xf>
    <xf numFmtId="0" fontId="70" fillId="0" borderId="1" xfId="0" applyFont="1" applyBorder="1" applyProtection="1">
      <alignment vertical="center"/>
    </xf>
    <xf numFmtId="0" fontId="70" fillId="0" borderId="147" xfId="0" applyFont="1" applyBorder="1" applyProtection="1">
      <alignment vertical="center"/>
    </xf>
    <xf numFmtId="0" fontId="70" fillId="0" borderId="0" xfId="0" applyFont="1" applyBorder="1" applyProtection="1">
      <alignment vertical="center"/>
    </xf>
    <xf numFmtId="0" fontId="70" fillId="0" borderId="0" xfId="64" applyFont="1" applyBorder="1" applyAlignment="1" applyProtection="1">
      <alignment vertical="center" wrapText="1"/>
    </xf>
    <xf numFmtId="0" fontId="70" fillId="0" borderId="0" xfId="0" applyFont="1" applyAlignment="1" applyProtection="1">
      <alignment horizontal="left" vertical="center"/>
    </xf>
    <xf numFmtId="0" fontId="70" fillId="0" borderId="0" xfId="0" applyFont="1" applyProtection="1">
      <alignment vertical="center"/>
    </xf>
    <xf numFmtId="0" fontId="70" fillId="0" borderId="2" xfId="64" applyFont="1" applyBorder="1" applyAlignment="1" applyProtection="1">
      <alignment horizontal="left" vertical="center" wrapText="1"/>
    </xf>
    <xf numFmtId="0" fontId="81" fillId="0" borderId="2" xfId="0" applyFont="1" applyBorder="1" applyAlignment="1" applyProtection="1">
      <alignment horizontal="left" vertical="center"/>
    </xf>
    <xf numFmtId="0" fontId="70" fillId="0" borderId="136" xfId="64" applyFont="1" applyBorder="1" applyAlignment="1" applyProtection="1">
      <alignment vertical="center" wrapText="1"/>
    </xf>
    <xf numFmtId="0" fontId="70" fillId="0" borderId="136" xfId="0" applyFont="1" applyBorder="1" applyAlignment="1" applyProtection="1">
      <alignment horizontal="left" vertical="center"/>
    </xf>
    <xf numFmtId="0" fontId="70" fillId="0" borderId="7" xfId="64" applyFont="1" applyBorder="1" applyAlignment="1" applyProtection="1">
      <alignment vertical="center" wrapText="1"/>
    </xf>
    <xf numFmtId="0" fontId="70" fillId="0" borderId="7" xfId="0" applyFont="1" applyBorder="1" applyAlignment="1" applyProtection="1">
      <alignment horizontal="left" vertical="center"/>
    </xf>
    <xf numFmtId="0" fontId="70" fillId="0" borderId="2" xfId="64" applyFont="1" applyBorder="1" applyAlignment="1" applyProtection="1">
      <alignment vertical="center" wrapText="1"/>
    </xf>
    <xf numFmtId="0" fontId="70" fillId="0" borderId="2" xfId="0" applyFont="1" applyBorder="1" applyAlignment="1" applyProtection="1">
      <alignment horizontal="left" vertical="center"/>
    </xf>
    <xf numFmtId="177" fontId="70" fillId="0" borderId="2" xfId="0" applyNumberFormat="1" applyFont="1" applyBorder="1" applyAlignment="1" applyProtection="1">
      <alignment horizontal="left" vertical="center"/>
    </xf>
    <xf numFmtId="0" fontId="70" fillId="0" borderId="16" xfId="64" applyFont="1" applyBorder="1" applyAlignment="1" applyProtection="1">
      <alignment vertical="center" wrapText="1"/>
    </xf>
    <xf numFmtId="14" fontId="70" fillId="0" borderId="16" xfId="0" applyNumberFormat="1" applyFont="1" applyBorder="1" applyAlignment="1" applyProtection="1">
      <alignment horizontal="left" vertical="center"/>
    </xf>
    <xf numFmtId="14" fontId="70"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27</xdr:row>
      <xdr:rowOff>0</xdr:rowOff>
    </xdr:from>
    <xdr:to>
      <xdr:col>18</xdr:col>
      <xdr:colOff>167640</xdr:colOff>
      <xdr:row>67</xdr:row>
      <xdr:rowOff>0</xdr:rowOff>
    </xdr:to>
    <xdr:pic>
      <xdr:nvPicPr>
        <xdr:cNvPr id="2" name="图片 1"/>
        <xdr:cNvPicPr>
          <a:picLocks noChangeAspect="1"/>
        </xdr:cNvPicPr>
      </xdr:nvPicPr>
      <xdr:blipFill>
        <a:blip r:embed="rId1"/>
        <a:stretch>
          <a:fillRect/>
        </a:stretch>
      </xdr:blipFill>
      <xdr:spPr>
        <a:xfrm>
          <a:off x="0" y="5187950"/>
          <a:ext cx="11475720" cy="5486400"/>
        </a:xfrm>
        <a:prstGeom prst="rect">
          <a:avLst/>
        </a:prstGeom>
        <a:noFill/>
        <a:ln w="9525">
          <a:noFill/>
        </a:ln>
      </xdr:spPr>
    </xdr:pic>
    <xdr:clientData/>
  </xdr:twoCellAnchor>
  <xdr:twoCellAnchor>
    <xdr:from>
      <xdr:col>4</xdr:col>
      <xdr:colOff>114935</xdr:colOff>
      <xdr:row>51</xdr:row>
      <xdr:rowOff>15240</xdr:rowOff>
    </xdr:from>
    <xdr:to>
      <xdr:col>5</xdr:col>
      <xdr:colOff>410845</xdr:colOff>
      <xdr:row>52</xdr:row>
      <xdr:rowOff>106045</xdr:rowOff>
    </xdr:to>
    <xdr:sp>
      <xdr:nvSpPr>
        <xdr:cNvPr id="3" name="线形标注 3 2"/>
        <xdr:cNvSpPr/>
      </xdr:nvSpPr>
      <xdr:spPr>
        <a:xfrm>
          <a:off x="2553335" y="8495030"/>
          <a:ext cx="905510" cy="227965"/>
        </a:xfrm>
        <a:prstGeom prst="borderCallout3">
          <a:avLst>
            <a:gd name="adj1" fmla="val 18750"/>
            <a:gd name="adj2" fmla="val -8333"/>
            <a:gd name="adj3" fmla="val 18750"/>
            <a:gd name="adj4" fmla="val -16667"/>
            <a:gd name="adj5" fmla="val 61020"/>
            <a:gd name="adj6" fmla="val -46143"/>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r>
            <a:rPr lang="zh-CN" altLang="en-US" sz="1100"/>
            <a:t>金茂</a:t>
          </a:r>
          <a:endParaRPr lang="zh-CN" altLang="en-US" sz="1100"/>
        </a:p>
      </xdr:txBody>
    </xdr:sp>
    <xdr:clientData/>
  </xdr:twoCellAnchor>
  <xdr:twoCellAnchor>
    <xdr:from>
      <xdr:col>8</xdr:col>
      <xdr:colOff>53340</xdr:colOff>
      <xdr:row>53</xdr:row>
      <xdr:rowOff>91440</xdr:rowOff>
    </xdr:from>
    <xdr:to>
      <xdr:col>9</xdr:col>
      <xdr:colOff>349885</xdr:colOff>
      <xdr:row>54</xdr:row>
      <xdr:rowOff>182245</xdr:rowOff>
    </xdr:to>
    <xdr:sp>
      <xdr:nvSpPr>
        <xdr:cNvPr id="4" name="线形标注 3 3"/>
        <xdr:cNvSpPr/>
      </xdr:nvSpPr>
      <xdr:spPr>
        <a:xfrm>
          <a:off x="5265420" y="8845550"/>
          <a:ext cx="906145" cy="182880"/>
        </a:xfrm>
        <a:prstGeom prst="borderCallout3">
          <a:avLst>
            <a:gd name="adj1" fmla="val 18750"/>
            <a:gd name="adj2" fmla="val -8333"/>
            <a:gd name="adj3" fmla="val 88399"/>
            <a:gd name="adj4" fmla="val -6587"/>
            <a:gd name="adj5" fmla="val 97215"/>
            <a:gd name="adj6" fmla="val -17519"/>
            <a:gd name="adj7" fmla="val 182598"/>
            <a:gd name="adj8" fmla="val -2263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大悦时代</a:t>
          </a:r>
          <a:endParaRPr lang="zh-CN" altLang="en-US" sz="1100"/>
        </a:p>
      </xdr:txBody>
    </xdr:sp>
    <xdr:clientData/>
  </xdr:twoCellAnchor>
  <xdr:twoCellAnchor editAs="oneCell">
    <xdr:from>
      <xdr:col>0</xdr:col>
      <xdr:colOff>7620</xdr:colOff>
      <xdr:row>69</xdr:row>
      <xdr:rowOff>35560</xdr:rowOff>
    </xdr:from>
    <xdr:to>
      <xdr:col>18</xdr:col>
      <xdr:colOff>114300</xdr:colOff>
      <xdr:row>97</xdr:row>
      <xdr:rowOff>106680</xdr:rowOff>
    </xdr:to>
    <xdr:pic>
      <xdr:nvPicPr>
        <xdr:cNvPr id="5" name="图片 4"/>
        <xdr:cNvPicPr>
          <a:picLocks noChangeAspect="1"/>
        </xdr:cNvPicPr>
      </xdr:nvPicPr>
      <xdr:blipFill>
        <a:blip r:embed="rId2"/>
        <a:stretch>
          <a:fillRect/>
        </a:stretch>
      </xdr:blipFill>
      <xdr:spPr>
        <a:xfrm>
          <a:off x="7620" y="10984230"/>
          <a:ext cx="11414760" cy="3911600"/>
        </a:xfrm>
        <a:prstGeom prst="rect">
          <a:avLst/>
        </a:prstGeom>
        <a:noFill/>
        <a:ln w="9525">
          <a:noFill/>
        </a:ln>
      </xdr:spPr>
    </xdr:pic>
    <xdr:clientData/>
  </xdr:twoCellAnchor>
  <xdr:twoCellAnchor editAs="oneCell">
    <xdr:from>
      <xdr:col>0</xdr:col>
      <xdr:colOff>635</xdr:colOff>
      <xdr:row>98</xdr:row>
      <xdr:rowOff>53340</xdr:rowOff>
    </xdr:from>
    <xdr:to>
      <xdr:col>15</xdr:col>
      <xdr:colOff>193675</xdr:colOff>
      <xdr:row>136</xdr:row>
      <xdr:rowOff>0</xdr:rowOff>
    </xdr:to>
    <xdr:pic>
      <xdr:nvPicPr>
        <xdr:cNvPr id="6" name="图片 5"/>
        <xdr:cNvPicPr>
          <a:picLocks noChangeAspect="1"/>
        </xdr:cNvPicPr>
      </xdr:nvPicPr>
      <xdr:blipFill>
        <a:blip r:embed="rId3"/>
        <a:stretch>
          <a:fillRect/>
        </a:stretch>
      </xdr:blipFill>
      <xdr:spPr>
        <a:xfrm>
          <a:off x="635" y="14979650"/>
          <a:ext cx="9672320" cy="5158740"/>
        </a:xfrm>
        <a:prstGeom prst="rect">
          <a:avLst/>
        </a:prstGeom>
        <a:noFill/>
        <a:ln w="9525">
          <a:noFill/>
        </a:ln>
      </xdr:spPr>
    </xdr:pic>
    <xdr:clientData/>
  </xdr:twoCellAnchor>
  <xdr:twoCellAnchor editAs="oneCell">
    <xdr:from>
      <xdr:col>0</xdr:col>
      <xdr:colOff>7620</xdr:colOff>
      <xdr:row>161</xdr:row>
      <xdr:rowOff>159385</xdr:rowOff>
    </xdr:from>
    <xdr:to>
      <xdr:col>14</xdr:col>
      <xdr:colOff>554990</xdr:colOff>
      <xdr:row>175</xdr:row>
      <xdr:rowOff>45720</xdr:rowOff>
    </xdr:to>
    <xdr:pic>
      <xdr:nvPicPr>
        <xdr:cNvPr id="7" name="图片 6"/>
        <xdr:cNvPicPr>
          <a:picLocks noChangeAspect="1"/>
        </xdr:cNvPicPr>
      </xdr:nvPicPr>
      <xdr:blipFill>
        <a:blip r:embed="rId4"/>
        <a:stretch>
          <a:fillRect/>
        </a:stretch>
      </xdr:blipFill>
      <xdr:spPr>
        <a:xfrm>
          <a:off x="7620" y="23704550"/>
          <a:ext cx="9417050" cy="1828800"/>
        </a:xfrm>
        <a:prstGeom prst="rect">
          <a:avLst/>
        </a:prstGeom>
        <a:noFill/>
        <a:ln w="9525">
          <a:noFill/>
        </a:ln>
      </xdr:spPr>
    </xdr:pic>
    <xdr:clientData/>
  </xdr:twoCellAnchor>
  <xdr:twoCellAnchor editAs="oneCell">
    <xdr:from>
      <xdr:col>0</xdr:col>
      <xdr:colOff>635</xdr:colOff>
      <xdr:row>136</xdr:row>
      <xdr:rowOff>125095</xdr:rowOff>
    </xdr:from>
    <xdr:to>
      <xdr:col>14</xdr:col>
      <xdr:colOff>497205</xdr:colOff>
      <xdr:row>161</xdr:row>
      <xdr:rowOff>114300</xdr:rowOff>
    </xdr:to>
    <xdr:pic>
      <xdr:nvPicPr>
        <xdr:cNvPr id="8" name="图片 7"/>
        <xdr:cNvPicPr>
          <a:picLocks noChangeAspect="1"/>
        </xdr:cNvPicPr>
      </xdr:nvPicPr>
      <xdr:blipFill>
        <a:blip r:embed="rId5"/>
        <a:stretch>
          <a:fillRect/>
        </a:stretch>
      </xdr:blipFill>
      <xdr:spPr>
        <a:xfrm>
          <a:off x="635" y="20263485"/>
          <a:ext cx="9366250" cy="3418205"/>
        </a:xfrm>
        <a:prstGeom prst="rect">
          <a:avLst/>
        </a:prstGeom>
        <a:noFill/>
        <a:ln w="9525">
          <a:noFill/>
        </a:ln>
      </xdr:spPr>
    </xdr:pic>
    <xdr:clientData/>
  </xdr:twoCellAnchor>
  <xdr:twoCellAnchor editAs="oneCell">
    <xdr:from>
      <xdr:col>0</xdr:col>
      <xdr:colOff>635</xdr:colOff>
      <xdr:row>178</xdr:row>
      <xdr:rowOff>52705</xdr:rowOff>
    </xdr:from>
    <xdr:to>
      <xdr:col>15</xdr:col>
      <xdr:colOff>461010</xdr:colOff>
      <xdr:row>210</xdr:row>
      <xdr:rowOff>91440</xdr:rowOff>
    </xdr:to>
    <xdr:pic>
      <xdr:nvPicPr>
        <xdr:cNvPr id="9" name="图片 8"/>
        <xdr:cNvPicPr>
          <a:picLocks noChangeAspect="1"/>
        </xdr:cNvPicPr>
      </xdr:nvPicPr>
      <xdr:blipFill>
        <a:blip r:embed="rId6"/>
        <a:stretch>
          <a:fillRect/>
        </a:stretch>
      </xdr:blipFill>
      <xdr:spPr>
        <a:xfrm>
          <a:off x="635" y="25951815"/>
          <a:ext cx="9939655" cy="4427855"/>
        </a:xfrm>
        <a:prstGeom prst="rect">
          <a:avLst/>
        </a:prstGeom>
        <a:noFill/>
        <a:ln w="9525">
          <a:noFill/>
        </a:ln>
      </xdr:spPr>
    </xdr:pic>
    <xdr:clientData/>
  </xdr:twoCellAnchor>
  <xdr:twoCellAnchor editAs="oneCell">
    <xdr:from>
      <xdr:col>0</xdr:col>
      <xdr:colOff>635</xdr:colOff>
      <xdr:row>229</xdr:row>
      <xdr:rowOff>128905</xdr:rowOff>
    </xdr:from>
    <xdr:to>
      <xdr:col>15</xdr:col>
      <xdr:colOff>348615</xdr:colOff>
      <xdr:row>264</xdr:row>
      <xdr:rowOff>129540</xdr:rowOff>
    </xdr:to>
    <xdr:pic>
      <xdr:nvPicPr>
        <xdr:cNvPr id="10" name="图片 9"/>
        <xdr:cNvPicPr>
          <a:picLocks noChangeAspect="1"/>
        </xdr:cNvPicPr>
      </xdr:nvPicPr>
      <xdr:blipFill>
        <a:blip r:embed="rId7"/>
        <a:stretch>
          <a:fillRect/>
        </a:stretch>
      </xdr:blipFill>
      <xdr:spPr>
        <a:xfrm>
          <a:off x="635" y="33023175"/>
          <a:ext cx="9827260" cy="4801235"/>
        </a:xfrm>
        <a:prstGeom prst="rect">
          <a:avLst/>
        </a:prstGeom>
        <a:noFill/>
        <a:ln w="9525">
          <a:noFill/>
        </a:ln>
      </xdr:spPr>
    </xdr:pic>
    <xdr:clientData/>
  </xdr:twoCellAnchor>
  <xdr:twoCellAnchor editAs="oneCell">
    <xdr:from>
      <xdr:col>0</xdr:col>
      <xdr:colOff>635</xdr:colOff>
      <xdr:row>262</xdr:row>
      <xdr:rowOff>175260</xdr:rowOff>
    </xdr:from>
    <xdr:to>
      <xdr:col>15</xdr:col>
      <xdr:colOff>224155</xdr:colOff>
      <xdr:row>269</xdr:row>
      <xdr:rowOff>61595</xdr:rowOff>
    </xdr:to>
    <xdr:pic>
      <xdr:nvPicPr>
        <xdr:cNvPr id="11" name="图片 10"/>
        <xdr:cNvPicPr>
          <a:picLocks noChangeAspect="1"/>
        </xdr:cNvPicPr>
      </xdr:nvPicPr>
      <xdr:blipFill>
        <a:blip r:embed="rId8"/>
        <a:stretch>
          <a:fillRect/>
        </a:stretch>
      </xdr:blipFill>
      <xdr:spPr>
        <a:xfrm>
          <a:off x="635" y="37557710"/>
          <a:ext cx="9702800" cy="884555"/>
        </a:xfrm>
        <a:prstGeom prst="rect">
          <a:avLst/>
        </a:prstGeom>
        <a:noFill/>
        <a:ln w="9525">
          <a:noFill/>
        </a:ln>
      </xdr:spPr>
    </xdr:pic>
    <xdr:clientData/>
  </xdr:twoCellAnchor>
  <xdr:twoCellAnchor editAs="oneCell">
    <xdr:from>
      <xdr:col>0</xdr:col>
      <xdr:colOff>635</xdr:colOff>
      <xdr:row>211</xdr:row>
      <xdr:rowOff>22225</xdr:rowOff>
    </xdr:from>
    <xdr:to>
      <xdr:col>15</xdr:col>
      <xdr:colOff>463550</xdr:colOff>
      <xdr:row>227</xdr:row>
      <xdr:rowOff>22860</xdr:rowOff>
    </xdr:to>
    <xdr:pic>
      <xdr:nvPicPr>
        <xdr:cNvPr id="12" name="图片 11"/>
        <xdr:cNvPicPr>
          <a:picLocks noChangeAspect="1"/>
        </xdr:cNvPicPr>
      </xdr:nvPicPr>
      <xdr:blipFill>
        <a:blip r:embed="rId9"/>
        <a:stretch>
          <a:fillRect/>
        </a:stretch>
      </xdr:blipFill>
      <xdr:spPr>
        <a:xfrm>
          <a:off x="635" y="30447615"/>
          <a:ext cx="9942195" cy="21951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35" customWidth="1"/>
    <col min="2" max="2" width="81" style="3736" customWidth="1"/>
    <col min="3" max="16384" width="9" style="3737"/>
  </cols>
  <sheetData>
    <row r="1" s="3732" customFormat="1" ht="16.35" spans="1:2">
      <c r="A1" s="3738" t="s">
        <v>0</v>
      </c>
      <c r="B1" s="3739" t="s">
        <v>1</v>
      </c>
    </row>
    <row r="2" s="3733" customFormat="1" ht="16.35" spans="1:2">
      <c r="A2" s="3740" t="s">
        <v>2</v>
      </c>
      <c r="B2" s="3741" t="str">
        <f>'预评函-封皮'!B37:I37</f>
        <v>北京市房地产抵押价值预评估</v>
      </c>
    </row>
    <row r="3" s="3734" customFormat="1" spans="1:2">
      <c r="A3" s="3742" t="s">
        <v>3</v>
      </c>
      <c r="B3" s="3743">
        <f>'预评函-封皮'!B40</f>
        <v>0</v>
      </c>
    </row>
    <row r="4" s="3734" customFormat="1" spans="1:2">
      <c r="A4" s="3742" t="s">
        <v>4</v>
      </c>
      <c r="B4" s="3743" t="str">
        <f ca="1">'预评函-封皮'!B46</f>
        <v>（注册号：0)、（注册号：0)</v>
      </c>
    </row>
    <row r="5" s="3732" customFormat="1" ht="16.35" spans="1:2">
      <c r="A5" s="3744" t="s">
        <v>5</v>
      </c>
      <c r="B5" s="3745" t="str">
        <f>'预评函-封皮'!B49</f>
        <v>康正预评字号</v>
      </c>
    </row>
    <row r="6" s="3733" customFormat="1" ht="16.35" spans="1:2">
      <c r="A6" s="3740" t="s">
        <v>6</v>
      </c>
      <c r="B6" s="3741" t="str">
        <f>'预评函-1'!A4</f>
        <v>受贵公司委托，我公司对北京市房地产抵押价值进行了预评估。</v>
      </c>
    </row>
    <row r="7" s="3734" customFormat="1" spans="1:2">
      <c r="A7" s="3742" t="s">
        <v>7</v>
      </c>
      <c r="B7" s="3743" t="str">
        <f>'预评函-1'!A7</f>
        <v>估价对象为北京市房地产，为所有。根据《国有土地使用证》[]，估价对象（分摊）出让国有建设用地使用权面积为3208.2平方米，建筑面积为10109.15平方米。</v>
      </c>
    </row>
    <row r="8" s="3734" customFormat="1" spans="1:2">
      <c r="A8" s="3742" t="s">
        <v>8</v>
      </c>
      <c r="B8" s="3743" t="str">
        <f>'预评函-1'!A8</f>
        <v>估价对象简述。项目推广名，项目类型（用途），估价对象分布，各用途面积明细情况：XX用途建筑面积XX平方米，XX用途建筑面积XX平方米，……。复杂面积清单需设‘附表’列示：抵押物清单详见附表</v>
      </c>
    </row>
    <row r="9" s="3734" customFormat="1" spans="1:2">
      <c r="A9" s="3742" t="s">
        <v>9</v>
      </c>
      <c r="B9" s="3743" t="str">
        <f>'预评函-1'!A10</f>
        <v>估价对象为北京市房地产,属开发建设的办公项目，该项目尚在开发建设中。根据《国有土地使用证》[]，估价对象（分摊）出让国有建设用地使用权面积为3208.2平方米，规划建筑面积为10109.15平方米。</v>
      </c>
    </row>
    <row r="10" s="3734" customFormat="1" spans="1:2">
      <c r="A10" s="3742" t="s">
        <v>10</v>
      </c>
      <c r="B10" s="37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4" customFormat="1" spans="1:2">
      <c r="A11" s="3742" t="s">
        <v>11</v>
      </c>
      <c r="B11" s="37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4" customFormat="1" spans="1:2">
      <c r="A12" s="3742" t="s">
        <v>12</v>
      </c>
      <c r="B12" s="3743" t="str">
        <f>'预评函-1'!A15</f>
        <v>2023年4月6日</v>
      </c>
    </row>
    <row r="13" s="3734" customFormat="1" spans="1:2">
      <c r="A13" s="3742" t="s">
        <v>13</v>
      </c>
      <c r="B13" s="3743" t="str">
        <f>'预评函-1'!A18</f>
        <v>本次估价的“房地产价值”是指在正常市场情况下，在价值时点2023年4月6日，估价对象规划用途为，土地取得方式为出让，出让国有建设用地使用权剩余土地使用年限为，假定未设立法定优先受偿款下的房地产市场价值。</v>
      </c>
    </row>
    <row r="14" s="3734" customFormat="1" spans="1:2">
      <c r="A14" s="3742" t="s">
        <v>14</v>
      </c>
      <c r="B14" s="37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4" customFormat="1" spans="1:2">
      <c r="A15" s="3742" t="s">
        <v>15</v>
      </c>
      <c r="B15" s="3743" t="str">
        <f>'预评函-1'!A20</f>
        <v>本次估价的“抵押担保权已注销时的房地产抵押价值”是指估价对象在价值时点的“房地产价值”扣减估价师于价值时点所知悉的除抵押担保权以外的其他法定优先受偿款后的余额。</v>
      </c>
    </row>
    <row r="16" s="3734" customFormat="1" spans="1:2">
      <c r="A16" s="3742" t="s">
        <v>16</v>
      </c>
      <c r="B16" s="3743" t="str">
        <f>'预评函-1'!A21</f>
        <v>法定优先受偿款是指假定在价值时点实现抵押权时，法律规定优先于本次抵押贷款受偿的款额，包括发包人拖欠承包人的建筑工程款，已抵押担保的债权数额以及其他法定优先受偿款。</v>
      </c>
    </row>
    <row r="17" s="3734" customFormat="1" spans="1:2">
      <c r="A17" s="3742" t="s">
        <v>17</v>
      </c>
      <c r="B17" s="3743" t="str">
        <f>'预评函-1'!A22</f>
        <v>本次估价的“抵押净值”是指估价对象“房地产抵押价值”减去估价对象在价值时点以“房地产销售收入”为基数计算的预计抵押权实现进行处置时需缴纳的各项费用、税金等相关费用后的价值。</v>
      </c>
    </row>
    <row r="18" s="3732" customFormat="1" ht="16.35" spans="1:2">
      <c r="A18" s="3744" t="s">
        <v>18</v>
      </c>
      <c r="B18" s="3745" t="str">
        <f>'预评函-1'!A24</f>
        <v>本次评估采用的主估价方法为比较法和收益法。</v>
      </c>
    </row>
    <row r="19" s="3733" customFormat="1" ht="16.35" spans="1:2">
      <c r="A19" s="3740" t="s">
        <v>19</v>
      </c>
      <c r="B19" s="37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4" customFormat="1" spans="1:2">
      <c r="A20" s="3742" t="s">
        <v>20</v>
      </c>
      <c r="B20" s="3743">
        <f ca="1">'预评函-2'!D5</f>
        <v>27351</v>
      </c>
    </row>
    <row r="21" s="3734" customFormat="1" spans="1:2">
      <c r="A21" s="3742" t="s">
        <v>21</v>
      </c>
      <c r="B21" s="3743">
        <f ca="1">'预评函-2'!D7</f>
        <v>27056</v>
      </c>
    </row>
    <row r="22" s="3734" customFormat="1" spans="1:2">
      <c r="A22" s="3742" t="s">
        <v>22</v>
      </c>
      <c r="B22" s="3743" t="str">
        <f ca="1">'预评函-2'!D6</f>
        <v>贰亿柒仟叁佰伍拾壹万元整</v>
      </c>
    </row>
    <row r="23" s="3734" customFormat="1" spans="1:2">
      <c r="A23" s="3742" t="s">
        <v>23</v>
      </c>
      <c r="B23" s="3743" t="str">
        <f>'预评函-2'!B8</f>
        <v>2.估价师知悉的法定优先受偿款</v>
      </c>
    </row>
    <row r="24" s="3734" customFormat="1" spans="1:2">
      <c r="A24" s="3742" t="s">
        <v>24</v>
      </c>
      <c r="B24" s="3743">
        <f>'预评函-2'!D8</f>
        <v>0</v>
      </c>
    </row>
    <row r="25" s="3734" customFormat="1" spans="1:2">
      <c r="A25" s="3742" t="s">
        <v>25</v>
      </c>
      <c r="B25" s="3743" t="str">
        <f>'预评函-2'!D9</f>
        <v>零元整</v>
      </c>
    </row>
    <row r="26" s="3734" customFormat="1" spans="1:2">
      <c r="A26" s="3742" t="s">
        <v>26</v>
      </c>
      <c r="B26" s="3743">
        <f>'预评函-2'!D10</f>
        <v>0</v>
      </c>
    </row>
    <row r="27" s="3734" customFormat="1" spans="1:2">
      <c r="A27" s="3742" t="s">
        <v>27</v>
      </c>
      <c r="B27" s="3743">
        <f>'预评函-2'!D11</f>
        <v>0</v>
      </c>
    </row>
    <row r="28" s="3734" customFormat="1" spans="1:2">
      <c r="A28" s="3742" t="s">
        <v>28</v>
      </c>
      <c r="B28" s="3743">
        <f>'预评函-2'!D12</f>
        <v>0</v>
      </c>
    </row>
    <row r="29" s="3734" customFormat="1" spans="1:2">
      <c r="A29" s="3742" t="s">
        <v>29</v>
      </c>
      <c r="B29" s="3743" t="str">
        <f>'预评函-2'!B13</f>
        <v>——</v>
      </c>
    </row>
    <row r="30" s="3734" customFormat="1" spans="1:2">
      <c r="A30" s="3742" t="s">
        <v>30</v>
      </c>
      <c r="B30" s="3743" t="str">
        <f ca="1">'预评函-2'!D13</f>
        <v>——</v>
      </c>
    </row>
    <row r="31" s="3734" customFormat="1" spans="1:2">
      <c r="A31" s="3742" t="s">
        <v>31</v>
      </c>
      <c r="B31" s="3743" t="e">
        <f ca="1">'预评函-2'!D15</f>
        <v>#VALUE!</v>
      </c>
    </row>
    <row r="32" s="3734" customFormat="1" spans="1:2">
      <c r="A32" s="3742" t="s">
        <v>32</v>
      </c>
      <c r="B32" s="3743" t="e">
        <f ca="1">'预评函-2'!D14</f>
        <v>#VALUE!</v>
      </c>
    </row>
    <row r="33" s="3734" customFormat="1" spans="1:2">
      <c r="A33" s="3742" t="s">
        <v>33</v>
      </c>
      <c r="B33" s="3743" t="str">
        <f>'预评函-2'!B16</f>
        <v>3.抵押担保权已注销时的房地产抵押价值</v>
      </c>
    </row>
    <row r="34" s="3734" customFormat="1" spans="1:2">
      <c r="A34" s="3742" t="s">
        <v>34</v>
      </c>
      <c r="B34" s="3743">
        <f ca="1">'预评函-2'!D16</f>
        <v>27351</v>
      </c>
    </row>
    <row r="35" s="3734" customFormat="1" spans="1:2">
      <c r="A35" s="3742" t="s">
        <v>35</v>
      </c>
      <c r="B35" s="3743">
        <f ca="1">'预评函-2'!D18</f>
        <v>27056</v>
      </c>
    </row>
    <row r="36" s="3734" customFormat="1" spans="1:2">
      <c r="A36" s="3742" t="s">
        <v>36</v>
      </c>
      <c r="B36" s="3743" t="str">
        <f ca="1">'预评函-2'!D17</f>
        <v>贰亿柒仟叁佰伍拾壹万元整</v>
      </c>
    </row>
    <row r="37" s="3734" customFormat="1" spans="1:2">
      <c r="A37" s="3742" t="s">
        <v>37</v>
      </c>
      <c r="B37" s="3743" t="str">
        <f>'预评函-2'!B19</f>
        <v>——</v>
      </c>
    </row>
    <row r="38" s="3734" customFormat="1" spans="1:2">
      <c r="A38" s="3742" t="s">
        <v>38</v>
      </c>
      <c r="B38" s="3743" t="str">
        <f ca="1">'预评函-2'!D19</f>
        <v>——</v>
      </c>
    </row>
    <row r="39" s="3734" customFormat="1" spans="1:2">
      <c r="A39" s="3742" t="s">
        <v>39</v>
      </c>
      <c r="B39" s="3743" t="str">
        <f ca="1">'预评函-2'!D21</f>
        <v>——</v>
      </c>
    </row>
    <row r="40" s="3734" customFormat="1" spans="1:2">
      <c r="A40" s="3742" t="s">
        <v>40</v>
      </c>
      <c r="B40" s="3743" t="e">
        <f ca="1">'预评函-2'!D20</f>
        <v>#VALUE!</v>
      </c>
    </row>
    <row r="41" s="3734" customFormat="1" spans="1:2">
      <c r="A41" s="3742" t="s">
        <v>41</v>
      </c>
      <c r="B41" s="3743" t="str">
        <f>'预评函-3'!A4</f>
        <v>北京市房地产</v>
      </c>
    </row>
    <row r="42" s="3734" customFormat="1" ht="31.2" spans="1:2">
      <c r="A42" s="3742" t="s">
        <v>42</v>
      </c>
      <c r="B42" s="3743" t="str">
        <f>'预评函-3'!B2</f>
        <v>建筑面积</v>
      </c>
    </row>
    <row r="43" s="3734" customFormat="1" spans="1:2">
      <c r="A43" s="3742" t="s">
        <v>43</v>
      </c>
      <c r="B43" s="3743">
        <f>'预评函-3'!B4</f>
        <v>10109.15</v>
      </c>
    </row>
    <row r="44" s="3734" customFormat="1" ht="31.2" spans="1:2">
      <c r="A44" s="3742" t="s">
        <v>44</v>
      </c>
      <c r="B44" s="3743" t="str">
        <f>'预评函-3'!C2</f>
        <v>(分摊)土地面积</v>
      </c>
    </row>
    <row r="45" s="3734" customFormat="1" spans="1:2">
      <c r="A45" s="3742" t="s">
        <v>45</v>
      </c>
      <c r="B45" s="3743">
        <f>'预评函-3'!C4</f>
        <v>3208.2</v>
      </c>
    </row>
    <row r="46" s="3734" customFormat="1" spans="1:2">
      <c r="A46" s="3742" t="s">
        <v>46</v>
      </c>
      <c r="B46" s="3743" t="str">
        <f>'预评函-3'!D2</f>
        <v>出让国有建设用地使用权价值</v>
      </c>
    </row>
    <row r="47" s="3734" customFormat="1" spans="1:2">
      <c r="A47" s="3742" t="s">
        <v>47</v>
      </c>
      <c r="B47" s="3743">
        <f ca="1">'预评函-3'!D4</f>
        <v>17505</v>
      </c>
    </row>
    <row r="48" s="3734" customFormat="1" spans="1:2">
      <c r="A48" s="3742" t="s">
        <v>48</v>
      </c>
      <c r="B48" s="3743">
        <f ca="1">'预评函-3'!E4</f>
        <v>17316</v>
      </c>
    </row>
    <row r="49" s="3734" customFormat="1" spans="1:2">
      <c r="A49" s="3742" t="s">
        <v>49</v>
      </c>
      <c r="B49" s="3743" t="str">
        <f ca="1">'预评函-3'!D5</f>
        <v>壹亿柒仟伍佰零伍万元整</v>
      </c>
    </row>
    <row r="50" s="3734" customFormat="1" spans="1:2">
      <c r="A50" s="3742" t="s">
        <v>50</v>
      </c>
      <c r="B50" s="3743" t="str">
        <f>'预评函-3'!F2</f>
        <v>在建建筑物价值</v>
      </c>
    </row>
    <row r="51" s="3734" customFormat="1" spans="1:2">
      <c r="A51" s="3742" t="s">
        <v>51</v>
      </c>
      <c r="B51" s="3743">
        <f ca="1">'预评函-3'!F4</f>
        <v>9846</v>
      </c>
    </row>
    <row r="52" s="3734" customFormat="1" spans="1:2">
      <c r="A52" s="3742" t="s">
        <v>52</v>
      </c>
      <c r="B52" s="3743">
        <f ca="1">'预评函-3'!G4</f>
        <v>9740</v>
      </c>
    </row>
    <row r="53" s="3734" customFormat="1" spans="1:2">
      <c r="A53" s="3742" t="s">
        <v>53</v>
      </c>
      <c r="B53" s="3743" t="str">
        <f ca="1">'预评函-3'!F5</f>
        <v>玖仟捌佰肆拾陆万元整</v>
      </c>
    </row>
    <row r="54" s="3734" customFormat="1" spans="1:2">
      <c r="A54" s="3742" t="s">
        <v>54</v>
      </c>
      <c r="B54" s="3743" t="str">
        <f>'预评函-3'!A8</f>
        <v/>
      </c>
    </row>
    <row r="55" s="3734" customFormat="1" spans="1:2">
      <c r="A55" s="3742" t="s">
        <v>55</v>
      </c>
      <c r="B55" s="3743" t="str">
        <f>'预评函-3'!A10</f>
        <v>抵押担保权已注销时的房地产抵押价值</v>
      </c>
    </row>
    <row r="56" s="3734" customFormat="1" spans="1:2">
      <c r="A56" s="3742" t="s">
        <v>56</v>
      </c>
      <c r="B56" s="3743" t="str">
        <f>'预评函-3'!A12</f>
        <v/>
      </c>
    </row>
    <row r="57" s="3732" customFormat="1" ht="16.35" spans="1:2">
      <c r="A57" s="3744" t="s">
        <v>57</v>
      </c>
      <c r="B57" s="3745" t="str">
        <f>'预评函-3'!A6</f>
        <v>估价师知悉的法定优先受偿款</v>
      </c>
    </row>
    <row r="58" s="3733" customFormat="1" ht="16.35" spans="1:2">
      <c r="A58" s="3740" t="s">
        <v>58</v>
      </c>
      <c r="B58" s="3741" t="str">
        <f>'预评函-4'!A12</f>
        <v>2.本《评估意见函》仅供金融机构进行内部审核使用，不做其他目的之用。</v>
      </c>
    </row>
    <row r="59" s="3734" customFormat="1" spans="1:2">
      <c r="A59" s="3742" t="s">
        <v>59</v>
      </c>
      <c r="B59" s="3743" t="str">
        <f>'预评函-4'!A13</f>
        <v>3.抵押双方在办理抵押登记手续时，应使用本公司出具的正式《房地产评估报告》，特提醒报告使用者注意。</v>
      </c>
    </row>
    <row r="60" s="3734" customFormat="1" spans="1:2">
      <c r="A60" s="3742" t="s">
        <v>60</v>
      </c>
      <c r="B60" s="3743" t="str">
        <f>'预评函-4'!A14</f>
        <v>4.本次评估估价师所知悉的法定优先受偿款情况说明如下：</v>
      </c>
    </row>
    <row r="61" s="3734" customFormat="1" spans="1:2">
      <c r="A61" s="3742" t="s">
        <v>61</v>
      </c>
      <c r="B61" s="37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4" customFormat="1" spans="1:2">
      <c r="A62" s="3742" t="s">
        <v>62</v>
      </c>
      <c r="B62" s="3743" t="str">
        <f>'预评函-4'!A16</f>
        <v>（2）根据《工程款支付情况说明》，截至价值时点，估价对象不存在应付未付工程款项。（只要没有施工方盖章的，均“设定”进行表述）</v>
      </c>
    </row>
    <row r="63" s="3734" customFormat="1" spans="1:2">
      <c r="A63" s="3742" t="s">
        <v>63</v>
      </c>
      <c r="B63" s="37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4" customFormat="1" spans="1:2">
      <c r="A64" s="3742" t="s">
        <v>64</v>
      </c>
      <c r="B64" s="3743" t="str">
        <f>'预评函-4'!A18</f>
        <v>故，本次评估不存在估价师知悉的法定优先受偿款</v>
      </c>
    </row>
    <row r="65" s="3734" customFormat="1" spans="1:2">
      <c r="A65" s="3742" t="s">
        <v>65</v>
      </c>
      <c r="B65" s="37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4" customFormat="1" spans="1:2">
      <c r="A66" s="3742" t="s">
        <v>66</v>
      </c>
      <c r="B66" s="37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4" customFormat="1" spans="1:2">
      <c r="A67" s="3742" t="s">
        <v>67</v>
      </c>
      <c r="B67" s="37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4" customFormat="1" spans="1:2">
      <c r="A68" s="3742" t="s">
        <v>68</v>
      </c>
      <c r="B68" s="3743" t="str">
        <f>'预评函-4'!A22</f>
        <v>8.其他需特殊说明事项：无（注意调整序号）</v>
      </c>
    </row>
    <row r="69" s="3732" customFormat="1" ht="16.35" spans="1:2">
      <c r="A69" s="3744" t="s">
        <v>69</v>
      </c>
      <c r="B69" s="3746">
        <f>'预评函-4'!C31</f>
        <v>42551</v>
      </c>
    </row>
    <row r="70" ht="16.35" spans="1:2">
      <c r="A70" s="3747" t="s">
        <v>70</v>
      </c>
      <c r="B70" s="3748">
        <f>'预评函-4'!A4</f>
        <v>0</v>
      </c>
    </row>
    <row r="71" spans="1:2">
      <c r="A71" s="3742" t="s">
        <v>71</v>
      </c>
      <c r="B71" s="3743">
        <f ca="1">'预评函-4'!B4</f>
        <v>0</v>
      </c>
    </row>
    <row r="72" spans="1:2">
      <c r="A72" s="3742" t="s">
        <v>72</v>
      </c>
      <c r="B72" s="3749">
        <f>'预评函-4'!A5</f>
        <v>0</v>
      </c>
    </row>
    <row r="73" s="3732" customFormat="1" ht="16.35" spans="1:2">
      <c r="A73" s="3744" t="s">
        <v>73</v>
      </c>
      <c r="B73" s="3745">
        <f ca="1">'预评函-4'!B5</f>
        <v>0</v>
      </c>
    </row>
    <row r="74" ht="16.35" spans="1:2">
      <c r="A74" s="3735" t="s">
        <v>74</v>
      </c>
      <c r="B74" s="373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75" customWidth="1"/>
    <col min="2" max="2" width="23.2222222222222" style="3576" customWidth="1"/>
    <col min="3" max="3" width="13" style="3577" customWidth="1"/>
    <col min="4" max="4" width="5.77777777777778" style="3578" customWidth="1"/>
    <col min="5" max="5" width="7.11111111111111" style="3578" customWidth="1"/>
    <col min="6" max="6" width="10.6666666666667" style="3578" customWidth="1"/>
    <col min="7" max="7" width="7.44444444444444" style="3578" customWidth="1"/>
    <col min="8" max="8" width="11.8888888888889" style="3577" customWidth="1"/>
    <col min="9" max="9" width="11.6666666666667" style="3577" customWidth="1"/>
    <col min="10" max="10" width="9" style="3577" customWidth="1"/>
    <col min="11" max="19" width="9" style="3578" customWidth="1"/>
    <col min="20" max="23" width="9" style="3577" customWidth="1"/>
    <col min="24" max="24" width="21.1111111111111" style="3576" customWidth="1"/>
    <col min="25" max="16384" width="9" style="3576"/>
  </cols>
  <sheetData>
    <row r="1" s="3574" customFormat="1" ht="43.2" spans="1:23">
      <c r="A1" s="3579" t="s">
        <v>206</v>
      </c>
      <c r="B1" s="3580" t="s">
        <v>207</v>
      </c>
      <c r="C1" s="3581" t="s">
        <v>208</v>
      </c>
      <c r="D1" s="3582" t="s">
        <v>209</v>
      </c>
      <c r="E1" s="3583" t="s">
        <v>210</v>
      </c>
      <c r="F1" s="3583" t="s">
        <v>211</v>
      </c>
      <c r="G1" s="3583" t="s">
        <v>212</v>
      </c>
      <c r="H1" s="3583" t="s">
        <v>213</v>
      </c>
      <c r="I1" s="3583" t="s">
        <v>214</v>
      </c>
      <c r="J1" s="3583" t="s">
        <v>215</v>
      </c>
      <c r="K1" s="3583" t="s">
        <v>216</v>
      </c>
      <c r="L1" s="3583" t="s">
        <v>217</v>
      </c>
      <c r="M1" s="3583" t="s">
        <v>218</v>
      </c>
      <c r="N1" s="3583" t="s">
        <v>219</v>
      </c>
      <c r="O1" s="3583" t="s">
        <v>220</v>
      </c>
      <c r="P1" s="3582" t="s">
        <v>221</v>
      </c>
      <c r="Q1" s="3582" t="s">
        <v>222</v>
      </c>
      <c r="R1" s="3583" t="s">
        <v>223</v>
      </c>
      <c r="S1" s="3583" t="s">
        <v>224</v>
      </c>
      <c r="T1" s="3592" t="s">
        <v>225</v>
      </c>
      <c r="U1" s="3583" t="s">
        <v>226</v>
      </c>
      <c r="V1" s="3583" t="s">
        <v>227</v>
      </c>
      <c r="W1" s="3583" t="s">
        <v>228</v>
      </c>
    </row>
    <row r="2" spans="1:23">
      <c r="A2" s="3584" t="s">
        <v>124</v>
      </c>
      <c r="B2" s="3584" t="s">
        <v>229</v>
      </c>
      <c r="C2" s="3585" t="s">
        <v>230</v>
      </c>
      <c r="D2" s="3578" t="s">
        <v>231</v>
      </c>
      <c r="E2" s="3578" t="s">
        <v>232</v>
      </c>
      <c r="F2" s="3578" t="s">
        <v>159</v>
      </c>
      <c r="G2" s="3578">
        <v>20</v>
      </c>
      <c r="H2" s="3578" t="s">
        <v>159</v>
      </c>
      <c r="I2" s="3578" t="s">
        <v>233</v>
      </c>
      <c r="J2" s="3578" t="s">
        <v>234</v>
      </c>
      <c r="K2" s="3578" t="s">
        <v>235</v>
      </c>
      <c r="L2" s="3578" t="s">
        <v>235</v>
      </c>
      <c r="M2" s="3578" t="s">
        <v>235</v>
      </c>
      <c r="N2" s="3578" t="s">
        <v>235</v>
      </c>
      <c r="O2" s="3578" t="s">
        <v>235</v>
      </c>
      <c r="P2" s="3578" t="s">
        <v>235</v>
      </c>
      <c r="Q2" s="3578" t="s">
        <v>235</v>
      </c>
      <c r="R2" s="3578" t="s">
        <v>236</v>
      </c>
      <c r="S2" s="3578" t="s">
        <v>235</v>
      </c>
      <c r="T2" s="3578" t="s">
        <v>237</v>
      </c>
      <c r="U2" s="3578" t="s">
        <v>235</v>
      </c>
      <c r="V2" s="3578" t="s">
        <v>238</v>
      </c>
      <c r="W2" s="3578" t="s">
        <v>235</v>
      </c>
    </row>
    <row r="3" spans="1:23">
      <c r="A3" s="3584" t="s">
        <v>239</v>
      </c>
      <c r="B3" s="3586" t="s">
        <v>240</v>
      </c>
      <c r="C3" s="3587" t="s">
        <v>241</v>
      </c>
      <c r="D3" s="3578" t="s">
        <v>242</v>
      </c>
      <c r="E3" s="3578" t="s">
        <v>124</v>
      </c>
      <c r="F3" s="3578" t="s">
        <v>160</v>
      </c>
      <c r="G3" s="3578">
        <v>40</v>
      </c>
      <c r="H3" s="3578" t="s">
        <v>160</v>
      </c>
      <c r="I3" s="3578" t="s">
        <v>243</v>
      </c>
      <c r="J3" s="3578" t="s">
        <v>244</v>
      </c>
      <c r="K3" s="3578" t="s">
        <v>245</v>
      </c>
      <c r="L3" s="3578" t="s">
        <v>245</v>
      </c>
      <c r="M3" s="3578" t="s">
        <v>245</v>
      </c>
      <c r="N3" s="3578" t="s">
        <v>245</v>
      </c>
      <c r="O3" s="3578" t="s">
        <v>245</v>
      </c>
      <c r="P3" s="3578" t="s">
        <v>245</v>
      </c>
      <c r="Q3" s="3578" t="s">
        <v>245</v>
      </c>
      <c r="R3" s="3578" t="s">
        <v>246</v>
      </c>
      <c r="S3" s="3578" t="s">
        <v>245</v>
      </c>
      <c r="T3" s="3578" t="s">
        <v>247</v>
      </c>
      <c r="U3" s="3578" t="s">
        <v>245</v>
      </c>
      <c r="V3" s="3578" t="s">
        <v>248</v>
      </c>
      <c r="W3" s="3578" t="s">
        <v>245</v>
      </c>
    </row>
    <row r="4" spans="1:23">
      <c r="A4" s="3584" t="s">
        <v>249</v>
      </c>
      <c r="B4" s="3584" t="s">
        <v>250</v>
      </c>
      <c r="C4" s="3585" t="s">
        <v>251</v>
      </c>
      <c r="D4" s="3578" t="s">
        <v>124</v>
      </c>
      <c r="E4" s="3578" t="s">
        <v>252</v>
      </c>
      <c r="F4" s="3578" t="s">
        <v>161</v>
      </c>
      <c r="G4" s="3578">
        <v>50</v>
      </c>
      <c r="H4" s="3578" t="s">
        <v>161</v>
      </c>
      <c r="I4" s="3578" t="s">
        <v>253</v>
      </c>
      <c r="K4" s="3578" t="s">
        <v>254</v>
      </c>
      <c r="L4" s="3578" t="s">
        <v>254</v>
      </c>
      <c r="M4" s="3578" t="s">
        <v>254</v>
      </c>
      <c r="N4" s="3578" t="s">
        <v>254</v>
      </c>
      <c r="O4" s="3578" t="s">
        <v>254</v>
      </c>
      <c r="P4" s="3578" t="s">
        <v>254</v>
      </c>
      <c r="Q4" s="3578" t="s">
        <v>254</v>
      </c>
      <c r="R4" s="3578" t="s">
        <v>255</v>
      </c>
      <c r="S4" s="3578" t="s">
        <v>254</v>
      </c>
      <c r="T4" s="3578" t="s">
        <v>256</v>
      </c>
      <c r="U4" s="3578" t="s">
        <v>254</v>
      </c>
      <c r="W4" s="3578" t="s">
        <v>254</v>
      </c>
    </row>
    <row r="5" spans="1:23">
      <c r="A5" s="3584" t="s">
        <v>257</v>
      </c>
      <c r="B5" s="3584" t="s">
        <v>258</v>
      </c>
      <c r="C5" s="3585" t="s">
        <v>259</v>
      </c>
      <c r="F5" s="3578" t="s">
        <v>162</v>
      </c>
      <c r="G5" s="3578">
        <v>70</v>
      </c>
      <c r="H5" s="3578" t="s">
        <v>260</v>
      </c>
      <c r="I5" s="3578" t="s">
        <v>261</v>
      </c>
      <c r="K5" s="3578" t="s">
        <v>262</v>
      </c>
      <c r="L5" s="3578" t="s">
        <v>262</v>
      </c>
      <c r="M5" s="3578" t="s">
        <v>262</v>
      </c>
      <c r="N5" s="3578" t="s">
        <v>262</v>
      </c>
      <c r="O5" s="3578" t="s">
        <v>262</v>
      </c>
      <c r="P5" s="3578" t="s">
        <v>262</v>
      </c>
      <c r="Q5" s="3578" t="s">
        <v>262</v>
      </c>
      <c r="R5" s="3578" t="s">
        <v>263</v>
      </c>
      <c r="S5" s="3578" t="s">
        <v>262</v>
      </c>
      <c r="T5" s="3578" t="s">
        <v>264</v>
      </c>
      <c r="U5" s="3578" t="s">
        <v>262</v>
      </c>
      <c r="W5" s="3578" t="s">
        <v>262</v>
      </c>
    </row>
    <row r="6" spans="1:23">
      <c r="A6" s="3584" t="s">
        <v>265</v>
      </c>
      <c r="B6" s="3586" t="s">
        <v>266</v>
      </c>
      <c r="C6" s="3588" t="s">
        <v>267</v>
      </c>
      <c r="F6" s="3578" t="s">
        <v>260</v>
      </c>
      <c r="H6" s="3578" t="s">
        <v>164</v>
      </c>
      <c r="I6" s="3578" t="s">
        <v>268</v>
      </c>
      <c r="K6" s="3578" t="s">
        <v>269</v>
      </c>
      <c r="L6" s="3578" t="s">
        <v>269</v>
      </c>
      <c r="M6" s="3578" t="s">
        <v>269</v>
      </c>
      <c r="N6" s="3578" t="s">
        <v>269</v>
      </c>
      <c r="O6" s="3578" t="s">
        <v>269</v>
      </c>
      <c r="P6" s="3578" t="s">
        <v>269</v>
      </c>
      <c r="Q6" s="3578" t="s">
        <v>269</v>
      </c>
      <c r="R6" s="3578" t="s">
        <v>270</v>
      </c>
      <c r="S6" s="3578" t="s">
        <v>269</v>
      </c>
      <c r="T6" s="3578"/>
      <c r="U6" s="3578" t="s">
        <v>269</v>
      </c>
      <c r="W6" s="3578" t="s">
        <v>269</v>
      </c>
    </row>
    <row r="7" spans="1:9">
      <c r="A7" s="3584" t="s">
        <v>271</v>
      </c>
      <c r="B7" s="3586" t="s">
        <v>272</v>
      </c>
      <c r="C7" s="3585" t="s">
        <v>273</v>
      </c>
      <c r="F7" s="3578" t="s">
        <v>274</v>
      </c>
      <c r="H7" s="3578" t="s">
        <v>162</v>
      </c>
      <c r="I7" s="3578" t="s">
        <v>275</v>
      </c>
    </row>
    <row r="8" spans="1:9">
      <c r="A8" s="3584" t="s">
        <v>276</v>
      </c>
      <c r="B8" s="3584" t="s">
        <v>277</v>
      </c>
      <c r="C8" s="3585" t="s">
        <v>278</v>
      </c>
      <c r="F8" s="3578" t="s">
        <v>279</v>
      </c>
      <c r="H8" s="3578" t="s">
        <v>280</v>
      </c>
      <c r="I8" s="3578" t="s">
        <v>281</v>
      </c>
    </row>
    <row r="9" spans="1:9">
      <c r="A9" s="3584" t="s">
        <v>282</v>
      </c>
      <c r="B9" s="3584" t="s">
        <v>283</v>
      </c>
      <c r="C9" s="3585" t="s">
        <v>284</v>
      </c>
      <c r="F9" s="3578" t="s">
        <v>164</v>
      </c>
      <c r="H9" s="3578"/>
      <c r="I9" s="3577" t="s">
        <v>285</v>
      </c>
    </row>
    <row r="10" spans="1:9">
      <c r="A10" s="3584" t="s">
        <v>286</v>
      </c>
      <c r="B10" s="3584" t="s">
        <v>287</v>
      </c>
      <c r="C10" s="3585" t="s">
        <v>288</v>
      </c>
      <c r="F10" s="3578" t="s">
        <v>280</v>
      </c>
      <c r="I10" s="3577" t="s">
        <v>289</v>
      </c>
    </row>
    <row r="11" spans="1:9">
      <c r="A11" s="3584" t="s">
        <v>290</v>
      </c>
      <c r="B11" s="3584" t="s">
        <v>291</v>
      </c>
      <c r="C11" s="3585" t="s">
        <v>292</v>
      </c>
      <c r="F11" s="3578" t="s">
        <v>124</v>
      </c>
      <c r="I11" s="3577" t="s">
        <v>293</v>
      </c>
    </row>
    <row r="12" spans="1:9">
      <c r="A12" s="3584" t="s">
        <v>294</v>
      </c>
      <c r="B12" s="3584" t="s">
        <v>295</v>
      </c>
      <c r="C12" s="3585" t="s">
        <v>296</v>
      </c>
      <c r="I12" s="3577" t="s">
        <v>297</v>
      </c>
    </row>
    <row r="13" spans="1:9">
      <c r="A13" s="3584" t="s">
        <v>298</v>
      </c>
      <c r="B13" s="3584" t="s">
        <v>299</v>
      </c>
      <c r="C13" s="3585" t="s">
        <v>300</v>
      </c>
      <c r="I13" s="3577" t="s">
        <v>301</v>
      </c>
    </row>
    <row r="14" spans="1:9">
      <c r="A14" s="3584" t="s">
        <v>302</v>
      </c>
      <c r="B14" s="3584" t="s">
        <v>303</v>
      </c>
      <c r="C14" s="3578" t="s">
        <v>124</v>
      </c>
      <c r="I14" s="3577" t="s">
        <v>304</v>
      </c>
    </row>
    <row r="15" spans="1:9">
      <c r="A15" s="3584" t="s">
        <v>305</v>
      </c>
      <c r="B15" s="3584" t="s">
        <v>306</v>
      </c>
      <c r="C15" s="3585"/>
      <c r="I15" s="3577" t="s">
        <v>307</v>
      </c>
    </row>
    <row r="16" spans="1:3">
      <c r="A16" s="3584" t="s">
        <v>308</v>
      </c>
      <c r="B16" s="3584" t="s">
        <v>309</v>
      </c>
      <c r="C16" s="3585"/>
    </row>
    <row r="17" spans="1:3">
      <c r="A17" s="3584" t="s">
        <v>310</v>
      </c>
      <c r="B17" s="3584" t="s">
        <v>311</v>
      </c>
      <c r="C17" s="3585"/>
    </row>
    <row r="18" spans="1:3">
      <c r="A18" s="3584" t="s">
        <v>312</v>
      </c>
      <c r="B18" s="3584" t="s">
        <v>313</v>
      </c>
      <c r="C18" s="3585"/>
    </row>
    <row r="19" spans="1:3">
      <c r="A19" s="3584" t="s">
        <v>314</v>
      </c>
      <c r="B19" s="3584" t="s">
        <v>315</v>
      </c>
      <c r="C19" s="3585"/>
    </row>
    <row r="20" spans="1:3">
      <c r="A20" s="3584" t="s">
        <v>316</v>
      </c>
      <c r="B20" s="3584" t="s">
        <v>315</v>
      </c>
      <c r="C20" s="3585"/>
    </row>
    <row r="21" spans="1:3">
      <c r="A21" s="3584" t="s">
        <v>260</v>
      </c>
      <c r="B21" s="3584" t="s">
        <v>315</v>
      </c>
      <c r="C21" s="3585"/>
    </row>
    <row r="22" spans="1:3">
      <c r="A22" s="3584" t="s">
        <v>317</v>
      </c>
      <c r="B22" s="3584" t="s">
        <v>315</v>
      </c>
      <c r="C22" s="3585"/>
    </row>
    <row r="23" spans="1:3">
      <c r="A23" s="3584" t="s">
        <v>318</v>
      </c>
      <c r="B23" s="3584" t="s">
        <v>315</v>
      </c>
      <c r="C23" s="3585"/>
    </row>
    <row r="24" spans="1:3">
      <c r="A24" s="3584" t="s">
        <v>319</v>
      </c>
      <c r="B24" s="3584" t="s">
        <v>315</v>
      </c>
      <c r="C24" s="3585"/>
    </row>
    <row r="25" spans="1:3">
      <c r="A25" s="3584" t="s">
        <v>320</v>
      </c>
      <c r="B25" s="3584" t="s">
        <v>315</v>
      </c>
      <c r="C25" s="3585"/>
    </row>
    <row r="26" spans="1:3">
      <c r="A26" s="3584" t="s">
        <v>321</v>
      </c>
      <c r="B26" s="3584" t="s">
        <v>315</v>
      </c>
      <c r="C26" s="3585"/>
    </row>
    <row r="27" spans="1:3">
      <c r="A27" s="3584" t="s">
        <v>315</v>
      </c>
      <c r="B27" s="3584" t="s">
        <v>315</v>
      </c>
      <c r="C27" s="3585"/>
    </row>
    <row r="28" spans="1:3">
      <c r="A28" s="3584" t="s">
        <v>315</v>
      </c>
      <c r="B28" s="3584" t="s">
        <v>315</v>
      </c>
      <c r="C28" s="3585"/>
    </row>
    <row r="29" spans="1:3">
      <c r="A29" s="3584" t="s">
        <v>315</v>
      </c>
      <c r="B29" s="3584" t="s">
        <v>315</v>
      </c>
      <c r="C29" s="3585"/>
    </row>
    <row r="30" spans="1:3">
      <c r="A30" s="3584" t="s">
        <v>315</v>
      </c>
      <c r="B30" s="3584" t="s">
        <v>315</v>
      </c>
      <c r="C30" s="3585"/>
    </row>
    <row r="31" spans="1:3">
      <c r="A31" s="3584" t="s">
        <v>315</v>
      </c>
      <c r="B31" s="3584" t="s">
        <v>315</v>
      </c>
      <c r="C31" s="3585"/>
    </row>
    <row r="32" spans="1:3">
      <c r="A32" s="3584" t="s">
        <v>315</v>
      </c>
      <c r="B32" s="3584" t="s">
        <v>315</v>
      </c>
      <c r="C32" s="3585"/>
    </row>
    <row r="33" spans="1:3">
      <c r="A33" s="3584" t="s">
        <v>315</v>
      </c>
      <c r="B33" s="3584" t="s">
        <v>315</v>
      </c>
      <c r="C33" s="3585"/>
    </row>
    <row r="34" spans="1:3">
      <c r="A34" s="3584" t="s">
        <v>315</v>
      </c>
      <c r="B34" s="3584" t="s">
        <v>315</v>
      </c>
      <c r="C34" s="3585"/>
    </row>
    <row r="35" spans="1:3">
      <c r="A35" s="3584" t="s">
        <v>315</v>
      </c>
      <c r="B35" s="3584" t="s">
        <v>315</v>
      </c>
      <c r="C35" s="3585"/>
    </row>
    <row r="36" spans="1:3">
      <c r="A36" s="3584" t="s">
        <v>315</v>
      </c>
      <c r="B36" s="3584" t="s">
        <v>315</v>
      </c>
      <c r="C36" s="3585"/>
    </row>
    <row r="37" spans="1:3">
      <c r="A37" s="3584" t="s">
        <v>315</v>
      </c>
      <c r="B37" s="3584" t="s">
        <v>315</v>
      </c>
      <c r="C37" s="3585"/>
    </row>
    <row r="38" spans="1:3">
      <c r="A38" s="3584" t="s">
        <v>315</v>
      </c>
      <c r="B38" s="3584" t="s">
        <v>315</v>
      </c>
      <c r="C38" s="3585"/>
    </row>
    <row r="39" spans="1:3">
      <c r="A39" s="3584" t="s">
        <v>315</v>
      </c>
      <c r="B39" s="3584" t="s">
        <v>315</v>
      </c>
      <c r="C39" s="3585"/>
    </row>
    <row r="40" spans="1:3">
      <c r="A40" s="3584" t="s">
        <v>315</v>
      </c>
      <c r="B40" s="3584" t="s">
        <v>315</v>
      </c>
      <c r="C40" s="3585"/>
    </row>
    <row r="41" spans="1:3">
      <c r="A41" s="3584" t="s">
        <v>315</v>
      </c>
      <c r="B41" s="3584" t="s">
        <v>315</v>
      </c>
      <c r="C41" s="3585"/>
    </row>
    <row r="42" spans="1:3">
      <c r="A42" s="3584" t="s">
        <v>315</v>
      </c>
      <c r="B42" s="3584" t="s">
        <v>315</v>
      </c>
      <c r="C42" s="3585"/>
    </row>
    <row r="43" spans="1:3">
      <c r="A43" s="3584" t="s">
        <v>315</v>
      </c>
      <c r="B43" s="3584" t="s">
        <v>315</v>
      </c>
      <c r="C43" s="3585"/>
    </row>
    <row r="44" spans="1:3">
      <c r="A44" s="3584" t="s">
        <v>315</v>
      </c>
      <c r="B44" s="3584" t="s">
        <v>315</v>
      </c>
      <c r="C44" s="3585"/>
    </row>
    <row r="45" spans="1:3">
      <c r="A45" s="3584" t="s">
        <v>315</v>
      </c>
      <c r="B45" s="3584" t="s">
        <v>315</v>
      </c>
      <c r="C45" s="3585"/>
    </row>
    <row r="46" spans="1:3">
      <c r="A46" s="3584" t="s">
        <v>315</v>
      </c>
      <c r="B46" s="3584" t="s">
        <v>315</v>
      </c>
      <c r="C46" s="3585"/>
    </row>
    <row r="47" spans="1:3">
      <c r="A47" s="3584" t="s">
        <v>315</v>
      </c>
      <c r="B47" s="3584" t="s">
        <v>315</v>
      </c>
      <c r="C47" s="3585"/>
    </row>
    <row r="48" spans="1:3">
      <c r="A48" s="3584" t="s">
        <v>315</v>
      </c>
      <c r="B48" s="3584" t="s">
        <v>315</v>
      </c>
      <c r="C48" s="3585"/>
    </row>
    <row r="49" spans="1:3">
      <c r="A49" s="3584" t="s">
        <v>315</v>
      </c>
      <c r="B49" s="3584" t="s">
        <v>315</v>
      </c>
      <c r="C49" s="3585"/>
    </row>
    <row r="50" spans="1:3">
      <c r="A50" s="3584" t="s">
        <v>315</v>
      </c>
      <c r="B50" s="3584" t="s">
        <v>315</v>
      </c>
      <c r="C50" s="3585"/>
    </row>
    <row r="51" spans="1:4">
      <c r="A51" s="3589" t="s">
        <v>322</v>
      </c>
      <c r="B51" s="35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0" t="s">
        <v>323</v>
      </c>
    </row>
    <row r="52" spans="1:4">
      <c r="A52" s="3589" t="s">
        <v>324</v>
      </c>
      <c r="B52" s="3589" t="s">
        <v>325</v>
      </c>
      <c r="C52" s="3577" t="s">
        <v>326</v>
      </c>
      <c r="D52" s="3577" t="s">
        <v>327</v>
      </c>
    </row>
    <row r="53" spans="1:3">
      <c r="A53" s="3581" t="s">
        <v>328</v>
      </c>
      <c r="B53" s="3590" t="s">
        <v>329</v>
      </c>
      <c r="C53" s="35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1"/>
      <c r="B54" s="3590" t="s">
        <v>330</v>
      </c>
      <c r="C54" s="3577" t="s">
        <v>331</v>
      </c>
    </row>
    <row r="55" spans="1:3">
      <c r="A55" s="3581"/>
      <c r="B55" s="3590" t="s">
        <v>332</v>
      </c>
      <c r="C55" s="3577" t="s">
        <v>333</v>
      </c>
    </row>
    <row r="56" spans="1:3">
      <c r="A56" s="3581"/>
      <c r="B56" s="3590" t="s">
        <v>334</v>
      </c>
      <c r="C56" s="3577" t="s">
        <v>335</v>
      </c>
    </row>
    <row r="57" spans="1:3">
      <c r="A57" s="3581"/>
      <c r="B57" s="3590" t="s">
        <v>336</v>
      </c>
      <c r="C57" s="3577" t="s">
        <v>337</v>
      </c>
    </row>
    <row r="58" spans="1:2">
      <c r="A58" s="3591"/>
      <c r="B58" s="3577"/>
    </row>
    <row r="59" spans="1:2">
      <c r="A59" s="3591"/>
      <c r="B59" s="3577"/>
    </row>
    <row r="60" spans="1:2">
      <c r="A60" s="3591"/>
      <c r="B60" s="3577"/>
    </row>
    <row r="61" spans="1:2">
      <c r="A61" s="3591"/>
      <c r="B61" s="3577"/>
    </row>
    <row r="62" spans="1:2">
      <c r="A62" s="3591"/>
      <c r="B62" s="3577"/>
    </row>
    <row r="63" spans="1:2">
      <c r="A63" s="3591"/>
      <c r="B63" s="3577"/>
    </row>
    <row r="64" spans="1:2">
      <c r="A64" s="3591"/>
      <c r="B64" s="3577"/>
    </row>
    <row r="65" spans="1:2">
      <c r="A65" s="3591"/>
      <c r="B65" s="3577"/>
    </row>
    <row r="66" spans="1:2">
      <c r="A66" s="3591"/>
      <c r="B66" s="3577"/>
    </row>
    <row r="67" spans="1:2">
      <c r="A67" s="3591"/>
      <c r="B67" s="3577"/>
    </row>
    <row r="68" spans="1:2">
      <c r="A68" s="3591"/>
      <c r="B68" s="3577"/>
    </row>
    <row r="69" spans="1:2">
      <c r="A69" s="3591"/>
      <c r="B69" s="3577"/>
    </row>
    <row r="70" spans="1:2">
      <c r="A70" s="3591"/>
      <c r="B70" s="3577"/>
    </row>
    <row r="71" spans="1:2">
      <c r="A71" s="3591"/>
      <c r="B71" s="3577"/>
    </row>
    <row r="72" spans="1:2">
      <c r="A72" s="3591"/>
      <c r="B72" s="3577"/>
    </row>
    <row r="73" spans="1:2">
      <c r="A73" s="3591"/>
      <c r="B73" s="3577"/>
    </row>
    <row r="74" spans="1:2">
      <c r="A74" s="3591"/>
      <c r="B74" s="3577"/>
    </row>
    <row r="75" spans="1:2">
      <c r="A75" s="3591"/>
      <c r="B75" s="3577"/>
    </row>
    <row r="76" spans="1:2">
      <c r="A76" s="3591"/>
      <c r="B76" s="3577"/>
    </row>
    <row r="77" spans="1:2">
      <c r="A77" s="3591"/>
      <c r="B77" s="3577"/>
    </row>
    <row r="78" spans="1:2">
      <c r="A78" s="3591"/>
      <c r="B78" s="3577"/>
    </row>
    <row r="79" spans="1:2">
      <c r="A79" s="3591"/>
      <c r="B79" s="3577"/>
    </row>
    <row r="80" spans="1:2">
      <c r="A80" s="3591"/>
      <c r="B80" s="3577"/>
    </row>
    <row r="81" spans="1:2">
      <c r="A81" s="3591"/>
      <c r="B81" s="3577"/>
    </row>
    <row r="82" spans="1:2">
      <c r="A82" s="3591"/>
      <c r="B82" s="3577"/>
    </row>
    <row r="83" spans="1:2">
      <c r="A83" s="3591"/>
      <c r="B83" s="3577"/>
    </row>
    <row r="84" spans="1:2">
      <c r="A84" s="3591"/>
      <c r="B84" s="3577"/>
    </row>
    <row r="85" spans="1:2">
      <c r="A85" s="3591"/>
      <c r="B85" s="3577"/>
    </row>
    <row r="86" spans="1:2">
      <c r="A86" s="3591"/>
      <c r="B86" s="3577"/>
    </row>
    <row r="87" spans="1:2">
      <c r="A87" s="3591"/>
      <c r="B87" s="3577"/>
    </row>
    <row r="88" spans="1:2">
      <c r="A88" s="3591"/>
      <c r="B88" s="3577"/>
    </row>
    <row r="89" spans="1:2">
      <c r="A89" s="3591"/>
      <c r="B89" s="3577"/>
    </row>
    <row r="90" spans="1:2">
      <c r="A90" s="3591"/>
      <c r="B90" s="3577"/>
    </row>
    <row r="91" spans="1:2">
      <c r="A91" s="3591"/>
      <c r="B91" s="3577"/>
    </row>
    <row r="92" spans="1:2">
      <c r="A92" s="3591"/>
      <c r="B92" s="3577"/>
    </row>
    <row r="93" spans="1:2">
      <c r="A93" s="3591"/>
      <c r="B93" s="3577"/>
    </row>
    <row r="94" spans="1:2">
      <c r="A94" s="3591"/>
      <c r="B94" s="3577"/>
    </row>
    <row r="95" spans="1:2">
      <c r="A95" s="3591"/>
      <c r="B95" s="3577"/>
    </row>
    <row r="96" spans="1:2">
      <c r="A96" s="3591"/>
      <c r="B96" s="3577"/>
    </row>
    <row r="97" spans="1:2">
      <c r="A97" s="3591"/>
      <c r="B97" s="3577"/>
    </row>
    <row r="98" spans="1:2">
      <c r="A98" s="3591"/>
      <c r="B98" s="3577"/>
    </row>
    <row r="99" spans="1:2">
      <c r="A99" s="3591"/>
      <c r="B99" s="3577"/>
    </row>
    <row r="100" spans="1:2">
      <c r="A100" s="3591"/>
      <c r="B100" s="3577"/>
    </row>
    <row r="101" spans="1:2">
      <c r="A101" s="3591"/>
      <c r="B101" s="3577"/>
    </row>
    <row r="102" spans="1:2">
      <c r="A102" s="3591"/>
      <c r="B102" s="3577"/>
    </row>
    <row r="103" spans="1:2">
      <c r="A103" s="3591"/>
      <c r="B103" s="3577"/>
    </row>
    <row r="104" spans="1:2">
      <c r="A104" s="3591"/>
      <c r="B104" s="3577"/>
    </row>
    <row r="105" spans="1:2">
      <c r="A105" s="3591"/>
      <c r="B105" s="3577"/>
    </row>
    <row r="106" spans="1:2">
      <c r="A106" s="3591"/>
      <c r="B106" s="3577"/>
    </row>
    <row r="107" spans="1:2">
      <c r="A107" s="3591"/>
      <c r="B107" s="3577"/>
    </row>
    <row r="108" spans="1:2">
      <c r="A108" s="3591"/>
      <c r="B108" s="3577"/>
    </row>
    <row r="109" spans="1:2">
      <c r="A109" s="3591"/>
      <c r="B109" s="3577"/>
    </row>
    <row r="110" spans="1:2">
      <c r="A110" s="3591"/>
      <c r="B110" s="3577"/>
    </row>
    <row r="111" spans="1:2">
      <c r="A111" s="3591"/>
      <c r="B111" s="3577"/>
    </row>
    <row r="112" spans="1:2">
      <c r="A112" s="3591"/>
      <c r="B112" s="3577"/>
    </row>
    <row r="113" spans="1:2">
      <c r="A113" s="3591"/>
      <c r="B113" s="3577"/>
    </row>
    <row r="114" spans="1:2">
      <c r="A114" s="3591"/>
      <c r="B114" s="3577"/>
    </row>
    <row r="115" spans="1:2">
      <c r="A115" s="3591"/>
      <c r="B115" s="3577"/>
    </row>
    <row r="116" spans="1:2">
      <c r="A116" s="3591"/>
      <c r="B116" s="3577"/>
    </row>
    <row r="117" spans="1:2">
      <c r="A117" s="3591"/>
      <c r="B117" s="3577"/>
    </row>
    <row r="118" spans="1:2">
      <c r="A118" s="3591"/>
      <c r="B118" s="3577"/>
    </row>
    <row r="119" spans="1:2">
      <c r="A119" s="3591"/>
      <c r="B119" s="3577"/>
    </row>
    <row r="120" spans="1:2">
      <c r="A120" s="3591"/>
      <c r="B120" s="3577"/>
    </row>
    <row r="121" spans="1:2">
      <c r="A121" s="3591"/>
      <c r="B121" s="3577"/>
    </row>
    <row r="122" spans="1:2">
      <c r="A122" s="3591"/>
      <c r="B122" s="3577"/>
    </row>
    <row r="123" spans="1:2">
      <c r="A123" s="3591"/>
      <c r="B123" s="3577"/>
    </row>
    <row r="124" spans="1:2">
      <c r="A124" s="3591"/>
      <c r="B124" s="3577"/>
    </row>
    <row r="125" spans="1:2">
      <c r="A125" s="3591"/>
      <c r="B125" s="3577"/>
    </row>
    <row r="126" spans="1:2">
      <c r="A126" s="3591"/>
      <c r="B126" s="3577"/>
    </row>
    <row r="127" spans="1:2">
      <c r="A127" s="3591"/>
      <c r="B127" s="357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222222222222" defaultRowHeight="14.4"/>
  <cols>
    <col min="1" max="7" width="15.2222222222222" style="3523"/>
    <col min="8" max="8" width="5.55555555555556" style="3523" customWidth="1"/>
    <col min="9" max="13" width="9.44444444444444" style="3524" customWidth="1"/>
    <col min="14" max="18" width="9.44444444444444" style="3523" customWidth="1"/>
    <col min="19" max="16384" width="15.2222222222222" style="3523"/>
  </cols>
  <sheetData>
    <row r="1" spans="1:18">
      <c r="A1" s="3525" t="s">
        <v>338</v>
      </c>
      <c r="B1" s="3526"/>
      <c r="C1" s="3526"/>
      <c r="D1" s="3526"/>
      <c r="E1" s="3526"/>
      <c r="F1" s="3527"/>
      <c r="I1" s="3568" t="s">
        <v>339</v>
      </c>
      <c r="J1" s="349"/>
      <c r="K1" s="349"/>
      <c r="L1" s="349"/>
      <c r="M1" s="349"/>
      <c r="N1" s="3569"/>
      <c r="O1" s="3569"/>
      <c r="P1" s="3569"/>
      <c r="Q1" s="3569"/>
      <c r="R1" s="3569"/>
    </row>
    <row r="2" spans="1:18">
      <c r="A2" s="3528"/>
      <c r="B2" s="3529"/>
      <c r="C2" s="3529"/>
      <c r="D2" s="3529"/>
      <c r="E2" s="3529"/>
      <c r="F2" s="3530"/>
      <c r="I2" s="3570" t="s">
        <v>340</v>
      </c>
      <c r="J2" s="3570"/>
      <c r="K2" s="3570"/>
      <c r="L2" s="3570"/>
      <c r="M2" s="3570"/>
      <c r="N2" s="3570"/>
      <c r="O2" s="3570"/>
      <c r="P2" s="3570"/>
      <c r="Q2" s="3570"/>
      <c r="R2" s="3570"/>
    </row>
    <row r="3" spans="1:18">
      <c r="A3" s="504" t="s">
        <v>341</v>
      </c>
      <c r="B3" s="3531">
        <f>项目基本情况!D3</f>
        <v>45022</v>
      </c>
      <c r="C3" s="505"/>
      <c r="D3" s="505"/>
      <c r="E3" s="505"/>
      <c r="F3" s="3530"/>
      <c r="I3" s="3571"/>
      <c r="J3" s="3571" t="s">
        <v>342</v>
      </c>
      <c r="K3" s="3571" t="s">
        <v>343</v>
      </c>
      <c r="L3" s="3571" t="s">
        <v>344</v>
      </c>
      <c r="M3" s="3571" t="s">
        <v>345</v>
      </c>
      <c r="N3" s="3572" t="s">
        <v>346</v>
      </c>
      <c r="O3" s="3572" t="s">
        <v>347</v>
      </c>
      <c r="P3" s="3572" t="s">
        <v>348</v>
      </c>
      <c r="Q3" s="3572" t="s">
        <v>349</v>
      </c>
      <c r="R3" s="3572" t="s">
        <v>350</v>
      </c>
    </row>
    <row r="4" spans="1:18">
      <c r="A4" s="504" t="s">
        <v>351</v>
      </c>
      <c r="B4" s="505" t="s">
        <v>352</v>
      </c>
      <c r="C4" s="505" t="s">
        <v>353</v>
      </c>
      <c r="D4" s="505" t="s">
        <v>354</v>
      </c>
      <c r="E4" s="505" t="s">
        <v>355</v>
      </c>
      <c r="F4" s="3530"/>
      <c r="I4" s="3571" t="s">
        <v>356</v>
      </c>
      <c r="J4" s="3571">
        <v>80</v>
      </c>
      <c r="K4" s="3571">
        <v>70</v>
      </c>
      <c r="L4" s="3571">
        <v>20</v>
      </c>
      <c r="M4" s="3571">
        <v>30</v>
      </c>
      <c r="N4" s="505">
        <v>45</v>
      </c>
      <c r="O4" s="505">
        <v>60</v>
      </c>
      <c r="P4" s="505">
        <v>50</v>
      </c>
      <c r="Q4" s="505">
        <v>20</v>
      </c>
      <c r="R4" s="505">
        <v>375</v>
      </c>
    </row>
    <row r="5" spans="1:18">
      <c r="A5" s="3532">
        <v>40</v>
      </c>
      <c r="B5" s="3531">
        <v>46375</v>
      </c>
      <c r="C5" s="505">
        <f>ROUNDDOWN(MIN((B5-B3)/365,A5),2)</f>
        <v>3.7</v>
      </c>
      <c r="D5" s="3533">
        <f>IF(ISERROR(ROUND(POWER(1+E5,A5-C5)*(POWER(1+E5,C5)-1)/(POWER(1+E5,A5)-1),3)),0,ROUND(POWER(1+E5,A5-C5)*(POWER(1+E5,C5)-1)/(POWER(1+E5,A5)-1),4))</f>
        <v>0.1706</v>
      </c>
      <c r="E5" s="3534">
        <v>0.04</v>
      </c>
      <c r="F5" s="3530"/>
      <c r="I5" s="3571" t="s">
        <v>357</v>
      </c>
      <c r="J5" s="3571">
        <v>70</v>
      </c>
      <c r="K5" s="3571">
        <v>60</v>
      </c>
      <c r="L5" s="3571">
        <v>15</v>
      </c>
      <c r="M5" s="3571">
        <v>25</v>
      </c>
      <c r="N5" s="505">
        <v>40</v>
      </c>
      <c r="O5" s="505">
        <v>50</v>
      </c>
      <c r="P5" s="505">
        <v>40</v>
      </c>
      <c r="Q5" s="505">
        <v>15</v>
      </c>
      <c r="R5" s="505">
        <v>315</v>
      </c>
    </row>
    <row r="6" spans="1:18">
      <c r="A6" s="3532">
        <v>50</v>
      </c>
      <c r="B6" s="3531">
        <v>50028</v>
      </c>
      <c r="C6" s="505">
        <f>ROUNDDOWN(MIN((B6-B3)/365,A6),2)</f>
        <v>13.71</v>
      </c>
      <c r="D6" s="3533">
        <f>IF(ISERROR(ROUND(POWER(1+E6,A6-C6)*(POWER(1+E6,C6)-1)/(POWER(1+E6,A6)-1),3)),0,ROUND(POWER(1+E6,A6-C6)*(POWER(1+E6,C6)-1)/(POWER(1+E6,A6)-1),4))</f>
        <v>0.484</v>
      </c>
      <c r="E6" s="3534">
        <v>0.04</v>
      </c>
      <c r="F6" s="3530"/>
      <c r="I6" s="3571" t="s">
        <v>358</v>
      </c>
      <c r="J6" s="3571">
        <v>60</v>
      </c>
      <c r="K6" s="3571">
        <v>50</v>
      </c>
      <c r="L6" s="3571">
        <v>10</v>
      </c>
      <c r="M6" s="3571">
        <v>20</v>
      </c>
      <c r="N6" s="505">
        <v>35</v>
      </c>
      <c r="O6" s="505">
        <v>40</v>
      </c>
      <c r="P6" s="505">
        <v>30</v>
      </c>
      <c r="Q6" s="505">
        <v>10</v>
      </c>
      <c r="R6" s="505">
        <v>255</v>
      </c>
    </row>
    <row r="7" spans="1:6">
      <c r="A7" s="3532">
        <v>70</v>
      </c>
      <c r="B7" s="3531">
        <v>57333</v>
      </c>
      <c r="C7" s="505">
        <f>ROUNDDOWN(MIN((B7-B3)/365,A7),2)</f>
        <v>33.72</v>
      </c>
      <c r="D7" s="3533">
        <f>IF(ISERROR(ROUND(POWER(1+E7,A7-C7)*(POWER(1+E7,C7)-1)/(POWER(1+E7,A7)-1),3)),0,ROUND(POWER(1+E7,A7-C7)*(POWER(1+E7,C7)-1)/(POWER(1+E7,A7)-1),4))</f>
        <v>0.7839</v>
      </c>
      <c r="E7" s="3534">
        <v>0.04</v>
      </c>
      <c r="F7" s="3530"/>
    </row>
    <row r="8" spans="1:6">
      <c r="A8" s="3528"/>
      <c r="B8" s="3529"/>
      <c r="C8" s="3529"/>
      <c r="D8" s="3529"/>
      <c r="E8" s="3529"/>
      <c r="F8" s="3530"/>
    </row>
    <row r="9" spans="1:6">
      <c r="A9" s="504" t="s">
        <v>359</v>
      </c>
      <c r="B9" s="505"/>
      <c r="C9" s="505"/>
      <c r="D9" s="505"/>
      <c r="E9" s="505"/>
      <c r="F9" s="557"/>
    </row>
    <row r="10" spans="1:6">
      <c r="A10" s="504" t="s">
        <v>360</v>
      </c>
      <c r="B10" s="505"/>
      <c r="C10" s="505"/>
      <c r="D10" s="505" t="s">
        <v>355</v>
      </c>
      <c r="E10" s="505"/>
      <c r="F10" s="557" t="s">
        <v>354</v>
      </c>
    </row>
    <row r="11" spans="1:6">
      <c r="A11" s="504" t="s">
        <v>361</v>
      </c>
      <c r="B11" s="3535">
        <v>70</v>
      </c>
      <c r="C11" s="505" t="s">
        <v>362</v>
      </c>
      <c r="D11" s="3536">
        <v>0.045</v>
      </c>
      <c r="E11" s="505" t="s">
        <v>363</v>
      </c>
      <c r="F11" s="3537">
        <f>ROUND(1-(1/(POWER(1+D11,B11))),4)</f>
        <v>0.9541</v>
      </c>
    </row>
    <row r="12" spans="1:6">
      <c r="A12" s="504" t="s">
        <v>364</v>
      </c>
      <c r="B12" s="3535">
        <v>40</v>
      </c>
      <c r="C12" s="505" t="s">
        <v>365</v>
      </c>
      <c r="D12" s="3536">
        <v>0.045</v>
      </c>
      <c r="E12" s="505" t="s">
        <v>366</v>
      </c>
      <c r="F12" s="3537">
        <f>ROUND(1-(1/(POWER(1+D12,B12))),4)</f>
        <v>0.8281</v>
      </c>
    </row>
    <row r="13" spans="1:6">
      <c r="A13" s="504" t="s">
        <v>367</v>
      </c>
      <c r="B13" s="505"/>
      <c r="C13" s="505"/>
      <c r="D13" s="3529"/>
      <c r="E13" s="3529"/>
      <c r="F13" s="3530"/>
    </row>
    <row r="14" spans="1:6">
      <c r="A14" s="504" t="s">
        <v>368</v>
      </c>
      <c r="B14" s="3535">
        <v>5000</v>
      </c>
      <c r="C14" s="3538"/>
      <c r="D14" s="3529"/>
      <c r="E14" s="3529"/>
      <c r="F14" s="3530"/>
    </row>
    <row r="15" spans="1:6">
      <c r="A15" s="504" t="s">
        <v>369</v>
      </c>
      <c r="B15" s="505">
        <f>ROUND(B14*F12/F11,2)</f>
        <v>4339.69</v>
      </c>
      <c r="C15" s="505">
        <f>ROUND(F12/F11,4)</f>
        <v>0.8679</v>
      </c>
      <c r="D15" s="3529"/>
      <c r="E15" s="3529"/>
      <c r="F15" s="3530"/>
    </row>
    <row r="16" spans="1:6">
      <c r="A16" s="504" t="s">
        <v>370</v>
      </c>
      <c r="B16" s="505"/>
      <c r="C16" s="505"/>
      <c r="D16" s="3529"/>
      <c r="E16" s="3529"/>
      <c r="F16" s="3530"/>
    </row>
    <row r="17" spans="1:6">
      <c r="A17" s="504" t="s">
        <v>369</v>
      </c>
      <c r="B17" s="3536">
        <v>4810</v>
      </c>
      <c r="C17" s="3538"/>
      <c r="D17" s="3529"/>
      <c r="E17" s="3529"/>
      <c r="F17" s="3530"/>
    </row>
    <row r="18" ht="15.15" spans="1:6">
      <c r="A18" s="3539" t="s">
        <v>368</v>
      </c>
      <c r="B18" s="560">
        <f>ROUND(B17*F11/F12,2)</f>
        <v>5541.87</v>
      </c>
      <c r="C18" s="560">
        <f>ROUND(F11/F12,4)</f>
        <v>1.1522</v>
      </c>
      <c r="D18" s="3540"/>
      <c r="E18" s="3540"/>
      <c r="F18" s="3541"/>
    </row>
    <row r="19" ht="15.15"/>
    <row r="20" s="3522" customFormat="1" ht="15.15" spans="1:13">
      <c r="A20" s="3542" t="s">
        <v>371</v>
      </c>
      <c r="B20" s="3543"/>
      <c r="C20" s="3543"/>
      <c r="D20" s="3543"/>
      <c r="E20" s="3543"/>
      <c r="F20" s="3543"/>
      <c r="G20" s="3544"/>
      <c r="I20" s="3573" t="s">
        <v>372</v>
      </c>
      <c r="J20" s="3573" t="s">
        <v>373</v>
      </c>
      <c r="K20" s="3573"/>
      <c r="L20" s="3573"/>
      <c r="M20" s="3573"/>
    </row>
    <row r="21" spans="1:10">
      <c r="A21" s="3545"/>
      <c r="B21" s="3546" t="s">
        <v>374</v>
      </c>
      <c r="C21" s="3546" t="s">
        <v>353</v>
      </c>
      <c r="D21" s="3546" t="s">
        <v>375</v>
      </c>
      <c r="E21" s="3546" t="s">
        <v>354</v>
      </c>
      <c r="F21" s="3546" t="s">
        <v>376</v>
      </c>
      <c r="G21" s="3547" t="s">
        <v>377</v>
      </c>
      <c r="I21" s="3524">
        <v>5</v>
      </c>
      <c r="J21" s="3524">
        <v>54.2</v>
      </c>
    </row>
    <row r="22" spans="1:11">
      <c r="A22" s="3545" t="s">
        <v>378</v>
      </c>
      <c r="B22" s="3548">
        <v>70</v>
      </c>
      <c r="C22" s="3548">
        <v>30</v>
      </c>
      <c r="D22" s="3549">
        <v>0.04</v>
      </c>
      <c r="E22" s="3546">
        <f>ROUND(POWER(1+D22,B22-C22)*(POWER(1+D22,C22)-1)/(POWER(1+D22,B22)-1),3)</f>
        <v>0.739</v>
      </c>
      <c r="F22" s="3549">
        <v>0.7</v>
      </c>
      <c r="G22" s="3547">
        <f>ROUND(100*(1-(1-E22)*F22),1)</f>
        <v>81.7</v>
      </c>
      <c r="I22" s="3524">
        <v>10</v>
      </c>
      <c r="J22" s="3524">
        <v>65.4</v>
      </c>
      <c r="K22" s="3524">
        <f>J22-J21</f>
        <v>11.2</v>
      </c>
    </row>
    <row r="23" spans="1:13">
      <c r="A23" s="3545" t="s">
        <v>379</v>
      </c>
      <c r="B23" s="3548">
        <v>70</v>
      </c>
      <c r="C23" s="3548">
        <v>40</v>
      </c>
      <c r="D23" s="3549">
        <v>0.04</v>
      </c>
      <c r="E23" s="3546">
        <f t="shared" ref="E23:E25" si="0">ROUND(POWER(1+D23,B23-C23)*(POWER(1+D23,C23)-1)/(POWER(1+D23,B23)-1),3)</f>
        <v>0.846</v>
      </c>
      <c r="F23" s="3549">
        <f>F22</f>
        <v>0.7</v>
      </c>
      <c r="G23" s="3547">
        <f t="shared" ref="G23:G25" si="1">ROUND(100*(1-(1-E23)*F23),1)</f>
        <v>89.2</v>
      </c>
      <c r="I23" s="3524">
        <v>15</v>
      </c>
      <c r="J23" s="3524">
        <v>74.1</v>
      </c>
      <c r="K23" s="3524">
        <f t="shared" ref="K23:K30" si="2">J23-J22</f>
        <v>8.69999999999999</v>
      </c>
      <c r="L23" s="3524" t="s">
        <v>380</v>
      </c>
      <c r="M23" s="3524" t="s">
        <v>381</v>
      </c>
    </row>
    <row r="24" spans="1:13">
      <c r="A24" s="3545" t="s">
        <v>382</v>
      </c>
      <c r="B24" s="3548">
        <v>70</v>
      </c>
      <c r="C24" s="3548">
        <v>50</v>
      </c>
      <c r="D24" s="3549">
        <v>0.04</v>
      </c>
      <c r="E24" s="3546">
        <f t="shared" si="0"/>
        <v>0.918</v>
      </c>
      <c r="F24" s="3549">
        <f>F23</f>
        <v>0.7</v>
      </c>
      <c r="G24" s="3547">
        <f t="shared" si="1"/>
        <v>94.3</v>
      </c>
      <c r="I24" s="3524">
        <v>20</v>
      </c>
      <c r="J24" s="3524">
        <v>81</v>
      </c>
      <c r="K24" s="3524">
        <f t="shared" si="2"/>
        <v>6.90000000000001</v>
      </c>
      <c r="L24" s="3524" t="s">
        <v>383</v>
      </c>
      <c r="M24" s="3524">
        <v>10</v>
      </c>
    </row>
    <row r="25" spans="1:13">
      <c r="A25" s="3545" t="s">
        <v>384</v>
      </c>
      <c r="B25" s="3548">
        <v>70</v>
      </c>
      <c r="C25" s="3548">
        <v>60</v>
      </c>
      <c r="D25" s="3549">
        <v>0.04</v>
      </c>
      <c r="E25" s="3546">
        <f t="shared" si="0"/>
        <v>0.967</v>
      </c>
      <c r="F25" s="3549">
        <f>F24</f>
        <v>0.7</v>
      </c>
      <c r="G25" s="3547">
        <f t="shared" si="1"/>
        <v>97.7</v>
      </c>
      <c r="I25" s="3524">
        <v>25</v>
      </c>
      <c r="J25" s="3524">
        <v>86.3</v>
      </c>
      <c r="K25" s="3524">
        <f t="shared" si="2"/>
        <v>5.3</v>
      </c>
      <c r="L25" s="3524" t="s">
        <v>385</v>
      </c>
      <c r="M25" s="3524">
        <v>8</v>
      </c>
    </row>
    <row r="26" spans="1:13">
      <c r="A26" s="3550"/>
      <c r="B26" s="3551"/>
      <c r="C26" s="3551"/>
      <c r="D26" s="3551"/>
      <c r="E26" s="3551"/>
      <c r="F26" s="3551"/>
      <c r="G26" s="3552"/>
      <c r="I26" s="3524">
        <v>30</v>
      </c>
      <c r="J26" s="3524">
        <v>90.5</v>
      </c>
      <c r="K26" s="3524">
        <f t="shared" si="2"/>
        <v>4.2</v>
      </c>
      <c r="L26" s="3524" t="s">
        <v>386</v>
      </c>
      <c r="M26" s="3524">
        <v>5</v>
      </c>
    </row>
    <row r="27" spans="1:13">
      <c r="A27" s="3550" t="s">
        <v>387</v>
      </c>
      <c r="B27" s="3551"/>
      <c r="C27" s="3551"/>
      <c r="D27" s="3551"/>
      <c r="E27" s="3551"/>
      <c r="F27" s="3551"/>
      <c r="G27" s="3552"/>
      <c r="I27" s="3524">
        <v>35</v>
      </c>
      <c r="J27" s="3524">
        <v>93.8</v>
      </c>
      <c r="K27" s="3524">
        <f t="shared" si="2"/>
        <v>3.3</v>
      </c>
      <c r="L27" s="3524" t="s">
        <v>388</v>
      </c>
      <c r="M27" s="3524">
        <v>3</v>
      </c>
    </row>
    <row r="28" spans="1:13">
      <c r="A28" s="3550" t="s">
        <v>389</v>
      </c>
      <c r="B28" s="3551"/>
      <c r="C28" s="3551"/>
      <c r="D28" s="3551"/>
      <c r="E28" s="3551"/>
      <c r="F28" s="3551"/>
      <c r="G28" s="3552"/>
      <c r="I28" s="3524">
        <v>40</v>
      </c>
      <c r="J28" s="3524">
        <v>96.4</v>
      </c>
      <c r="K28" s="3524">
        <f t="shared" si="2"/>
        <v>2.60000000000001</v>
      </c>
      <c r="L28" s="3524" t="s">
        <v>390</v>
      </c>
      <c r="M28" s="3524">
        <v>2</v>
      </c>
    </row>
    <row r="29" spans="1:11">
      <c r="A29" s="3550" t="s">
        <v>391</v>
      </c>
      <c r="B29" s="3551"/>
      <c r="C29" s="3551"/>
      <c r="D29" s="3551"/>
      <c r="E29" s="3551"/>
      <c r="F29" s="3551"/>
      <c r="G29" s="3552"/>
      <c r="I29" s="3524">
        <v>45</v>
      </c>
      <c r="J29" s="3524">
        <v>98.4</v>
      </c>
      <c r="K29" s="3524">
        <f t="shared" si="2"/>
        <v>2</v>
      </c>
    </row>
    <row r="30" spans="1:11">
      <c r="A30" s="3550" t="s">
        <v>392</v>
      </c>
      <c r="B30" s="3551"/>
      <c r="C30" s="3551"/>
      <c r="D30" s="3551"/>
      <c r="E30" s="3551"/>
      <c r="F30" s="3551"/>
      <c r="G30" s="3552"/>
      <c r="I30" s="3524">
        <v>50</v>
      </c>
      <c r="J30" s="3524">
        <v>100</v>
      </c>
      <c r="K30" s="3524">
        <f t="shared" si="2"/>
        <v>1.59999999999999</v>
      </c>
    </row>
    <row r="31" spans="1:9">
      <c r="A31" s="3550" t="s">
        <v>393</v>
      </c>
      <c r="B31" s="3551"/>
      <c r="C31" s="3551"/>
      <c r="D31" s="3551"/>
      <c r="E31" s="3551"/>
      <c r="F31" s="3551"/>
      <c r="G31" s="3552"/>
      <c r="I31" s="3524" t="s">
        <v>394</v>
      </c>
    </row>
    <row r="32" spans="1:7">
      <c r="A32" s="3550" t="s">
        <v>395</v>
      </c>
      <c r="B32" s="3551"/>
      <c r="C32" s="3551"/>
      <c r="D32" s="3551"/>
      <c r="E32" s="3551"/>
      <c r="F32" s="3551"/>
      <c r="G32" s="3552"/>
    </row>
    <row r="33" spans="1:10">
      <c r="A33" s="3550" t="s">
        <v>396</v>
      </c>
      <c r="B33" s="3551"/>
      <c r="C33" s="3551"/>
      <c r="D33" s="3551"/>
      <c r="E33" s="3551"/>
      <c r="F33" s="3551"/>
      <c r="G33" s="3552"/>
      <c r="I33" s="3524" t="s">
        <v>372</v>
      </c>
      <c r="J33" s="3524" t="s">
        <v>397</v>
      </c>
    </row>
    <row r="34" spans="1:10">
      <c r="A34" s="3550" t="s">
        <v>398</v>
      </c>
      <c r="B34" s="3551"/>
      <c r="C34" s="3551"/>
      <c r="D34" s="3551"/>
      <c r="E34" s="3551"/>
      <c r="F34" s="3551"/>
      <c r="G34" s="3552"/>
      <c r="I34" s="3524">
        <v>5</v>
      </c>
      <c r="J34" s="3524">
        <v>55.1</v>
      </c>
    </row>
    <row r="35" spans="1:11">
      <c r="A35" s="3550" t="s">
        <v>399</v>
      </c>
      <c r="B35" s="3551"/>
      <c r="C35" s="3551"/>
      <c r="D35" s="3551"/>
      <c r="E35" s="3551"/>
      <c r="F35" s="3551"/>
      <c r="G35" s="3552"/>
      <c r="I35" s="3524">
        <v>10</v>
      </c>
      <c r="J35" s="3524">
        <v>67</v>
      </c>
      <c r="K35" s="3524">
        <f>J35-J34</f>
        <v>11.9</v>
      </c>
    </row>
    <row r="36" spans="1:13">
      <c r="A36" s="3550" t="s">
        <v>400</v>
      </c>
      <c r="B36" s="3551"/>
      <c r="C36" s="3551"/>
      <c r="D36" s="3551"/>
      <c r="E36" s="3551"/>
      <c r="F36" s="3551"/>
      <c r="G36" s="3552"/>
      <c r="I36" s="3524">
        <v>15</v>
      </c>
      <c r="J36" s="3524">
        <v>76.3</v>
      </c>
      <c r="K36" s="3524">
        <f t="shared" ref="K36:K41" si="3">J36-J35</f>
        <v>9.3</v>
      </c>
      <c r="L36" s="3524" t="s">
        <v>380</v>
      </c>
      <c r="M36" s="3524" t="s">
        <v>381</v>
      </c>
    </row>
    <row r="37" spans="1:13">
      <c r="A37" s="3550" t="s">
        <v>401</v>
      </c>
      <c r="B37" s="3551"/>
      <c r="C37" s="3551"/>
      <c r="D37" s="3551"/>
      <c r="E37" s="3551"/>
      <c r="F37" s="3551"/>
      <c r="G37" s="3552"/>
      <c r="I37" s="3524">
        <v>20</v>
      </c>
      <c r="J37" s="3524">
        <v>83.6</v>
      </c>
      <c r="K37" s="3524">
        <f t="shared" si="3"/>
        <v>7.3</v>
      </c>
      <c r="L37" s="3524" t="s">
        <v>383</v>
      </c>
      <c r="M37" s="3524">
        <v>10</v>
      </c>
    </row>
    <row r="38" spans="1:13">
      <c r="A38" s="3550" t="s">
        <v>402</v>
      </c>
      <c r="B38" s="3551"/>
      <c r="C38" s="3551"/>
      <c r="D38" s="3551"/>
      <c r="E38" s="3551"/>
      <c r="F38" s="3551"/>
      <c r="G38" s="3552"/>
      <c r="I38" s="3524">
        <v>25</v>
      </c>
      <c r="J38" s="3524">
        <v>89.3</v>
      </c>
      <c r="K38" s="3524">
        <f t="shared" si="3"/>
        <v>5.7</v>
      </c>
      <c r="L38" s="3524" t="s">
        <v>385</v>
      </c>
      <c r="M38" s="3524">
        <v>8</v>
      </c>
    </row>
    <row r="39" spans="1:13">
      <c r="A39" s="3550"/>
      <c r="B39" s="3551"/>
      <c r="C39" s="3551"/>
      <c r="D39" s="3551"/>
      <c r="E39" s="3551"/>
      <c r="F39" s="3551"/>
      <c r="G39" s="3552"/>
      <c r="I39" s="3524">
        <v>30</v>
      </c>
      <c r="J39" s="3524">
        <v>93.8</v>
      </c>
      <c r="K39" s="3524">
        <f t="shared" si="3"/>
        <v>4.5</v>
      </c>
      <c r="L39" s="3524" t="s">
        <v>386</v>
      </c>
      <c r="M39" s="3524">
        <v>6</v>
      </c>
    </row>
    <row r="40" spans="1:13">
      <c r="A40" s="3553" t="s">
        <v>403</v>
      </c>
      <c r="B40" s="3554"/>
      <c r="C40" s="3554"/>
      <c r="D40" s="3554"/>
      <c r="E40" s="3554"/>
      <c r="F40" s="3554"/>
      <c r="G40" s="3555"/>
      <c r="I40" s="3524">
        <v>35</v>
      </c>
      <c r="J40" s="3524">
        <v>97.2</v>
      </c>
      <c r="K40" s="3524">
        <f t="shared" si="3"/>
        <v>3.40000000000001</v>
      </c>
      <c r="L40" s="3524" t="s">
        <v>388</v>
      </c>
      <c r="M40" s="3524">
        <v>3</v>
      </c>
    </row>
    <row r="41" spans="1:11">
      <c r="A41" s="3556" t="s">
        <v>404</v>
      </c>
      <c r="B41" s="3557" t="s">
        <v>405</v>
      </c>
      <c r="C41" s="3558" t="s">
        <v>406</v>
      </c>
      <c r="D41" s="3558" t="s">
        <v>407</v>
      </c>
      <c r="E41" s="3559"/>
      <c r="F41" s="3560"/>
      <c r="G41" s="3561"/>
      <c r="I41" s="3524">
        <v>40</v>
      </c>
      <c r="J41" s="3524">
        <v>100</v>
      </c>
      <c r="K41" s="3524">
        <f t="shared" si="3"/>
        <v>2.8</v>
      </c>
    </row>
    <row r="42" spans="1:7">
      <c r="A42" s="3556" t="s">
        <v>408</v>
      </c>
      <c r="B42" s="3557" t="s">
        <v>409</v>
      </c>
      <c r="C42" s="3558" t="s">
        <v>409</v>
      </c>
      <c r="D42" s="3562" t="s">
        <v>410</v>
      </c>
      <c r="E42" s="3554" t="s">
        <v>411</v>
      </c>
      <c r="F42" s="3554"/>
      <c r="G42" s="3555"/>
    </row>
    <row r="43" spans="1:10">
      <c r="A43" s="3556" t="s">
        <v>412</v>
      </c>
      <c r="B43" s="3557" t="s">
        <v>413</v>
      </c>
      <c r="C43" s="3558" t="s">
        <v>414</v>
      </c>
      <c r="D43" s="3558" t="s">
        <v>415</v>
      </c>
      <c r="E43" s="3559" t="s">
        <v>416</v>
      </c>
      <c r="F43" s="3560"/>
      <c r="G43" s="3561"/>
      <c r="I43" s="3524" t="s">
        <v>372</v>
      </c>
      <c r="J43" s="3524" t="s">
        <v>417</v>
      </c>
    </row>
    <row r="44" spans="1:10">
      <c r="A44" s="3556" t="s">
        <v>418</v>
      </c>
      <c r="B44" s="3557" t="s">
        <v>419</v>
      </c>
      <c r="C44" s="3558" t="s">
        <v>420</v>
      </c>
      <c r="D44" s="3562">
        <v>0.5</v>
      </c>
      <c r="E44" s="3559" t="s">
        <v>421</v>
      </c>
      <c r="F44" s="3560"/>
      <c r="G44" s="3561"/>
      <c r="I44" s="3524">
        <v>30</v>
      </c>
      <c r="J44" s="3524">
        <v>81.7</v>
      </c>
    </row>
    <row r="45" ht="15.15" spans="1:11">
      <c r="A45" s="3563" t="s">
        <v>422</v>
      </c>
      <c r="B45" s="3564" t="s">
        <v>409</v>
      </c>
      <c r="C45" s="3565" t="s">
        <v>409</v>
      </c>
      <c r="D45" s="3565" t="s">
        <v>423</v>
      </c>
      <c r="E45" s="3566" t="s">
        <v>424</v>
      </c>
      <c r="F45" s="3566"/>
      <c r="G45" s="3567"/>
      <c r="I45" s="3524">
        <v>40</v>
      </c>
      <c r="J45" s="3524">
        <v>89.2</v>
      </c>
      <c r="K45" s="3524">
        <f>J45-J44</f>
        <v>7.5</v>
      </c>
    </row>
    <row r="46" spans="9:11">
      <c r="I46" s="3524">
        <v>50</v>
      </c>
      <c r="J46" s="3524">
        <v>94.3</v>
      </c>
      <c r="K46" s="3524">
        <f t="shared" ref="K46:K47" si="4">J46-J45</f>
        <v>5.09999999999999</v>
      </c>
    </row>
    <row r="47" spans="9:11">
      <c r="I47" s="3524">
        <v>60</v>
      </c>
      <c r="J47" s="3524">
        <v>97.7</v>
      </c>
      <c r="K47" s="352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40" sqref="L40"/>
    </sheetView>
  </sheetViews>
  <sheetFormatPr defaultColWidth="10" defaultRowHeight="13.2"/>
  <cols>
    <col min="1" max="1" width="16.8888888888889" style="2978" customWidth="1"/>
    <col min="2" max="2" width="10" style="2978" customWidth="1"/>
    <col min="3" max="3" width="11.4444444444444" style="2978" customWidth="1"/>
    <col min="4" max="4" width="10" style="2978" customWidth="1"/>
    <col min="5" max="5" width="12.6666666666667" style="2978" customWidth="1"/>
    <col min="6" max="6" width="10" style="2978" customWidth="1"/>
    <col min="7" max="7" width="10.7777777777778" style="2978" customWidth="1"/>
    <col min="8" max="8" width="10" style="2978" customWidth="1"/>
    <col min="9" max="9" width="11.1111111111111" style="3270" customWidth="1"/>
    <col min="10" max="10" width="10" style="3173" customWidth="1"/>
    <col min="11" max="11" width="10" style="3367" customWidth="1"/>
    <col min="12" max="13" width="10" style="3368" customWidth="1"/>
    <col min="14" max="14" width="10" style="3173" customWidth="1"/>
    <col min="15" max="15" width="10" style="1037" customWidth="1"/>
    <col min="16" max="17" width="10" style="3173"/>
    <col min="18" max="18" width="10" style="3173" customWidth="1"/>
    <col min="19" max="30" width="10" style="3173"/>
    <col min="31" max="16384" width="10" style="2978"/>
  </cols>
  <sheetData>
    <row r="1" ht="13.95" spans="1:28">
      <c r="A1" s="3369" t="s">
        <v>425</v>
      </c>
      <c r="B1" s="3370" t="str">
        <f>IF(B10="北京市","北京市",C10)&amp;F10&amp;IF(结果表!G1="在建","出让国有建设用地使用权及在建建筑物",IF(结果表!G1="土地","出让国有建设用地使用权",))&amp;B9&amp;"预评估"</f>
        <v>北京市房地产抵押价值预评估</v>
      </c>
      <c r="C1" s="3371"/>
      <c r="D1" s="3371"/>
      <c r="E1" s="3371"/>
      <c r="F1" s="3371"/>
      <c r="G1" s="3371"/>
      <c r="H1" s="3371"/>
      <c r="I1" s="3486"/>
      <c r="J1" s="2928"/>
      <c r="K1" s="3487"/>
      <c r="L1" s="3488"/>
      <c r="M1" s="3488"/>
      <c r="N1" s="3415"/>
      <c r="O1" s="3278"/>
      <c r="P1" s="3415"/>
      <c r="Q1" s="3415"/>
      <c r="R1" s="3415"/>
      <c r="S1" s="2979" t="str">
        <f>IF(B10="北京市","北京市",C10)&amp;F10&amp;IF(结果表!G1="在建","出让国有建设用地使用权及在建建筑物房地产抵押价值",IF(结果表!G1="土地","出让国有建设用地使用权抵押价值",B9))</f>
        <v>北京市房地产抵押价值</v>
      </c>
      <c r="T1" s="2978"/>
      <c r="U1" s="2978"/>
      <c r="V1" s="2978"/>
      <c r="W1" s="2978"/>
      <c r="X1" s="2978"/>
      <c r="Y1" s="2978"/>
      <c r="Z1" s="2978"/>
      <c r="AA1" s="2978"/>
      <c r="AB1" s="2978"/>
    </row>
    <row r="2" spans="1:28">
      <c r="A2" s="3372" t="s">
        <v>426</v>
      </c>
      <c r="B2" s="3373"/>
      <c r="C2" s="3374"/>
      <c r="D2" s="3375"/>
      <c r="E2" s="3376"/>
      <c r="F2" s="3376"/>
      <c r="G2" s="3377"/>
      <c r="H2" s="3377"/>
      <c r="I2" s="3377"/>
      <c r="J2" s="2928"/>
      <c r="K2" s="3487"/>
      <c r="L2" s="3488"/>
      <c r="M2" s="3488"/>
      <c r="N2" s="3415"/>
      <c r="O2" s="3278"/>
      <c r="P2" s="3415"/>
      <c r="Q2" s="3415"/>
      <c r="R2" s="3415"/>
      <c r="S2" s="2979" t="str">
        <f>IF(B10="北京市","北京市",C10)&amp;F10&amp;IF(结果表!G1="在建","出让国有建设用地使用权及在建建筑物房地产",IF(结果表!G1="土地","出让国有建设用地使用权","房地产"))</f>
        <v>北京市房地产</v>
      </c>
      <c r="T2" s="2978"/>
      <c r="U2" s="2978"/>
      <c r="V2" s="2978"/>
      <c r="W2" s="2978"/>
      <c r="X2" s="2978"/>
      <c r="Y2" s="2978"/>
      <c r="Z2" s="2978"/>
      <c r="AA2" s="2978"/>
      <c r="AB2" s="2978"/>
    </row>
    <row r="3" spans="1:28">
      <c r="A3" s="2161" t="s">
        <v>427</v>
      </c>
      <c r="B3" s="3378"/>
      <c r="C3" s="3379" t="s">
        <v>428</v>
      </c>
      <c r="D3" s="3378">
        <v>45022</v>
      </c>
      <c r="E3" s="3377"/>
      <c r="F3" s="3377"/>
      <c r="G3" s="3377"/>
      <c r="H3" s="3377"/>
      <c r="I3" s="3377"/>
      <c r="J3" s="2928"/>
      <c r="K3" s="3487"/>
      <c r="L3" s="3488"/>
      <c r="M3" s="3488"/>
      <c r="N3" s="3415"/>
      <c r="O3" s="3278"/>
      <c r="P3" s="3415"/>
      <c r="Q3" s="3415"/>
      <c r="R3" s="3415"/>
      <c r="S3" s="2979"/>
      <c r="T3" s="2978"/>
      <c r="U3" s="2978"/>
      <c r="V3" s="2978"/>
      <c r="W3" s="2978"/>
      <c r="X3" s="2978"/>
      <c r="Y3" s="2978"/>
      <c r="Z3" s="2978"/>
      <c r="AA3" s="2978"/>
      <c r="AB3" s="2978"/>
    </row>
    <row r="4" ht="13.95" spans="1:28">
      <c r="A4" s="2185" t="s">
        <v>429</v>
      </c>
      <c r="B4" s="3380"/>
      <c r="C4" s="3381">
        <f ca="1">SUMIF(注册房地产估价师,B4,估价师及机构信息!B3:B24)</f>
        <v>0</v>
      </c>
      <c r="D4" s="3380"/>
      <c r="E4" s="3382">
        <f ca="1">SUMIF(注册房地产估价师,D4,估价师及机构信息!B3:B24)</f>
        <v>0</v>
      </c>
      <c r="F4" s="3380"/>
      <c r="G4" s="3382">
        <f ca="1">SUMIF(注册房地产估价师,F4,估价师及机构信息!B3:B24)</f>
        <v>0</v>
      </c>
      <c r="H4" s="3380"/>
      <c r="I4" s="3382">
        <f ca="1">SUMIF(注册房地产估价师,H4,估价师及机构信息!B3:B24)</f>
        <v>0</v>
      </c>
      <c r="J4" s="2962"/>
      <c r="K4" s="3489" t="str">
        <f ca="1">CONCATENATE(B4,"（注册号：",C4,")、",D4,"（注册号：",E4,")")</f>
        <v>（注册号：0)、（注册号：0)</v>
      </c>
      <c r="L4" s="3488"/>
      <c r="M4" s="3488"/>
      <c r="N4" s="3415"/>
      <c r="O4" s="3278"/>
      <c r="P4" s="3415"/>
      <c r="Q4" s="3415"/>
      <c r="R4" s="3415"/>
      <c r="S4" s="2979"/>
      <c r="T4" s="2978"/>
      <c r="U4" s="2978"/>
      <c r="V4" s="2978"/>
      <c r="W4" s="2978"/>
      <c r="X4" s="2978"/>
      <c r="Y4" s="2978"/>
      <c r="Z4" s="2978"/>
      <c r="AA4" s="2978"/>
      <c r="AB4" s="2978"/>
    </row>
    <row r="5" ht="13.95" spans="1:28">
      <c r="A5" s="3383" t="s">
        <v>430</v>
      </c>
      <c r="B5" s="3384"/>
      <c r="C5" s="3385"/>
      <c r="D5" s="3386"/>
      <c r="E5" s="3083"/>
      <c r="F5" s="3083"/>
      <c r="G5" s="3083"/>
      <c r="H5" s="3083"/>
      <c r="I5" s="3083"/>
      <c r="J5" s="2962"/>
      <c r="K5" s="3489" t="str">
        <f ca="1">IF(F4="——","",IF(H4="——",F4&amp;"（注册号："&amp;G4&amp;")",CONCATENATE(F4,"（注册号：",G4,")、",H4,"（注册号：",I4,")")))</f>
        <v>（注册号：0)、（注册号：0)</v>
      </c>
      <c r="L5" s="3488"/>
      <c r="M5" s="3488"/>
      <c r="N5" s="3415"/>
      <c r="O5" s="3278"/>
      <c r="P5" s="3415"/>
      <c r="Q5" s="3415"/>
      <c r="R5" s="3415"/>
      <c r="S5" s="2978"/>
      <c r="T5" s="2978"/>
      <c r="U5" s="2978"/>
      <c r="V5" s="2978"/>
      <c r="W5" s="2978"/>
      <c r="X5" s="2978"/>
      <c r="Y5" s="2978"/>
      <c r="Z5" s="2978"/>
      <c r="AA5" s="2978"/>
      <c r="AB5" s="2978"/>
    </row>
    <row r="6" spans="1:18">
      <c r="A6" s="3387" t="s">
        <v>431</v>
      </c>
      <c r="B6" s="3388"/>
      <c r="C6" s="3389"/>
      <c r="D6" s="3390"/>
      <c r="E6" s="3376"/>
      <c r="F6" s="3083"/>
      <c r="G6" s="3083"/>
      <c r="H6" s="3083"/>
      <c r="I6" s="3083"/>
      <c r="J6" s="2962"/>
      <c r="K6" s="3490" t="str">
        <f>IF(COUNTIF(B6,"*上海银行*"),"上海银行","")</f>
        <v/>
      </c>
      <c r="L6" s="3491"/>
      <c r="M6" s="3491"/>
      <c r="N6" s="2962"/>
      <c r="O6" s="3492"/>
      <c r="P6" s="2962"/>
      <c r="Q6" s="2962"/>
      <c r="R6" s="2962"/>
    </row>
    <row r="7" spans="1:18">
      <c r="A7" s="3387" t="s">
        <v>432</v>
      </c>
      <c r="B7" s="3391"/>
      <c r="C7" s="3389"/>
      <c r="D7" s="3390"/>
      <c r="E7" s="3376"/>
      <c r="F7" s="3083"/>
      <c r="G7" s="3083"/>
      <c r="H7" s="3083"/>
      <c r="I7" s="3083"/>
      <c r="J7" s="2962"/>
      <c r="K7" s="3493"/>
      <c r="L7" s="3491"/>
      <c r="M7" s="3491"/>
      <c r="N7" s="2962"/>
      <c r="O7" s="3492"/>
      <c r="P7" s="2962"/>
      <c r="Q7" s="2962"/>
      <c r="R7" s="2962"/>
    </row>
    <row r="8" spans="1:18">
      <c r="A8" s="3392" t="s">
        <v>433</v>
      </c>
      <c r="B8" s="3393" t="s">
        <v>325</v>
      </c>
      <c r="C8" s="3394"/>
      <c r="D8" s="3395" t="s">
        <v>434</v>
      </c>
      <c r="E8" s="3396" t="s">
        <v>332</v>
      </c>
      <c r="F8" s="3397"/>
      <c r="G8" s="3377"/>
      <c r="H8" s="3377"/>
      <c r="I8" s="3377"/>
      <c r="J8" s="2962"/>
      <c r="K8" s="3494"/>
      <c r="L8" s="3491"/>
      <c r="M8" s="3491"/>
      <c r="N8" s="2962"/>
      <c r="O8" s="3492"/>
      <c r="P8" s="2962"/>
      <c r="Q8" s="2962"/>
      <c r="R8" s="2962"/>
    </row>
    <row r="9" ht="13.95" spans="1:18">
      <c r="A9" s="3398" t="s">
        <v>435</v>
      </c>
      <c r="B9" s="3399" t="s">
        <v>330</v>
      </c>
      <c r="C9" s="3400"/>
      <c r="D9" s="3401"/>
      <c r="E9" s="3399"/>
      <c r="F9" s="3402"/>
      <c r="G9" s="3403"/>
      <c r="H9" s="3403"/>
      <c r="I9" s="3403"/>
      <c r="J9" s="2962"/>
      <c r="K9" s="3493"/>
      <c r="L9" s="3491"/>
      <c r="M9" s="3491"/>
      <c r="N9" s="2962"/>
      <c r="O9" s="3492"/>
      <c r="P9" s="2962"/>
      <c r="Q9" s="2962"/>
      <c r="R9" s="2962"/>
    </row>
    <row r="10" ht="13.95" spans="1:18">
      <c r="A10" s="3404" t="s">
        <v>436</v>
      </c>
      <c r="B10" s="3405" t="s">
        <v>437</v>
      </c>
      <c r="C10" s="3406"/>
      <c r="D10" s="3386"/>
      <c r="E10" s="3407" t="s">
        <v>438</v>
      </c>
      <c r="F10" s="3408"/>
      <c r="G10" s="3409"/>
      <c r="H10" s="3410"/>
      <c r="I10" s="3495"/>
      <c r="J10" s="2962"/>
      <c r="K10" s="3493"/>
      <c r="L10" s="3491"/>
      <c r="M10" s="3491"/>
      <c r="N10" s="2962"/>
      <c r="O10" s="3492"/>
      <c r="P10" s="2962"/>
      <c r="Q10" s="2962"/>
      <c r="R10" s="2962"/>
    </row>
    <row r="11" spans="1:18">
      <c r="A11" s="3411" t="s">
        <v>439</v>
      </c>
      <c r="B11" s="3412" t="s">
        <v>440</v>
      </c>
      <c r="C11" s="3413"/>
      <c r="D11" s="3414"/>
      <c r="E11" s="3415"/>
      <c r="F11" s="3415"/>
      <c r="G11" s="3415"/>
      <c r="H11" s="3415"/>
      <c r="I11" s="3415"/>
      <c r="J11" s="3496"/>
      <c r="K11" s="3497"/>
      <c r="L11" s="3491"/>
      <c r="M11" s="3491"/>
      <c r="N11" s="2962"/>
      <c r="O11" s="3492"/>
      <c r="P11" s="2962"/>
      <c r="Q11" s="2962"/>
      <c r="R11" s="2962"/>
    </row>
    <row r="12" spans="1:30">
      <c r="A12" s="3416" t="s">
        <v>441</v>
      </c>
      <c r="B12" s="2204" t="s">
        <v>442</v>
      </c>
      <c r="C12" s="3417" t="s">
        <v>443</v>
      </c>
      <c r="D12" s="3417" t="s">
        <v>444</v>
      </c>
      <c r="E12" s="3417" t="s">
        <v>445</v>
      </c>
      <c r="F12" s="3417" t="s">
        <v>446</v>
      </c>
      <c r="G12" s="3417" t="s">
        <v>447</v>
      </c>
      <c r="H12" s="3417" t="s">
        <v>448</v>
      </c>
      <c r="I12" s="3498" t="s">
        <v>280</v>
      </c>
      <c r="J12" s="3499"/>
      <c r="K12" s="3491"/>
      <c r="L12" s="3491"/>
      <c r="M12" s="2962"/>
      <c r="N12" s="3492"/>
      <c r="O12" s="2962"/>
      <c r="P12" s="2962"/>
      <c r="Q12" s="2962"/>
      <c r="AD12" s="2978"/>
    </row>
    <row r="13" spans="1:30">
      <c r="A13" s="3418" t="s">
        <v>449</v>
      </c>
      <c r="B13" s="3419" t="s">
        <v>450</v>
      </c>
      <c r="C13" s="3420"/>
      <c r="D13" s="3420"/>
      <c r="E13" s="3420">
        <v>52567</v>
      </c>
      <c r="F13" s="3420"/>
      <c r="G13" s="3420"/>
      <c r="H13" s="3420"/>
      <c r="I13" s="3420"/>
      <c r="J13" s="3499"/>
      <c r="K13" s="3491"/>
      <c r="L13" s="3491"/>
      <c r="M13" s="2962"/>
      <c r="N13" s="3492"/>
      <c r="O13" s="2962"/>
      <c r="P13" s="2962"/>
      <c r="Q13" s="2962"/>
      <c r="AD13" s="2978"/>
    </row>
    <row r="14" spans="1:30">
      <c r="A14" s="2190"/>
      <c r="B14" s="3419" t="s">
        <v>451</v>
      </c>
      <c r="C14" s="3421"/>
      <c r="D14" s="3421"/>
      <c r="E14" s="3421">
        <v>50</v>
      </c>
      <c r="F14" s="3421"/>
      <c r="G14" s="3421"/>
      <c r="H14" s="3421"/>
      <c r="I14" s="3421"/>
      <c r="J14" s="3500"/>
      <c r="K14" s="3491"/>
      <c r="L14" s="3491"/>
      <c r="M14" s="2962"/>
      <c r="N14" s="3492"/>
      <c r="O14" s="2962"/>
      <c r="P14" s="2962"/>
      <c r="Q14" s="2962"/>
      <c r="AD14" s="2978"/>
    </row>
    <row r="15" spans="1:30">
      <c r="A15" s="2197"/>
      <c r="B15" s="3422" t="s">
        <v>452</v>
      </c>
      <c r="C15" s="3423" t="str">
        <f>IF(A13="出让",IF(C13="","",ROUNDDOWN(MIN((C13-$D$3)/365,C14),2)),C14)</f>
        <v/>
      </c>
      <c r="D15" s="3423" t="str">
        <f>IF(A13="出让",IF(D13="","",ROUNDDOWN(MIN((D13-$D$3)/365,D14),2)),D14)</f>
        <v/>
      </c>
      <c r="E15" s="3423">
        <f>IF(A13="出让",IF(E13="","",ROUNDDOWN(MIN((E13-$D$3)/365,E14),2)),E14)</f>
        <v>20.67</v>
      </c>
      <c r="F15" s="3423" t="str">
        <f>IF(A13="出让",IF(F13="","",ROUNDDOWN(MIN((F13-$D$3)/365,F14),2)),F14)</f>
        <v/>
      </c>
      <c r="G15" s="3423" t="str">
        <f>IF(A13="出让",IF(G13="","",ROUNDDOWN(MIN((G13-$D$3)/365,G14),2)),G14)</f>
        <v/>
      </c>
      <c r="H15" s="3423" t="str">
        <f>IF(A13="出让",IF(H13="","",ROUNDDOWN(MIN((H13-$D$3)/365,H14),2)),H14)</f>
        <v/>
      </c>
      <c r="I15" s="3423" t="str">
        <f>IF(A13="出让",IF(I13="","",ROUNDDOWN(MIN((I13-$D$3)/365,I14),2)),I14)</f>
        <v/>
      </c>
      <c r="J15" s="3501"/>
      <c r="K15" s="3502"/>
      <c r="L15" s="3502"/>
      <c r="M15" s="2963"/>
      <c r="N15" s="3502"/>
      <c r="O15" s="2963"/>
      <c r="P15" s="2962"/>
      <c r="Q15" s="2962"/>
      <c r="AD15" s="2978"/>
    </row>
    <row r="16" spans="1:18">
      <c r="A16" s="3407" t="s">
        <v>453</v>
      </c>
      <c r="B16" s="3424"/>
      <c r="C16" s="3425"/>
      <c r="D16" s="3426"/>
      <c r="E16" s="3427" t="s">
        <v>454</v>
      </c>
      <c r="F16" s="3428"/>
      <c r="G16" s="3429"/>
      <c r="H16" s="3429"/>
      <c r="I16" s="3503"/>
      <c r="J16" s="2962"/>
      <c r="K16" s="3504"/>
      <c r="L16" s="3502"/>
      <c r="M16" s="3502"/>
      <c r="N16" s="2963"/>
      <c r="O16" s="3502"/>
      <c r="P16" s="2963"/>
      <c r="Q16" s="2962"/>
      <c r="R16" s="2962"/>
    </row>
    <row r="17" spans="1:22">
      <c r="A17" s="2174" t="s">
        <v>455</v>
      </c>
      <c r="B17" s="2161" t="s">
        <v>456</v>
      </c>
      <c r="C17" s="1100">
        <f>'数据-汇总表'!E3</f>
        <v>10109.15</v>
      </c>
      <c r="D17" s="2217" t="s">
        <v>457</v>
      </c>
      <c r="E17" s="3430" t="s">
        <v>458</v>
      </c>
      <c r="F17" s="3431"/>
      <c r="G17" s="3431"/>
      <c r="H17" s="3431"/>
      <c r="I17" s="3505"/>
      <c r="J17" s="2962"/>
      <c r="K17" s="3506"/>
      <c r="L17" s="3502"/>
      <c r="M17" s="3502"/>
      <c r="N17" s="2963"/>
      <c r="O17" s="3502"/>
      <c r="P17" s="2963"/>
      <c r="Q17" s="2962"/>
      <c r="R17" s="2962"/>
      <c r="S17" s="2962"/>
      <c r="T17" s="2962"/>
      <c r="U17" s="2962"/>
      <c r="V17" s="2962"/>
    </row>
    <row r="18" ht="24.75" spans="1:22">
      <c r="A18" s="3432" t="s">
        <v>459</v>
      </c>
      <c r="B18" s="2185" t="s">
        <v>460</v>
      </c>
      <c r="C18" s="3433">
        <f>'数据-汇总表'!D3</f>
        <v>3208.2</v>
      </c>
      <c r="D18" s="2210" t="s">
        <v>457</v>
      </c>
      <c r="E18" s="3434" t="s">
        <v>461</v>
      </c>
      <c r="F18" s="3435"/>
      <c r="G18" s="3435"/>
      <c r="H18" s="3435"/>
      <c r="I18" s="3507"/>
      <c r="J18" s="2962"/>
      <c r="K18" s="3506"/>
      <c r="L18" s="3502"/>
      <c r="M18" s="3502"/>
      <c r="N18" s="2963"/>
      <c r="O18" s="3502"/>
      <c r="P18" s="2963"/>
      <c r="Q18" s="2962"/>
      <c r="R18" s="2962"/>
      <c r="S18" s="2962"/>
      <c r="T18" s="2962"/>
      <c r="U18" s="2962"/>
      <c r="V18" s="2962"/>
    </row>
    <row r="19" ht="37.5" spans="1:22">
      <c r="A19" s="2227" t="s">
        <v>462</v>
      </c>
      <c r="B19" s="2166" t="s">
        <v>463</v>
      </c>
      <c r="C19" s="3436"/>
      <c r="D19" s="3437" t="s">
        <v>464</v>
      </c>
      <c r="E19" s="3438"/>
      <c r="F19" s="3439" t="str">
        <f>IF(AND(C19="是",E19="否"),"是否提供他项权证或相关说明","")</f>
        <v/>
      </c>
      <c r="G19" s="3440"/>
      <c r="H19" s="3083"/>
      <c r="I19" s="3083"/>
      <c r="J19" s="2962"/>
      <c r="K19" s="3493"/>
      <c r="L19" s="3491"/>
      <c r="M19" s="3491"/>
      <c r="N19" s="2963"/>
      <c r="O19" s="3502"/>
      <c r="P19" s="2963"/>
      <c r="Q19" s="2962"/>
      <c r="R19" s="2962"/>
      <c r="S19" s="2962"/>
      <c r="T19" s="2962"/>
      <c r="U19" s="2962"/>
      <c r="V19" s="2962"/>
    </row>
    <row r="20" spans="1:28">
      <c r="A20" s="3441" t="s">
        <v>465</v>
      </c>
      <c r="B20" s="3442" t="s">
        <v>466</v>
      </c>
      <c r="C20" s="3443"/>
      <c r="D20" s="3444" t="s">
        <v>467</v>
      </c>
      <c r="E20" s="3445"/>
      <c r="F20" s="3446" t="s">
        <v>468</v>
      </c>
      <c r="G20" s="3083"/>
      <c r="H20" s="3083"/>
      <c r="I20" s="3083"/>
      <c r="J20" s="2962"/>
      <c r="K20" s="3289" t="s">
        <v>469</v>
      </c>
      <c r="L20" s="23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8"/>
      <c r="N20" s="3508"/>
      <c r="O20" s="3509"/>
      <c r="P20" s="3508"/>
      <c r="Q20" s="3415"/>
      <c r="R20" s="3415"/>
      <c r="S20" s="3415"/>
      <c r="T20" s="3415"/>
      <c r="U20" s="3415"/>
      <c r="V20" s="3415"/>
      <c r="W20" s="2978"/>
      <c r="X20" s="2978"/>
      <c r="Y20" s="2978"/>
      <c r="Z20" s="2978"/>
      <c r="AA20" s="2978"/>
      <c r="AB20" s="2978"/>
    </row>
    <row r="21" ht="36.75" spans="1:28">
      <c r="A21" s="3441"/>
      <c r="B21" s="3447" t="s">
        <v>470</v>
      </c>
      <c r="C21" s="3448" t="s">
        <v>471</v>
      </c>
      <c r="D21" s="3449" t="s">
        <v>472</v>
      </c>
      <c r="E21" s="3450" t="s">
        <v>471</v>
      </c>
      <c r="F21" s="3451"/>
      <c r="G21" s="3083"/>
      <c r="H21" s="3083"/>
      <c r="I21" s="3083"/>
      <c r="J21" s="2962"/>
      <c r="K21" s="3289"/>
      <c r="L21" s="23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8"/>
      <c r="N21" s="3508"/>
      <c r="O21" s="3509"/>
      <c r="P21" s="3508"/>
      <c r="Q21" s="3415"/>
      <c r="R21" s="3415"/>
      <c r="S21" s="3415"/>
      <c r="T21" s="3415"/>
      <c r="U21" s="3415"/>
      <c r="V21" s="3415"/>
      <c r="W21" s="2978"/>
      <c r="X21" s="2978"/>
      <c r="Y21" s="2978"/>
      <c r="Z21" s="2978"/>
      <c r="AA21" s="2978"/>
      <c r="AB21" s="2978"/>
    </row>
    <row r="22" ht="36.75" spans="1:28">
      <c r="A22" s="3441"/>
      <c r="B22" s="3452" t="s">
        <v>473</v>
      </c>
      <c r="C22" s="3448" t="s">
        <v>474</v>
      </c>
      <c r="D22" s="3377"/>
      <c r="E22" s="3377"/>
      <c r="F22" s="3377"/>
      <c r="G22" s="3083"/>
      <c r="H22" s="3083"/>
      <c r="I22" s="3083"/>
      <c r="J22" s="2962"/>
      <c r="K22" s="3289"/>
      <c r="L22" s="23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8"/>
      <c r="N22" s="3508"/>
      <c r="O22" s="3509"/>
      <c r="P22" s="3508"/>
      <c r="Q22" s="3415"/>
      <c r="R22" s="3415"/>
      <c r="S22" s="3415"/>
      <c r="T22" s="3415"/>
      <c r="U22" s="3415"/>
      <c r="V22" s="3415"/>
      <c r="W22" s="2978"/>
      <c r="X22" s="2978"/>
      <c r="Y22" s="2978"/>
      <c r="Z22" s="2978"/>
      <c r="AA22" s="2978"/>
      <c r="AB22" s="2978"/>
    </row>
    <row r="23" spans="1:22">
      <c r="A23" s="3453" t="s">
        <v>475</v>
      </c>
      <c r="B23" s="2953" t="s">
        <v>476</v>
      </c>
      <c r="C23" s="3454"/>
      <c r="D23" s="3455" t="s">
        <v>476</v>
      </c>
      <c r="E23" s="3456"/>
      <c r="F23" s="3377"/>
      <c r="G23" s="3083"/>
      <c r="H23" s="3083"/>
      <c r="I23" s="3083"/>
      <c r="J23" s="2962"/>
      <c r="K23" s="3510"/>
      <c r="L23" s="2326"/>
      <c r="M23" s="3491"/>
      <c r="N23" s="2963"/>
      <c r="O23" s="3502"/>
      <c r="P23" s="2963"/>
      <c r="Q23" s="2962"/>
      <c r="R23" s="2962"/>
      <c r="S23" s="2962"/>
      <c r="T23" s="2962"/>
      <c r="U23" s="2962"/>
      <c r="V23" s="2962"/>
    </row>
    <row r="24" spans="1:22">
      <c r="A24" s="3453"/>
      <c r="B24" s="2953" t="s">
        <v>477</v>
      </c>
      <c r="C24" s="3457"/>
      <c r="D24" s="3453" t="s">
        <v>477</v>
      </c>
      <c r="E24" s="3458"/>
      <c r="F24" s="3377"/>
      <c r="G24" s="3083"/>
      <c r="H24" s="3083"/>
      <c r="I24" s="3083"/>
      <c r="J24" s="2962"/>
      <c r="K24" s="3510"/>
      <c r="L24" s="2326"/>
      <c r="M24" s="3491"/>
      <c r="N24" s="2963"/>
      <c r="O24" s="3502"/>
      <c r="P24" s="2963"/>
      <c r="Q24" s="2962"/>
      <c r="R24" s="2962"/>
      <c r="S24" s="2962"/>
      <c r="T24" s="2962"/>
      <c r="U24" s="2962"/>
      <c r="V24" s="2962"/>
    </row>
    <row r="25" spans="1:22">
      <c r="A25" s="3453"/>
      <c r="B25" s="2953" t="s">
        <v>478</v>
      </c>
      <c r="C25" s="3457"/>
      <c r="D25" s="3453" t="s">
        <v>478</v>
      </c>
      <c r="E25" s="3458"/>
      <c r="F25" s="3377"/>
      <c r="G25" s="3083"/>
      <c r="H25" s="3083"/>
      <c r="I25" s="3083"/>
      <c r="J25" s="2962"/>
      <c r="K25" s="3493"/>
      <c r="L25" s="3491"/>
      <c r="M25" s="3491"/>
      <c r="N25" s="2963"/>
      <c r="O25" s="3502"/>
      <c r="P25" s="2963"/>
      <c r="Q25" s="2962"/>
      <c r="R25" s="2962"/>
      <c r="S25" s="2962"/>
      <c r="T25" s="2962"/>
      <c r="U25" s="2962"/>
      <c r="V25" s="2962"/>
    </row>
    <row r="26" ht="13.95" spans="1:22">
      <c r="A26" s="3459"/>
      <c r="B26" s="3460" t="s">
        <v>479</v>
      </c>
      <c r="C26" s="3461"/>
      <c r="D26" s="3459" t="s">
        <v>479</v>
      </c>
      <c r="E26" s="3462"/>
      <c r="F26" s="3403"/>
      <c r="G26" s="3403"/>
      <c r="H26" s="3403"/>
      <c r="I26" s="3403"/>
      <c r="J26" s="2962"/>
      <c r="K26" s="3493"/>
      <c r="L26" s="3491"/>
      <c r="M26" s="3491"/>
      <c r="N26" s="2963"/>
      <c r="O26" s="3502"/>
      <c r="P26" s="2963"/>
      <c r="Q26" s="2962"/>
      <c r="R26" s="2962"/>
      <c r="S26" s="2962"/>
      <c r="T26" s="2962"/>
      <c r="U26" s="2962"/>
      <c r="V26" s="2962"/>
    </row>
    <row r="27" ht="13.95" spans="1:22">
      <c r="A27" s="2190" t="s">
        <v>480</v>
      </c>
      <c r="B27" s="2197" t="s">
        <v>481</v>
      </c>
      <c r="C27" s="3463" t="s">
        <v>482</v>
      </c>
      <c r="D27" s="3464"/>
      <c r="E27" s="3083"/>
      <c r="F27" s="3083"/>
      <c r="G27" s="3083"/>
      <c r="H27" s="3083"/>
      <c r="I27" s="3083"/>
      <c r="J27" s="2962"/>
      <c r="K27" s="3504"/>
      <c r="L27" s="3502"/>
      <c r="M27" s="3502"/>
      <c r="N27" s="2963"/>
      <c r="O27" s="3502"/>
      <c r="P27" s="2963"/>
      <c r="Q27" s="2962"/>
      <c r="R27" s="2962"/>
      <c r="S27" s="2962"/>
      <c r="T27" s="2962"/>
      <c r="U27" s="2962"/>
      <c r="V27" s="2962"/>
    </row>
    <row r="28" spans="1:22">
      <c r="A28" s="2190"/>
      <c r="B28" s="2161" t="s">
        <v>483</v>
      </c>
      <c r="C28" s="3465"/>
      <c r="D28" s="3466"/>
      <c r="E28" s="3083"/>
      <c r="F28" s="3083"/>
      <c r="G28" s="3083"/>
      <c r="H28" s="3083"/>
      <c r="I28" s="3083"/>
      <c r="J28" s="2962"/>
      <c r="K28" s="3493"/>
      <c r="L28" s="3491"/>
      <c r="M28" s="3491"/>
      <c r="N28" s="2962"/>
      <c r="O28" s="3492"/>
      <c r="P28" s="2962"/>
      <c r="Q28" s="2962"/>
      <c r="R28" s="2962"/>
      <c r="S28" s="2962"/>
      <c r="T28" s="2962"/>
      <c r="U28" s="2962"/>
      <c r="V28" s="2962"/>
    </row>
    <row r="29" spans="1:22">
      <c r="A29" s="2190"/>
      <c r="B29" s="2161" t="s">
        <v>484</v>
      </c>
      <c r="C29" s="3467"/>
      <c r="D29" s="3468"/>
      <c r="E29" s="3083"/>
      <c r="F29" s="3083"/>
      <c r="G29" s="3083"/>
      <c r="H29" s="3083"/>
      <c r="I29" s="3083"/>
      <c r="J29" s="2962"/>
      <c r="K29" s="3493"/>
      <c r="L29" s="3491"/>
      <c r="M29" s="3491"/>
      <c r="N29" s="2962"/>
      <c r="O29" s="3492"/>
      <c r="P29" s="2962"/>
      <c r="Q29" s="2962"/>
      <c r="R29" s="2962"/>
      <c r="S29" s="2962"/>
      <c r="T29" s="2962"/>
      <c r="U29" s="2962"/>
      <c r="V29" s="2962"/>
    </row>
    <row r="30" spans="1:22">
      <c r="A30" s="2197"/>
      <c r="B30" s="2161" t="s">
        <v>485</v>
      </c>
      <c r="C30" s="3469"/>
      <c r="D30" s="3470"/>
      <c r="E30" s="3083"/>
      <c r="F30" s="3083"/>
      <c r="G30" s="3083"/>
      <c r="H30" s="3083"/>
      <c r="I30" s="3083"/>
      <c r="J30" s="2962"/>
      <c r="K30" s="3493"/>
      <c r="L30" s="3491"/>
      <c r="M30" s="3491"/>
      <c r="N30" s="2962"/>
      <c r="O30" s="3492"/>
      <c r="P30" s="2962"/>
      <c r="Q30" s="2962"/>
      <c r="R30" s="2962"/>
      <c r="S30" s="2962"/>
      <c r="T30" s="2962"/>
      <c r="U30" s="2962"/>
      <c r="V30" s="2962"/>
    </row>
    <row r="31" spans="1:22">
      <c r="A31" s="3471" t="s">
        <v>486</v>
      </c>
      <c r="B31" s="3472" t="s">
        <v>487</v>
      </c>
      <c r="C31" s="2317" t="str">
        <f>IF(B31="现房","成新及维护状况正常否",IF(B31="在建","工程状态是否正常",IF(B31="土地","是否闲置","-")))</f>
        <v>成新及维护状况正常否</v>
      </c>
      <c r="D31" s="2419"/>
      <c r="E31" s="3473"/>
      <c r="F31" s="3083"/>
      <c r="G31" s="3083"/>
      <c r="H31" s="3083"/>
      <c r="I31" s="3083"/>
      <c r="J31" s="2962"/>
      <c r="K31" s="3490"/>
      <c r="L31" s="3491"/>
      <c r="M31" s="3491"/>
      <c r="N31" s="2962"/>
      <c r="O31" s="3492"/>
      <c r="P31" s="2962"/>
      <c r="Q31" s="2962"/>
      <c r="R31" s="2962"/>
      <c r="S31" s="2962"/>
      <c r="T31" s="2962"/>
      <c r="U31" s="2962"/>
      <c r="V31" s="2962"/>
    </row>
    <row r="32" spans="1:22">
      <c r="A32" s="2664"/>
      <c r="B32" s="3472"/>
      <c r="C32" s="2317" t="str">
        <f>IF(B32="现房","成新及维护状况是否正常",IF(B32="在建","工程状态是否正常",IF(B32="土地","是否闲置","-")))</f>
        <v>-</v>
      </c>
      <c r="D32" s="2419"/>
      <c r="E32" s="3473"/>
      <c r="F32" s="3083"/>
      <c r="G32" s="3083"/>
      <c r="H32" s="3083"/>
      <c r="I32" s="3083"/>
      <c r="J32" s="2962"/>
      <c r="K32" s="3493"/>
      <c r="L32" s="3491"/>
      <c r="M32" s="3491"/>
      <c r="N32" s="2962"/>
      <c r="O32" s="3492"/>
      <c r="P32" s="2962"/>
      <c r="Q32" s="2962"/>
      <c r="R32" s="2962"/>
      <c r="S32" s="2962"/>
      <c r="T32" s="2962"/>
      <c r="U32" s="2962"/>
      <c r="V32" s="2962"/>
    </row>
    <row r="33" spans="1:22">
      <c r="A33" s="2664"/>
      <c r="B33" s="3474"/>
      <c r="C33" s="2663" t="str">
        <f>IF(B33="现房","成新及维护状况是否正常",IF(B33="在建","工程状态是否正常",IF(B33="土地","是否闲置","-")))</f>
        <v>-</v>
      </c>
      <c r="D33" s="2172"/>
      <c r="E33" s="3475"/>
      <c r="F33" s="3083"/>
      <c r="G33" s="3083"/>
      <c r="H33" s="3083"/>
      <c r="I33" s="3083"/>
      <c r="J33" s="2962"/>
      <c r="K33" s="3493"/>
      <c r="L33" s="3491"/>
      <c r="M33" s="3491"/>
      <c r="N33" s="2962"/>
      <c r="O33" s="3492"/>
      <c r="P33" s="2962"/>
      <c r="Q33" s="2962"/>
      <c r="R33" s="2962"/>
      <c r="S33" s="2962"/>
      <c r="T33" s="2962"/>
      <c r="U33" s="2962"/>
      <c r="V33" s="2962"/>
    </row>
    <row r="34" spans="1:22">
      <c r="A34" s="2161" t="s">
        <v>488</v>
      </c>
      <c r="B34" s="657"/>
      <c r="C34" s="657"/>
      <c r="D34" s="657"/>
      <c r="E34" s="657"/>
      <c r="F34" s="657"/>
      <c r="G34" s="657"/>
      <c r="H34" s="657"/>
      <c r="I34" s="3083"/>
      <c r="J34" s="2962"/>
      <c r="K34" s="1100">
        <f>COUNTIF(B34:H34,"——")</f>
        <v>0</v>
      </c>
      <c r="L34" s="2204" t="s">
        <v>489</v>
      </c>
      <c r="M34" s="2204" t="s">
        <v>490</v>
      </c>
      <c r="N34" s="2204" t="s">
        <v>491</v>
      </c>
      <c r="O34" s="2204" t="s">
        <v>492</v>
      </c>
      <c r="P34" s="2204" t="s">
        <v>493</v>
      </c>
      <c r="Q34" s="2204" t="s">
        <v>494</v>
      </c>
      <c r="R34" s="2204" t="s">
        <v>495</v>
      </c>
      <c r="S34" s="1100" t="s">
        <v>496</v>
      </c>
      <c r="T34" s="2204" t="str">
        <f>NUMBERSTRING(7-K34,1)&amp;"通"</f>
        <v>七通</v>
      </c>
      <c r="U34" s="2962"/>
      <c r="V34" s="2962"/>
    </row>
    <row r="35" spans="1:22">
      <c r="A35" s="3476"/>
      <c r="B35" s="1158" t="s">
        <v>497</v>
      </c>
      <c r="C35" s="1158"/>
      <c r="D35" s="1158"/>
      <c r="E35" s="1158"/>
      <c r="F35" s="1158">
        <f>C10</f>
        <v>0</v>
      </c>
      <c r="G35" s="3083"/>
      <c r="H35" s="3083"/>
      <c r="I35" s="3083"/>
      <c r="J35" s="2962"/>
      <c r="K35" s="2204"/>
      <c r="L35" s="2204">
        <f>B34</f>
        <v>0</v>
      </c>
      <c r="M35" s="2206" t="str">
        <f>B34&amp;"、"&amp;C34</f>
        <v>、</v>
      </c>
      <c r="N35" s="2206" t="str">
        <f>B34&amp;"、"&amp;C34&amp;"、"&amp;D34</f>
        <v>、、</v>
      </c>
      <c r="O35" s="2206" t="str">
        <f>B34&amp;"、"&amp;C34&amp;"、"&amp;D34&amp;"、"&amp;E34</f>
        <v>、、、</v>
      </c>
      <c r="P35" s="2206" t="str">
        <f>B34&amp;"、"&amp;C34&amp;"、"&amp;D34&amp;"、"&amp;E34&amp;"、"&amp;F34</f>
        <v>、、、、</v>
      </c>
      <c r="Q35" s="2206" t="str">
        <f>B34&amp;"、"&amp;C34&amp;"、"&amp;D34&amp;"、"&amp;E34&amp;"、"&amp;F34&amp;"、"&amp;G34</f>
        <v>、、、、、</v>
      </c>
      <c r="R35" s="2206" t="str">
        <f>B34&amp;"、"&amp;C34&amp;"、"&amp;D34&amp;"、"&amp;E34&amp;"、"&amp;F34&amp;"、"&amp;G34&amp;"、"&amp;H34</f>
        <v>、、、、、、</v>
      </c>
      <c r="S35" s="1100"/>
      <c r="T35" s="2206" t="str">
        <f>IF(T34="一通",L35,IF(T34="二通",M35,IF(T34="三通",N35,IF(T34="四通",O35,IF(T34="五通",P35,IF(T34="六通",Q35,R35))))))</f>
        <v>、、、、、、</v>
      </c>
      <c r="U35" s="2962"/>
      <c r="V35" s="2962"/>
    </row>
    <row r="36" spans="1:22">
      <c r="A36" s="3477"/>
      <c r="B36" s="1158" t="s">
        <v>444</v>
      </c>
      <c r="C36" s="1158" t="s">
        <v>445</v>
      </c>
      <c r="D36" s="1158" t="s">
        <v>443</v>
      </c>
      <c r="E36" s="1158" t="s">
        <v>448</v>
      </c>
      <c r="F36" s="3478" t="s">
        <v>280</v>
      </c>
      <c r="G36" s="3083"/>
      <c r="H36" s="3083"/>
      <c r="I36" s="3083"/>
      <c r="J36" s="2962"/>
      <c r="K36" s="3493"/>
      <c r="L36" s="3491"/>
      <c r="M36" s="3491"/>
      <c r="N36" s="2962"/>
      <c r="O36" s="3492"/>
      <c r="P36" s="2962"/>
      <c r="Q36" s="2962"/>
      <c r="R36" s="2962"/>
      <c r="S36" s="2962"/>
      <c r="T36" s="2962"/>
      <c r="U36" s="2962"/>
      <c r="V36" s="2962"/>
    </row>
    <row r="37" spans="1:22">
      <c r="A37" s="3479" t="s">
        <v>498</v>
      </c>
      <c r="B37" s="3480"/>
      <c r="C37" s="3480" t="s">
        <v>267</v>
      </c>
      <c r="D37" s="3480"/>
      <c r="E37" s="3480"/>
      <c r="F37" s="3480"/>
      <c r="G37" s="3083"/>
      <c r="H37" s="3083"/>
      <c r="I37" s="3083"/>
      <c r="J37" s="2962"/>
      <c r="K37" s="3493"/>
      <c r="L37" s="3491"/>
      <c r="M37" s="3491"/>
      <c r="N37" s="2962"/>
      <c r="O37" s="3492"/>
      <c r="P37" s="2962"/>
      <c r="Q37" s="2962"/>
      <c r="R37" s="2962"/>
      <c r="S37" s="2962"/>
      <c r="T37" s="2962"/>
      <c r="U37" s="2962"/>
      <c r="V37" s="2962"/>
    </row>
    <row r="38" ht="13.95" spans="1:22">
      <c r="A38" s="3481" t="s">
        <v>499</v>
      </c>
      <c r="B38" s="3482"/>
      <c r="C38" s="3482" t="s">
        <v>500</v>
      </c>
      <c r="D38" s="3482"/>
      <c r="E38" s="3482"/>
      <c r="F38" s="3482"/>
      <c r="G38" s="3403"/>
      <c r="H38" s="3403"/>
      <c r="I38" s="3403"/>
      <c r="J38" s="2962"/>
      <c r="K38" s="3493"/>
      <c r="L38" s="3491"/>
      <c r="M38" s="3491"/>
      <c r="N38" s="2962"/>
      <c r="O38" s="3492"/>
      <c r="P38" s="2962"/>
      <c r="Q38" s="2962"/>
      <c r="R38" s="2962"/>
      <c r="S38" s="2962"/>
      <c r="T38" s="2962"/>
      <c r="U38" s="2962"/>
      <c r="V38" s="2962"/>
    </row>
    <row r="39" s="3366" customFormat="1" ht="14.7" spans="1:30">
      <c r="A39" s="3483" t="s">
        <v>501</v>
      </c>
      <c r="B39" s="3484"/>
      <c r="C39" s="3484"/>
      <c r="D39" s="3484"/>
      <c r="E39" s="3484"/>
      <c r="F39" s="3484"/>
      <c r="G39" s="3484"/>
      <c r="H39" s="3484"/>
      <c r="I39" s="3484"/>
      <c r="J39" s="3511"/>
      <c r="K39" s="3512"/>
      <c r="L39" s="3511"/>
      <c r="M39" s="3511"/>
      <c r="N39" s="3511"/>
      <c r="O39" s="3513"/>
      <c r="P39" s="3511"/>
      <c r="Q39" s="3511"/>
      <c r="R39" s="3511"/>
      <c r="S39" s="3511"/>
      <c r="T39" s="3511"/>
      <c r="U39" s="3511"/>
      <c r="V39" s="3511"/>
      <c r="W39" s="3520"/>
      <c r="X39" s="3520"/>
      <c r="Y39" s="3520"/>
      <c r="Z39" s="3520"/>
      <c r="AA39" s="3520"/>
      <c r="AB39" s="3520"/>
      <c r="AC39" s="3520"/>
      <c r="AD39" s="3520"/>
    </row>
    <row r="40" spans="1:22">
      <c r="A40" s="3415"/>
      <c r="B40" s="3415"/>
      <c r="C40" s="3415"/>
      <c r="D40" s="3415"/>
      <c r="E40" s="3415"/>
      <c r="F40" s="3415"/>
      <c r="G40" s="3415"/>
      <c r="H40" s="3415"/>
      <c r="I40" s="2689"/>
      <c r="J40" s="2963"/>
      <c r="K40" s="3490"/>
      <c r="L40" s="3502"/>
      <c r="M40" s="3502"/>
      <c r="N40" s="2963"/>
      <c r="O40" s="3502"/>
      <c r="P40" s="2962"/>
      <c r="Q40" s="2962"/>
      <c r="R40" s="2962"/>
      <c r="S40" s="2962"/>
      <c r="T40" s="2962"/>
      <c r="U40" s="2962"/>
      <c r="V40" s="2962"/>
    </row>
    <row r="41" spans="1:22">
      <c r="A41" s="3485" t="s">
        <v>502</v>
      </c>
      <c r="B41" s="2554"/>
      <c r="C41" s="2419"/>
      <c r="D41" s="3415"/>
      <c r="E41" s="3415"/>
      <c r="F41" s="3415"/>
      <c r="G41" s="3415"/>
      <c r="H41" s="3415"/>
      <c r="I41" s="3278"/>
      <c r="J41" s="2962"/>
      <c r="K41" s="3493"/>
      <c r="L41" s="3491"/>
      <c r="M41" s="3491"/>
      <c r="N41" s="2962"/>
      <c r="O41" s="3492"/>
      <c r="P41" s="2962"/>
      <c r="Q41" s="2962"/>
      <c r="R41" s="2962"/>
      <c r="S41" s="2962"/>
      <c r="T41" s="2962"/>
      <c r="U41" s="2962"/>
      <c r="V41" s="2962"/>
    </row>
    <row r="42" ht="25.2" spans="1:22">
      <c r="A42" s="2204" t="s">
        <v>503</v>
      </c>
      <c r="B42" s="1100" t="s">
        <v>504</v>
      </c>
      <c r="C42" s="1100" t="s">
        <v>505</v>
      </c>
      <c r="D42" s="1100" t="s">
        <v>506</v>
      </c>
      <c r="E42" s="1100" t="s">
        <v>507</v>
      </c>
      <c r="F42" s="1100" t="s">
        <v>508</v>
      </c>
      <c r="G42" s="1100" t="s">
        <v>509</v>
      </c>
      <c r="H42" s="1100" t="s">
        <v>510</v>
      </c>
      <c r="I42" s="1100" t="s">
        <v>511</v>
      </c>
      <c r="J42" s="3514" t="s">
        <v>512</v>
      </c>
      <c r="K42" s="3515" t="s">
        <v>513</v>
      </c>
      <c r="L42" s="3515" t="s">
        <v>514</v>
      </c>
      <c r="M42" s="3515" t="s">
        <v>515</v>
      </c>
      <c r="N42" s="3516" t="s">
        <v>516</v>
      </c>
      <c r="O42" s="3516" t="s">
        <v>517</v>
      </c>
      <c r="P42" s="3516" t="s">
        <v>518</v>
      </c>
      <c r="Q42" s="3521" t="s">
        <v>519</v>
      </c>
      <c r="R42" s="3521" t="s">
        <v>520</v>
      </c>
      <c r="S42" s="2962"/>
      <c r="T42" s="2962"/>
      <c r="U42" s="2962"/>
      <c r="V42" s="2962"/>
    </row>
    <row r="43" s="3173" customFormat="1" spans="1:22">
      <c r="A43" s="3303"/>
      <c r="B43" s="3299"/>
      <c r="C43" s="3299"/>
      <c r="D43" s="3299"/>
      <c r="E43" s="3299"/>
      <c r="F43" s="3299"/>
      <c r="G43" s="3299"/>
      <c r="H43" s="3299"/>
      <c r="I43" s="3299"/>
      <c r="J43" s="3517"/>
      <c r="K43" s="3518"/>
      <c r="L43" s="3518"/>
      <c r="M43" s="3299"/>
      <c r="N43" s="3299"/>
      <c r="O43" s="3299"/>
      <c r="P43" s="3299"/>
      <c r="Q43" s="3299"/>
      <c r="R43" s="3299"/>
      <c r="S43" s="2962"/>
      <c r="T43" s="2962"/>
      <c r="U43" s="2962"/>
      <c r="V43" s="2962"/>
    </row>
    <row r="44" s="3173" customFormat="1" spans="1:22">
      <c r="A44" s="3303"/>
      <c r="B44" s="3303"/>
      <c r="C44" s="3299"/>
      <c r="D44" s="3299"/>
      <c r="E44" s="3299"/>
      <c r="F44" s="3299"/>
      <c r="G44" s="3299"/>
      <c r="H44" s="3299"/>
      <c r="I44" s="3299"/>
      <c r="J44" s="3517"/>
      <c r="K44" s="3518"/>
      <c r="L44" s="3518"/>
      <c r="M44" s="3299"/>
      <c r="N44" s="3299"/>
      <c r="O44" s="3299"/>
      <c r="P44" s="3299"/>
      <c r="Q44" s="3299"/>
      <c r="R44" s="3299"/>
      <c r="S44" s="2962"/>
      <c r="T44" s="2962"/>
      <c r="U44" s="2962"/>
      <c r="V44" s="2962"/>
    </row>
    <row r="45" s="3173" customFormat="1" spans="1:22">
      <c r="A45" s="3303"/>
      <c r="B45" s="3303"/>
      <c r="C45" s="3299"/>
      <c r="D45" s="3299"/>
      <c r="E45" s="3299"/>
      <c r="F45" s="3299"/>
      <c r="G45" s="3299"/>
      <c r="H45" s="3299"/>
      <c r="I45" s="3299"/>
      <c r="J45" s="3517"/>
      <c r="K45" s="3518"/>
      <c r="L45" s="3518"/>
      <c r="M45" s="3299"/>
      <c r="N45" s="3299"/>
      <c r="O45" s="3299"/>
      <c r="P45" s="3299"/>
      <c r="Q45" s="3299"/>
      <c r="R45" s="3299"/>
      <c r="S45" s="2962"/>
      <c r="T45" s="2962"/>
      <c r="U45" s="2962"/>
      <c r="V45" s="2962"/>
    </row>
    <row r="46" s="3173" customFormat="1" spans="1:22">
      <c r="A46" s="3303"/>
      <c r="B46" s="3303"/>
      <c r="C46" s="3299"/>
      <c r="D46" s="3299"/>
      <c r="E46" s="3299"/>
      <c r="F46" s="3299"/>
      <c r="G46" s="3299"/>
      <c r="H46" s="3299"/>
      <c r="I46" s="3299"/>
      <c r="J46" s="3517"/>
      <c r="K46" s="3518"/>
      <c r="L46" s="3518"/>
      <c r="M46" s="3299"/>
      <c r="N46" s="3299"/>
      <c r="O46" s="3299"/>
      <c r="P46" s="3299"/>
      <c r="Q46" s="3299"/>
      <c r="R46" s="3299"/>
      <c r="S46" s="2962"/>
      <c r="T46" s="2962"/>
      <c r="U46" s="2962"/>
      <c r="V46" s="2962"/>
    </row>
    <row r="47" s="3173" customFormat="1" spans="1:22">
      <c r="A47" s="3303"/>
      <c r="B47" s="3303"/>
      <c r="C47" s="3299"/>
      <c r="D47" s="3299"/>
      <c r="E47" s="3299"/>
      <c r="F47" s="3299"/>
      <c r="G47" s="3299"/>
      <c r="H47" s="3299"/>
      <c r="I47" s="3299"/>
      <c r="J47" s="3517"/>
      <c r="K47" s="3518"/>
      <c r="L47" s="3518"/>
      <c r="M47" s="3299"/>
      <c r="N47" s="3299"/>
      <c r="O47" s="3299"/>
      <c r="P47" s="3299"/>
      <c r="Q47" s="3299"/>
      <c r="R47" s="3299"/>
      <c r="S47" s="2962"/>
      <c r="T47" s="2962"/>
      <c r="U47" s="2962"/>
      <c r="V47" s="2962"/>
    </row>
    <row r="48" s="3173" customFormat="1" spans="1:22">
      <c r="A48" s="3303"/>
      <c r="B48" s="3303"/>
      <c r="C48" s="3299"/>
      <c r="D48" s="3299"/>
      <c r="E48" s="3299"/>
      <c r="F48" s="3299"/>
      <c r="G48" s="3299"/>
      <c r="H48" s="3299"/>
      <c r="I48" s="3299"/>
      <c r="J48" s="3517"/>
      <c r="K48" s="3518"/>
      <c r="L48" s="3518"/>
      <c r="M48" s="3299"/>
      <c r="N48" s="3299"/>
      <c r="O48" s="3299"/>
      <c r="P48" s="3299"/>
      <c r="Q48" s="3299"/>
      <c r="R48" s="3299"/>
      <c r="S48" s="2962"/>
      <c r="T48" s="2962"/>
      <c r="U48" s="2962"/>
      <c r="V48" s="2962"/>
    </row>
    <row r="49" s="3173" customFormat="1" spans="1:22">
      <c r="A49" s="3303"/>
      <c r="B49" s="3303"/>
      <c r="C49" s="3299"/>
      <c r="D49" s="3299"/>
      <c r="E49" s="3299"/>
      <c r="F49" s="3299"/>
      <c r="G49" s="3299"/>
      <c r="H49" s="3299"/>
      <c r="I49" s="3299"/>
      <c r="J49" s="3517"/>
      <c r="K49" s="3518"/>
      <c r="L49" s="3518"/>
      <c r="M49" s="3299"/>
      <c r="N49" s="3299"/>
      <c r="O49" s="3299"/>
      <c r="P49" s="3299"/>
      <c r="Q49" s="3299"/>
      <c r="R49" s="3299"/>
      <c r="S49" s="2962"/>
      <c r="T49" s="2962"/>
      <c r="U49" s="2962"/>
      <c r="V49" s="2962"/>
    </row>
    <row r="50" s="3173" customFormat="1" spans="1:22">
      <c r="A50" s="3303"/>
      <c r="B50" s="3303"/>
      <c r="C50" s="3299"/>
      <c r="D50" s="3299"/>
      <c r="E50" s="3299"/>
      <c r="F50" s="3299"/>
      <c r="G50" s="3299"/>
      <c r="H50" s="3299"/>
      <c r="I50" s="3299"/>
      <c r="J50" s="3517"/>
      <c r="K50" s="3518"/>
      <c r="L50" s="3518"/>
      <c r="M50" s="3299"/>
      <c r="N50" s="3299"/>
      <c r="O50" s="3299"/>
      <c r="P50" s="3299"/>
      <c r="Q50" s="3299"/>
      <c r="R50" s="3299"/>
      <c r="S50" s="2962"/>
      <c r="T50" s="2962"/>
      <c r="U50" s="2962"/>
      <c r="V50" s="2962"/>
    </row>
    <row r="51" s="3173" customFormat="1" spans="1:18">
      <c r="A51" s="3303"/>
      <c r="B51" s="3303"/>
      <c r="C51" s="3299"/>
      <c r="D51" s="3299"/>
      <c r="E51" s="3299"/>
      <c r="F51" s="3299"/>
      <c r="G51" s="3299"/>
      <c r="H51" s="3299"/>
      <c r="I51" s="3299"/>
      <c r="J51" s="3517"/>
      <c r="K51" s="3518"/>
      <c r="L51" s="3518"/>
      <c r="M51" s="3299"/>
      <c r="N51" s="3299"/>
      <c r="O51" s="3299"/>
      <c r="P51" s="3299"/>
      <c r="Q51" s="3299"/>
      <c r="R51" s="3299"/>
    </row>
    <row r="52" s="3173" customFormat="1" spans="1:18">
      <c r="A52" s="3303"/>
      <c r="B52" s="3303"/>
      <c r="C52" s="3303"/>
      <c r="D52" s="3303"/>
      <c r="E52" s="3303"/>
      <c r="F52" s="3299"/>
      <c r="G52" s="3303"/>
      <c r="H52" s="3303"/>
      <c r="I52" s="3303"/>
      <c r="J52" s="3519"/>
      <c r="K52" s="3518"/>
      <c r="L52" s="3518"/>
      <c r="M52" s="3518"/>
      <c r="N52" s="3303"/>
      <c r="O52" s="3303"/>
      <c r="P52" s="3303"/>
      <c r="Q52" s="3303"/>
      <c r="R52" s="3303"/>
    </row>
    <row r="53" s="3173" customFormat="1" spans="1:18">
      <c r="A53" s="3303"/>
      <c r="B53" s="3303"/>
      <c r="C53" s="3303"/>
      <c r="D53" s="3303"/>
      <c r="E53" s="3303"/>
      <c r="F53" s="3299"/>
      <c r="G53" s="3303"/>
      <c r="H53" s="3303"/>
      <c r="I53" s="3303"/>
      <c r="J53" s="3519"/>
      <c r="K53" s="3518"/>
      <c r="L53" s="3518"/>
      <c r="M53" s="3518"/>
      <c r="N53" s="3303"/>
      <c r="O53" s="3303"/>
      <c r="P53" s="3303"/>
      <c r="Q53" s="3303"/>
      <c r="R53" s="3303"/>
    </row>
    <row r="54" s="3173" customFormat="1" spans="1:18">
      <c r="A54" s="3303"/>
      <c r="B54" s="3303"/>
      <c r="C54" s="3303"/>
      <c r="D54" s="3303"/>
      <c r="E54" s="3303"/>
      <c r="F54" s="3299"/>
      <c r="G54" s="3303"/>
      <c r="H54" s="3303"/>
      <c r="I54" s="3303"/>
      <c r="J54" s="3519"/>
      <c r="K54" s="3518"/>
      <c r="L54" s="3518"/>
      <c r="M54" s="3518"/>
      <c r="N54" s="3303"/>
      <c r="O54" s="3303"/>
      <c r="P54" s="3303"/>
      <c r="Q54" s="3303"/>
      <c r="R54" s="3303"/>
    </row>
    <row r="55" s="3173" customFormat="1" spans="1:18">
      <c r="A55" s="3303"/>
      <c r="B55" s="3303"/>
      <c r="C55" s="3303"/>
      <c r="D55" s="3303"/>
      <c r="E55" s="3303"/>
      <c r="F55" s="3299"/>
      <c r="G55" s="3303"/>
      <c r="H55" s="3303"/>
      <c r="I55" s="3303"/>
      <c r="J55" s="3519"/>
      <c r="K55" s="3518"/>
      <c r="L55" s="3518"/>
      <c r="M55" s="3518"/>
      <c r="N55" s="3303"/>
      <c r="O55" s="3303"/>
      <c r="P55" s="3303"/>
      <c r="Q55" s="3303"/>
      <c r="R55" s="3303"/>
    </row>
    <row r="56" s="3173" customFormat="1" spans="1:18">
      <c r="A56" s="3303"/>
      <c r="B56" s="3303"/>
      <c r="C56" s="3303"/>
      <c r="D56" s="3303"/>
      <c r="E56" s="3303"/>
      <c r="F56" s="3299"/>
      <c r="G56" s="3303"/>
      <c r="H56" s="3303"/>
      <c r="I56" s="3303"/>
      <c r="J56" s="3519"/>
      <c r="K56" s="3518"/>
      <c r="L56" s="3518"/>
      <c r="M56" s="3518"/>
      <c r="N56" s="3303"/>
      <c r="O56" s="3303"/>
      <c r="P56" s="3303"/>
      <c r="Q56" s="3303"/>
      <c r="R56" s="330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E38">
      <formula1>INDIRECT($E$37)</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B21:B22">
      <formula1>"《房屋所有权证》,《国有土地使用证》,《不动产权证书》,——"</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8">
      <formula1>INDIRECT(B37)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3" sqref="L23"/>
    </sheetView>
  </sheetViews>
  <sheetFormatPr defaultColWidth="8.88888888888889" defaultRowHeight="13.8"/>
  <cols>
    <col min="1" max="1" width="10.6666666666667" style="3275" customWidth="1"/>
    <col min="2" max="2" width="11" style="3275" customWidth="1"/>
    <col min="3" max="3" width="10.3333333333333" style="3275" customWidth="1"/>
    <col min="4" max="4" width="9.11111111111111" style="3275" customWidth="1"/>
    <col min="5" max="6" width="10" style="3273" customWidth="1"/>
    <col min="7" max="8" width="10" style="3275" customWidth="1"/>
    <col min="9" max="9" width="10.6666666666667" style="3275" customWidth="1"/>
    <col min="10" max="10" width="9.44444444444444" style="3275" customWidth="1"/>
    <col min="11" max="11" width="11" style="3275" customWidth="1"/>
    <col min="12" max="14" width="9.44444444444444" style="3275" customWidth="1"/>
    <col min="15" max="15" width="9.88888888888889" style="3275" customWidth="1"/>
    <col min="16" max="16" width="9.77777777777778" style="3275" customWidth="1"/>
    <col min="17" max="17" width="9.33333333333333" style="3275" customWidth="1"/>
    <col min="18" max="18" width="9.22222222222222" style="3275" customWidth="1"/>
    <col min="19" max="19" width="10.8888888888889" style="3275" customWidth="1"/>
    <col min="20" max="21" width="10.7777777777778" style="3275" customWidth="1"/>
    <col min="22" max="22" width="10.8888888888889" style="3275" customWidth="1"/>
    <col min="23" max="27" width="10.7777777777778" style="3275" customWidth="1"/>
    <col min="28" max="28" width="10.8888888888889" style="3275" customWidth="1"/>
    <col min="29" max="29" width="11" style="3275" customWidth="1"/>
    <col min="30" max="30" width="10" style="3275" customWidth="1"/>
    <col min="31" max="31" width="9.77777777777778" style="3275" customWidth="1"/>
    <col min="32" max="46" width="9.44444444444444" style="3275" customWidth="1"/>
    <col min="47" max="47" width="18.1111111111111" style="3275" customWidth="1"/>
    <col min="48" max="50" width="9.77777777777778" style="3275" customWidth="1"/>
    <col min="51" max="55" width="10.4444444444444" style="3275" customWidth="1"/>
    <col min="56" max="56" width="9.44444444444444" style="3275" customWidth="1"/>
    <col min="57" max="63" width="9.11111111111111" style="3275" customWidth="1"/>
    <col min="64" max="64" width="9.44444444444444" style="3275" customWidth="1"/>
    <col min="65" max="65" width="9.11111111111111" style="3275" customWidth="1"/>
    <col min="66" max="66" width="9.44444444444444" style="3275" customWidth="1"/>
    <col min="67" max="69" width="9.11111111111111" style="3275" customWidth="1"/>
    <col min="70" max="70" width="9.44444444444444" style="3275" customWidth="1"/>
    <col min="71" max="71" width="9" style="3275" customWidth="1"/>
    <col min="72" max="72" width="9.11111111111111" style="3275" customWidth="1"/>
    <col min="73" max="16384" width="8.88888888888889" style="3275"/>
  </cols>
  <sheetData>
    <row r="1" ht="20.4" spans="1:72">
      <c r="A1" s="3276" t="s">
        <v>521</v>
      </c>
      <c r="B1" s="3277"/>
      <c r="C1" s="3277"/>
      <c r="D1" s="3277"/>
      <c r="E1" s="3277"/>
      <c r="F1" s="3277"/>
      <c r="G1" s="3277"/>
      <c r="H1" s="3277"/>
      <c r="I1" s="3277"/>
      <c r="J1" s="3277"/>
      <c r="K1" s="3277"/>
      <c r="L1" s="3277"/>
      <c r="M1" s="3277"/>
      <c r="N1" s="3277"/>
      <c r="O1" s="3277"/>
      <c r="P1" s="3277"/>
      <c r="Q1" s="3277"/>
      <c r="R1" s="3277"/>
      <c r="S1" s="3277"/>
      <c r="T1" s="3277"/>
      <c r="U1" s="3277"/>
      <c r="V1" s="3277"/>
      <c r="W1" s="3277"/>
      <c r="X1" s="3277"/>
      <c r="Y1" s="3277"/>
      <c r="Z1" s="3277"/>
      <c r="AA1" s="3277"/>
      <c r="AB1" s="3277"/>
      <c r="AC1" s="3277"/>
      <c r="AD1" s="3277"/>
      <c r="AE1" s="3277"/>
      <c r="AF1" s="3277"/>
      <c r="AG1" s="3277"/>
      <c r="AH1" s="3277"/>
      <c r="AI1" s="3277"/>
      <c r="AJ1" s="3277"/>
      <c r="AK1" s="3277"/>
      <c r="AL1" s="3277"/>
      <c r="AM1" s="3277"/>
      <c r="AN1" s="3277"/>
      <c r="AO1" s="3277"/>
      <c r="AP1" s="3277"/>
      <c r="AQ1" s="3277"/>
      <c r="AR1" s="3277"/>
      <c r="AS1" s="3277"/>
      <c r="AT1" s="3277"/>
      <c r="AU1" s="3277"/>
      <c r="AV1" s="3329" t="s">
        <v>522</v>
      </c>
      <c r="AW1" s="3277"/>
      <c r="AX1" s="3277"/>
      <c r="AY1" s="3277"/>
      <c r="AZ1" s="3277"/>
      <c r="BA1" s="3277"/>
      <c r="BB1" s="3277"/>
      <c r="BC1" s="3277"/>
      <c r="BD1" s="3277"/>
      <c r="BE1" s="3277"/>
      <c r="BF1" s="3277"/>
      <c r="BG1" s="3277"/>
      <c r="BH1" s="3277"/>
      <c r="BI1" s="3277"/>
      <c r="BJ1" s="3277"/>
      <c r="BK1" s="3277"/>
      <c r="BL1" s="3277"/>
      <c r="BM1" s="3277"/>
      <c r="BN1" s="3277"/>
      <c r="BO1" s="3277"/>
      <c r="BP1" s="3277"/>
      <c r="BQ1" s="3277"/>
      <c r="BR1" s="3277"/>
      <c r="BS1" s="3277"/>
      <c r="BT1" s="3277"/>
    </row>
    <row r="2" s="3270" customFormat="1" ht="24" spans="1:72">
      <c r="A2" s="1100" t="s">
        <v>460</v>
      </c>
      <c r="B2" s="1100" t="s">
        <v>456</v>
      </c>
      <c r="C2" s="1100" t="s">
        <v>523</v>
      </c>
      <c r="D2" s="3278"/>
      <c r="E2" s="2637"/>
      <c r="F2" s="2689"/>
      <c r="G2" s="3278"/>
      <c r="H2" s="3278"/>
      <c r="I2" s="3278"/>
      <c r="J2" s="3278"/>
      <c r="K2" s="3278"/>
      <c r="L2" s="3278"/>
      <c r="M2" s="3278"/>
      <c r="N2" s="3278"/>
      <c r="O2" s="3278"/>
      <c r="P2" s="3278"/>
      <c r="Q2" s="3278"/>
      <c r="R2" s="3278"/>
      <c r="S2" s="3278"/>
      <c r="T2" s="3278"/>
      <c r="U2" s="3278"/>
      <c r="V2" s="3278"/>
      <c r="W2" s="3278"/>
      <c r="X2" s="3278"/>
      <c r="Y2" s="3278"/>
      <c r="Z2" s="3278"/>
      <c r="AA2" s="3278"/>
      <c r="AB2" s="3278"/>
      <c r="AC2" s="3278"/>
      <c r="AD2" s="3278"/>
      <c r="AE2" s="3278"/>
      <c r="AF2" s="3278"/>
      <c r="AG2" s="3278"/>
      <c r="AH2" s="3278"/>
      <c r="AI2" s="3278"/>
      <c r="AJ2" s="3278"/>
      <c r="AK2" s="3278"/>
      <c r="AL2" s="3278"/>
      <c r="AM2" s="3278"/>
      <c r="AN2" s="3278"/>
      <c r="AO2" s="3278"/>
      <c r="AP2" s="3278"/>
      <c r="AQ2" s="3278"/>
      <c r="AR2" s="3278"/>
      <c r="AS2" s="3278"/>
      <c r="AT2" s="3278"/>
      <c r="AU2" s="3278"/>
      <c r="AV2" s="3278"/>
      <c r="AW2" s="3278"/>
      <c r="AX2" s="3278"/>
      <c r="AY2" s="3339" t="s">
        <v>524</v>
      </c>
      <c r="AZ2" s="3340" t="s">
        <v>525</v>
      </c>
      <c r="BA2" s="1100" t="s">
        <v>526</v>
      </c>
      <c r="BB2" s="3278"/>
      <c r="BC2" s="3278"/>
      <c r="BD2" s="3278"/>
      <c r="BE2" s="3278"/>
      <c r="BF2" s="3278"/>
      <c r="BG2" s="3278"/>
      <c r="BH2" s="3278"/>
      <c r="BI2" s="3278"/>
      <c r="BJ2" s="3278"/>
      <c r="BK2" s="3278"/>
      <c r="BL2" s="3278"/>
      <c r="BM2" s="3278"/>
      <c r="BN2" s="3278"/>
      <c r="BO2" s="3278"/>
      <c r="BP2" s="3278"/>
      <c r="BQ2" s="3278"/>
      <c r="BR2" s="3278"/>
      <c r="BS2" s="3278"/>
      <c r="BT2" s="3278"/>
    </row>
    <row r="3" s="3270" customFormat="1" ht="13.2" spans="1:72">
      <c r="A3" s="3279">
        <v>3208.2</v>
      </c>
      <c r="B3" s="3280">
        <f>IF(C3="否",G5-AT5,G5)</f>
        <v>10109.15</v>
      </c>
      <c r="C3" s="3281" t="s">
        <v>527</v>
      </c>
      <c r="D3" s="3278"/>
      <c r="E3" s="3278"/>
      <c r="F3" s="3278"/>
      <c r="G3" s="3278"/>
      <c r="H3" s="3278"/>
      <c r="I3" s="3278"/>
      <c r="J3" s="3278"/>
      <c r="K3" s="3278"/>
      <c r="L3" s="3278"/>
      <c r="M3" s="3278"/>
      <c r="N3" s="3278"/>
      <c r="O3" s="3278"/>
      <c r="P3" s="3278"/>
      <c r="Q3" s="3278"/>
      <c r="R3" s="3278"/>
      <c r="S3" s="3278"/>
      <c r="T3" s="3278"/>
      <c r="U3" s="3278"/>
      <c r="V3" s="3278"/>
      <c r="W3" s="3278"/>
      <c r="X3" s="3278"/>
      <c r="Y3" s="3278"/>
      <c r="Z3" s="3278"/>
      <c r="AA3" s="3278"/>
      <c r="AB3" s="3278"/>
      <c r="AC3" s="3278"/>
      <c r="AD3" s="3278"/>
      <c r="AE3" s="3278"/>
      <c r="AF3" s="3278"/>
      <c r="AG3" s="3278"/>
      <c r="AH3" s="3278"/>
      <c r="AI3" s="3278"/>
      <c r="AJ3" s="3278"/>
      <c r="AK3" s="3278"/>
      <c r="AL3" s="3278"/>
      <c r="AM3" s="3278"/>
      <c r="AN3" s="3278"/>
      <c r="AO3" s="3278"/>
      <c r="AP3" s="3278"/>
      <c r="AQ3" s="3278"/>
      <c r="AR3" s="3278"/>
      <c r="AS3" s="3278"/>
      <c r="AT3" s="3278"/>
      <c r="AU3" s="3278"/>
      <c r="AV3" s="3278"/>
      <c r="AW3" s="3278"/>
      <c r="AX3" s="3278"/>
      <c r="AY3" s="3341"/>
      <c r="AZ3" s="3299"/>
      <c r="BA3" s="3342"/>
      <c r="BB3" s="3278"/>
      <c r="BC3" s="3278"/>
      <c r="BD3" s="3278"/>
      <c r="BE3" s="3278"/>
      <c r="BF3" s="3278"/>
      <c r="BG3" s="3278"/>
      <c r="BH3" s="3278"/>
      <c r="BI3" s="3278"/>
      <c r="BJ3" s="3278"/>
      <c r="BK3" s="3278"/>
      <c r="BL3" s="3278"/>
      <c r="BM3" s="3278"/>
      <c r="BN3" s="3278"/>
      <c r="BO3" s="3278"/>
      <c r="BP3" s="3278"/>
      <c r="BQ3" s="3278"/>
      <c r="BR3" s="3278"/>
      <c r="BS3" s="3278"/>
      <c r="BT3" s="3278"/>
    </row>
    <row r="4" s="3271" customFormat="1" ht="13.95" spans="1:72">
      <c r="A4" s="3282"/>
      <c r="B4" s="3283"/>
      <c r="C4" s="3284"/>
      <c r="D4" s="3278"/>
      <c r="E4" s="3278"/>
      <c r="F4" s="3278"/>
      <c r="G4" s="3278"/>
      <c r="H4" s="3278"/>
      <c r="I4" s="3278"/>
      <c r="J4" s="3278"/>
      <c r="K4" s="3278"/>
      <c r="L4" s="3278"/>
      <c r="M4" s="3278"/>
      <c r="N4" s="3278"/>
      <c r="O4" s="3278"/>
      <c r="P4" s="3278"/>
      <c r="Q4" s="3278"/>
      <c r="R4" s="3278"/>
      <c r="S4" s="3278"/>
      <c r="T4" s="3278"/>
      <c r="U4" s="3278"/>
      <c r="V4" s="3278"/>
      <c r="W4" s="3278"/>
      <c r="X4" s="3278"/>
      <c r="Y4" s="3278"/>
      <c r="Z4" s="3278"/>
      <c r="AA4" s="3278"/>
      <c r="AB4" s="3278"/>
      <c r="AC4" s="3278"/>
      <c r="AD4" s="3278"/>
      <c r="AE4" s="3278"/>
      <c r="AF4" s="3278"/>
      <c r="AG4" s="3278"/>
      <c r="AH4" s="3278"/>
      <c r="AI4" s="3278"/>
      <c r="AJ4" s="3278"/>
      <c r="AK4" s="3278"/>
      <c r="AL4" s="3278"/>
      <c r="AM4" s="3278"/>
      <c r="AN4" s="3278"/>
      <c r="AO4" s="3278"/>
      <c r="AP4" s="3278"/>
      <c r="AQ4" s="3278"/>
      <c r="AR4" s="3278"/>
      <c r="AS4" s="3278"/>
      <c r="AT4" s="3278"/>
      <c r="AU4" s="3278"/>
      <c r="AV4" s="3278"/>
      <c r="AW4" s="3278"/>
      <c r="AX4" s="3278"/>
      <c r="AY4" s="3278"/>
      <c r="AZ4" s="3278"/>
      <c r="BA4" s="3343"/>
      <c r="BB4" s="3278"/>
      <c r="BC4" s="3278"/>
      <c r="BD4" s="3278"/>
      <c r="BE4" s="3278"/>
      <c r="BF4" s="3278"/>
      <c r="BG4" s="3278"/>
      <c r="BH4" s="3278"/>
      <c r="BI4" s="3278"/>
      <c r="BJ4" s="3278"/>
      <c r="BK4" s="3278"/>
      <c r="BL4" s="3278"/>
      <c r="BM4" s="3278"/>
      <c r="BN4" s="3278"/>
      <c r="BO4" s="3278"/>
      <c r="BP4" s="3278"/>
      <c r="BQ4" s="3278"/>
      <c r="BR4" s="3278"/>
      <c r="BS4" s="3278"/>
      <c r="BT4" s="3278"/>
    </row>
    <row r="5" s="3270" customFormat="1" ht="13.2" spans="1:72">
      <c r="A5" s="2317" t="s">
        <v>528</v>
      </c>
      <c r="B5" s="2550"/>
      <c r="C5" s="2550"/>
      <c r="D5" s="2703"/>
      <c r="E5" s="3285" t="s">
        <v>124</v>
      </c>
      <c r="F5" s="3285">
        <f>SUM(F13:F587)</f>
        <v>0</v>
      </c>
      <c r="G5" s="3285">
        <f>SUM(G13:G587)</f>
        <v>10109.15</v>
      </c>
      <c r="H5" s="3285">
        <f t="shared" ref="H5:AT5" si="0">SUM(H13:H656)</f>
        <v>10109.15</v>
      </c>
      <c r="I5" s="3285">
        <f t="shared" si="0"/>
        <v>10109.15</v>
      </c>
      <c r="J5" s="3285">
        <f t="shared" si="0"/>
        <v>0</v>
      </c>
      <c r="K5" s="3285">
        <f t="shared" si="0"/>
        <v>0</v>
      </c>
      <c r="L5" s="3285">
        <f t="shared" si="0"/>
        <v>0</v>
      </c>
      <c r="M5" s="3285">
        <f t="shared" si="0"/>
        <v>0</v>
      </c>
      <c r="N5" s="3285">
        <f t="shared" si="0"/>
        <v>0</v>
      </c>
      <c r="O5" s="3285">
        <f t="shared" si="0"/>
        <v>0</v>
      </c>
      <c r="P5" s="3285">
        <f t="shared" si="0"/>
        <v>0</v>
      </c>
      <c r="Q5" s="3285">
        <f t="shared" si="0"/>
        <v>0</v>
      </c>
      <c r="R5" s="3285">
        <f t="shared" si="0"/>
        <v>0</v>
      </c>
      <c r="S5" s="3285">
        <f t="shared" si="0"/>
        <v>0</v>
      </c>
      <c r="T5" s="3285">
        <f t="shared" si="0"/>
        <v>0</v>
      </c>
      <c r="U5" s="3285">
        <f t="shared" si="0"/>
        <v>0</v>
      </c>
      <c r="V5" s="3285">
        <f t="shared" si="0"/>
        <v>0</v>
      </c>
      <c r="W5" s="3285">
        <f t="shared" si="0"/>
        <v>0</v>
      </c>
      <c r="X5" s="3285">
        <f t="shared" si="0"/>
        <v>0</v>
      </c>
      <c r="Y5" s="3285">
        <f t="shared" si="0"/>
        <v>0</v>
      </c>
      <c r="Z5" s="3285">
        <f t="shared" si="0"/>
        <v>0</v>
      </c>
      <c r="AA5" s="3285">
        <f t="shared" si="0"/>
        <v>0</v>
      </c>
      <c r="AB5" s="3285">
        <f t="shared" si="0"/>
        <v>0</v>
      </c>
      <c r="AC5" s="3285">
        <f t="shared" si="0"/>
        <v>0</v>
      </c>
      <c r="AD5" s="3285">
        <f t="shared" si="0"/>
        <v>0</v>
      </c>
      <c r="AE5" s="3285">
        <f t="shared" si="0"/>
        <v>0</v>
      </c>
      <c r="AF5" s="3285">
        <f t="shared" si="0"/>
        <v>0</v>
      </c>
      <c r="AG5" s="3285">
        <f t="shared" si="0"/>
        <v>0</v>
      </c>
      <c r="AH5" s="3285">
        <f t="shared" si="0"/>
        <v>0</v>
      </c>
      <c r="AI5" s="3285">
        <f t="shared" si="0"/>
        <v>0</v>
      </c>
      <c r="AJ5" s="3285">
        <f t="shared" si="0"/>
        <v>0</v>
      </c>
      <c r="AK5" s="3285">
        <f t="shared" si="0"/>
        <v>0</v>
      </c>
      <c r="AL5" s="3285">
        <f t="shared" si="0"/>
        <v>0</v>
      </c>
      <c r="AM5" s="3285">
        <f t="shared" si="0"/>
        <v>0</v>
      </c>
      <c r="AN5" s="3285">
        <f t="shared" si="0"/>
        <v>0</v>
      </c>
      <c r="AO5" s="3285">
        <f t="shared" si="0"/>
        <v>0</v>
      </c>
      <c r="AP5" s="3285">
        <f t="shared" si="0"/>
        <v>0</v>
      </c>
      <c r="AQ5" s="3285">
        <f t="shared" si="0"/>
        <v>0</v>
      </c>
      <c r="AR5" s="3285">
        <f t="shared" si="0"/>
        <v>0</v>
      </c>
      <c r="AS5" s="3285">
        <f t="shared" si="0"/>
        <v>0</v>
      </c>
      <c r="AT5" s="3285">
        <f t="shared" si="0"/>
        <v>0</v>
      </c>
      <c r="AU5" s="2549"/>
      <c r="AV5" s="2317" t="s">
        <v>528</v>
      </c>
      <c r="AW5" s="2550"/>
      <c r="AX5" s="2550"/>
      <c r="AY5" s="3344" t="s">
        <v>124</v>
      </c>
      <c r="AZ5" s="3345">
        <f t="shared" ref="AZ5:BT5" si="1">SUM(AZ13:AZ656)</f>
        <v>10109.15</v>
      </c>
      <c r="BA5" s="3345">
        <f t="shared" si="1"/>
        <v>10109.15</v>
      </c>
      <c r="BB5" s="3345">
        <f t="shared" si="1"/>
        <v>10109.15</v>
      </c>
      <c r="BC5" s="3345">
        <f t="shared" si="1"/>
        <v>0</v>
      </c>
      <c r="BD5" s="3345">
        <f t="shared" si="1"/>
        <v>0</v>
      </c>
      <c r="BE5" s="3345">
        <f t="shared" si="1"/>
        <v>0</v>
      </c>
      <c r="BF5" s="3345">
        <f t="shared" si="1"/>
        <v>0</v>
      </c>
      <c r="BG5" s="3345">
        <f t="shared" si="1"/>
        <v>0</v>
      </c>
      <c r="BH5" s="3345">
        <f t="shared" si="1"/>
        <v>0</v>
      </c>
      <c r="BI5" s="3345">
        <f t="shared" si="1"/>
        <v>0</v>
      </c>
      <c r="BJ5" s="3345">
        <f t="shared" si="1"/>
        <v>0</v>
      </c>
      <c r="BK5" s="3345">
        <f t="shared" si="1"/>
        <v>0</v>
      </c>
      <c r="BL5" s="3345">
        <f t="shared" si="1"/>
        <v>0</v>
      </c>
      <c r="BM5" s="3345">
        <f t="shared" si="1"/>
        <v>0</v>
      </c>
      <c r="BN5" s="3345">
        <f t="shared" si="1"/>
        <v>0</v>
      </c>
      <c r="BO5" s="3345">
        <f t="shared" si="1"/>
        <v>0</v>
      </c>
      <c r="BP5" s="3345">
        <f t="shared" si="1"/>
        <v>0</v>
      </c>
      <c r="BQ5" s="3345">
        <f t="shared" si="1"/>
        <v>0</v>
      </c>
      <c r="BR5" s="3345">
        <f t="shared" si="1"/>
        <v>0</v>
      </c>
      <c r="BS5" s="3345">
        <f t="shared" si="1"/>
        <v>0</v>
      </c>
      <c r="BT5" s="3354">
        <f t="shared" si="1"/>
        <v>0</v>
      </c>
    </row>
    <row r="6" s="3272" customFormat="1" ht="13.2" spans="1:72">
      <c r="A6" s="2317" t="s">
        <v>529</v>
      </c>
      <c r="B6" s="3286"/>
      <c r="C6" s="3286"/>
      <c r="D6" s="3287"/>
      <c r="E6" s="3285">
        <f>H6+AC6+AT6</f>
        <v>3208.2</v>
      </c>
      <c r="F6" s="3285" t="s">
        <v>124</v>
      </c>
      <c r="G6" s="3285" t="s">
        <v>124</v>
      </c>
      <c r="H6" s="3288">
        <f>SUMIF(I$12:AB$12,"总值",I6:AB6)</f>
        <v>3208.2</v>
      </c>
      <c r="I6" s="3285">
        <f t="shared" ref="I6:AB6" si="2">ROUND($A$3*I5/$B$3,2)</f>
        <v>3208.2</v>
      </c>
      <c r="J6" s="3285">
        <f t="shared" si="2"/>
        <v>0</v>
      </c>
      <c r="K6" s="3285">
        <f t="shared" si="2"/>
        <v>0</v>
      </c>
      <c r="L6" s="3285">
        <f t="shared" si="2"/>
        <v>0</v>
      </c>
      <c r="M6" s="3285">
        <f t="shared" si="2"/>
        <v>0</v>
      </c>
      <c r="N6" s="3285">
        <f t="shared" si="2"/>
        <v>0</v>
      </c>
      <c r="O6" s="3285">
        <f t="shared" si="2"/>
        <v>0</v>
      </c>
      <c r="P6" s="3285">
        <f t="shared" si="2"/>
        <v>0</v>
      </c>
      <c r="Q6" s="3285">
        <f t="shared" si="2"/>
        <v>0</v>
      </c>
      <c r="R6" s="3285">
        <f t="shared" si="2"/>
        <v>0</v>
      </c>
      <c r="S6" s="3285">
        <f t="shared" si="2"/>
        <v>0</v>
      </c>
      <c r="T6" s="3285">
        <f t="shared" si="2"/>
        <v>0</v>
      </c>
      <c r="U6" s="3285">
        <f t="shared" si="2"/>
        <v>0</v>
      </c>
      <c r="V6" s="3285">
        <f t="shared" si="2"/>
        <v>0</v>
      </c>
      <c r="W6" s="3285">
        <f t="shared" si="2"/>
        <v>0</v>
      </c>
      <c r="X6" s="3285">
        <f t="shared" si="2"/>
        <v>0</v>
      </c>
      <c r="Y6" s="3285">
        <f t="shared" si="2"/>
        <v>0</v>
      </c>
      <c r="Z6" s="3285">
        <f t="shared" si="2"/>
        <v>0</v>
      </c>
      <c r="AA6" s="3285">
        <f t="shared" si="2"/>
        <v>0</v>
      </c>
      <c r="AB6" s="3285">
        <f t="shared" si="2"/>
        <v>0</v>
      </c>
      <c r="AC6" s="3288">
        <f>SUMIF(AD$12:AS$12,"总值",AD6:AS6)</f>
        <v>0</v>
      </c>
      <c r="AD6" s="3285">
        <f t="shared" ref="AD6:AS6" si="3">ROUND($A$3*AD5/$B$3,2)</f>
        <v>0</v>
      </c>
      <c r="AE6" s="3285">
        <f t="shared" si="3"/>
        <v>0</v>
      </c>
      <c r="AF6" s="3285">
        <f t="shared" si="3"/>
        <v>0</v>
      </c>
      <c r="AG6" s="3285">
        <f t="shared" si="3"/>
        <v>0</v>
      </c>
      <c r="AH6" s="3285">
        <f t="shared" si="3"/>
        <v>0</v>
      </c>
      <c r="AI6" s="3285">
        <f t="shared" si="3"/>
        <v>0</v>
      </c>
      <c r="AJ6" s="3285">
        <f t="shared" si="3"/>
        <v>0</v>
      </c>
      <c r="AK6" s="3285">
        <f t="shared" si="3"/>
        <v>0</v>
      </c>
      <c r="AL6" s="3285">
        <f t="shared" si="3"/>
        <v>0</v>
      </c>
      <c r="AM6" s="3285">
        <f t="shared" si="3"/>
        <v>0</v>
      </c>
      <c r="AN6" s="3285">
        <f t="shared" si="3"/>
        <v>0</v>
      </c>
      <c r="AO6" s="3285">
        <f t="shared" si="3"/>
        <v>0</v>
      </c>
      <c r="AP6" s="3285">
        <f t="shared" si="3"/>
        <v>0</v>
      </c>
      <c r="AQ6" s="3285">
        <f t="shared" si="3"/>
        <v>0</v>
      </c>
      <c r="AR6" s="3285">
        <f t="shared" si="3"/>
        <v>0</v>
      </c>
      <c r="AS6" s="3285">
        <f t="shared" si="3"/>
        <v>0</v>
      </c>
      <c r="AT6" s="3288">
        <f>IF(C3="是",ROUND($A$3*AT5/$B$3,2),0)</f>
        <v>0</v>
      </c>
      <c r="AU6" s="3330"/>
      <c r="AV6" s="2317" t="s">
        <v>529</v>
      </c>
      <c r="AW6" s="3286"/>
      <c r="AX6" s="3286"/>
      <c r="AY6" s="3346">
        <f>IF(AY3&gt;0,AY3,ROUND($A$3*AZ5/$B$3,2))</f>
        <v>3208.2</v>
      </c>
      <c r="AZ6" s="3285" t="s">
        <v>124</v>
      </c>
      <c r="BA6" s="3285">
        <f>ROUND($AY$6*BA5/$AZ$5,2)</f>
        <v>3208.2</v>
      </c>
      <c r="BB6" s="3285">
        <f>ROUND($AY$6*BB5/$AZ$5,2)</f>
        <v>3208.2</v>
      </c>
      <c r="BC6" s="3285">
        <f t="shared" ref="BC6:BH6" si="4">ROUND($AY$6*BC5/$AZ$5,2)</f>
        <v>0</v>
      </c>
      <c r="BD6" s="3285">
        <f t="shared" si="4"/>
        <v>0</v>
      </c>
      <c r="BE6" s="3285">
        <f t="shared" si="4"/>
        <v>0</v>
      </c>
      <c r="BF6" s="3285">
        <f t="shared" si="4"/>
        <v>0</v>
      </c>
      <c r="BG6" s="3285">
        <f t="shared" si="4"/>
        <v>0</v>
      </c>
      <c r="BH6" s="3285">
        <f t="shared" si="4"/>
        <v>0</v>
      </c>
      <c r="BI6" s="3285">
        <f t="shared" ref="BI6:BT6" si="5">ROUND($AY$6*BI5/$AZ$5,2)</f>
        <v>0</v>
      </c>
      <c r="BJ6" s="3285">
        <f t="shared" si="5"/>
        <v>0</v>
      </c>
      <c r="BK6" s="3285">
        <f t="shared" si="5"/>
        <v>0</v>
      </c>
      <c r="BL6" s="3285">
        <f t="shared" si="5"/>
        <v>0</v>
      </c>
      <c r="BM6" s="3285">
        <f t="shared" si="5"/>
        <v>0</v>
      </c>
      <c r="BN6" s="3285">
        <f t="shared" si="5"/>
        <v>0</v>
      </c>
      <c r="BO6" s="3285">
        <f t="shared" si="5"/>
        <v>0</v>
      </c>
      <c r="BP6" s="3285">
        <f t="shared" si="5"/>
        <v>0</v>
      </c>
      <c r="BQ6" s="3285">
        <f t="shared" si="5"/>
        <v>0</v>
      </c>
      <c r="BR6" s="3285">
        <f t="shared" si="5"/>
        <v>0</v>
      </c>
      <c r="BS6" s="3285">
        <f t="shared" si="5"/>
        <v>0</v>
      </c>
      <c r="BT6" s="3355">
        <f t="shared" si="5"/>
        <v>0</v>
      </c>
    </row>
    <row r="7" s="3270" customFormat="1" ht="25.2" spans="1:72">
      <c r="A7" s="3289" t="s">
        <v>530</v>
      </c>
      <c r="B7" s="3289" t="s">
        <v>531</v>
      </c>
      <c r="C7" s="3289" t="s">
        <v>504</v>
      </c>
      <c r="D7" s="3289" t="s">
        <v>532</v>
      </c>
      <c r="E7" s="3289" t="s">
        <v>529</v>
      </c>
      <c r="F7" s="3289" t="s">
        <v>533</v>
      </c>
      <c r="G7" s="2663" t="s">
        <v>534</v>
      </c>
      <c r="H7" s="3290"/>
      <c r="I7" s="3290"/>
      <c r="J7" s="3290"/>
      <c r="K7" s="3290"/>
      <c r="L7" s="3290"/>
      <c r="M7" s="3290"/>
      <c r="N7" s="3290"/>
      <c r="O7" s="3290"/>
      <c r="P7" s="3290"/>
      <c r="Q7" s="3290"/>
      <c r="R7" s="3290"/>
      <c r="S7" s="3290"/>
      <c r="T7" s="3290"/>
      <c r="U7" s="3290"/>
      <c r="V7" s="3290"/>
      <c r="W7" s="3290"/>
      <c r="X7" s="3290"/>
      <c r="Y7" s="3290"/>
      <c r="Z7" s="3290"/>
      <c r="AA7" s="3290"/>
      <c r="AB7" s="3290"/>
      <c r="AC7" s="3290"/>
      <c r="AD7" s="3290"/>
      <c r="AE7" s="3290"/>
      <c r="AF7" s="3290"/>
      <c r="AG7" s="3290"/>
      <c r="AH7" s="3290"/>
      <c r="AI7" s="3290"/>
      <c r="AJ7" s="3290"/>
      <c r="AK7" s="3290"/>
      <c r="AL7" s="3290"/>
      <c r="AM7" s="3290"/>
      <c r="AN7" s="3290"/>
      <c r="AO7" s="3290"/>
      <c r="AP7" s="3290"/>
      <c r="AQ7" s="3290"/>
      <c r="AR7" s="3290"/>
      <c r="AS7" s="3290"/>
      <c r="AT7" s="2703"/>
      <c r="AU7" s="3290" t="s">
        <v>535</v>
      </c>
      <c r="AV7" s="3331" t="s">
        <v>530</v>
      </c>
      <c r="AW7" s="2689" t="s">
        <v>531</v>
      </c>
      <c r="AX7" s="3331" t="s">
        <v>504</v>
      </c>
      <c r="AY7" s="2550" t="s">
        <v>536</v>
      </c>
      <c r="AZ7" s="3322"/>
      <c r="BA7" s="3290"/>
      <c r="BB7" s="3290"/>
      <c r="BC7" s="3290"/>
      <c r="BD7" s="3290"/>
      <c r="BE7" s="3290"/>
      <c r="BF7" s="3290"/>
      <c r="BG7" s="3290"/>
      <c r="BH7" s="3290"/>
      <c r="BI7" s="3290"/>
      <c r="BJ7" s="3290"/>
      <c r="BK7" s="3290"/>
      <c r="BL7" s="3290"/>
      <c r="BM7" s="3290"/>
      <c r="BN7" s="3290"/>
      <c r="BO7" s="3290"/>
      <c r="BP7" s="3290"/>
      <c r="BQ7" s="3290"/>
      <c r="BR7" s="3290"/>
      <c r="BS7" s="3290"/>
      <c r="BT7" s="3356"/>
    </row>
    <row r="8" s="2981" customFormat="1" ht="24" spans="1:72">
      <c r="A8" s="3291"/>
      <c r="B8" s="3291"/>
      <c r="C8" s="3291"/>
      <c r="D8" s="3291"/>
      <c r="E8" s="3291"/>
      <c r="F8" s="3291"/>
      <c r="G8" s="3292" t="s">
        <v>537</v>
      </c>
      <c r="H8" s="3293" t="s">
        <v>538</v>
      </c>
      <c r="I8" s="3311"/>
      <c r="J8" s="1099"/>
      <c r="K8" s="1099"/>
      <c r="L8" s="1099"/>
      <c r="M8" s="1099"/>
      <c r="N8" s="1099"/>
      <c r="O8" s="1099"/>
      <c r="P8" s="1099"/>
      <c r="Q8" s="1099"/>
      <c r="R8" s="1099"/>
      <c r="S8" s="1099"/>
      <c r="T8" s="1099"/>
      <c r="U8" s="1099"/>
      <c r="V8" s="3318"/>
      <c r="W8" s="1099"/>
      <c r="X8" s="1099"/>
      <c r="Y8" s="1099"/>
      <c r="Z8" s="1099"/>
      <c r="AA8" s="3318"/>
      <c r="AB8" s="3320"/>
      <c r="AC8" s="2468" t="s">
        <v>539</v>
      </c>
      <c r="AD8" s="3321"/>
      <c r="AE8" s="3322"/>
      <c r="AF8" s="1099"/>
      <c r="AG8" s="1099"/>
      <c r="AH8" s="1099"/>
      <c r="AI8" s="1099"/>
      <c r="AJ8" s="1099"/>
      <c r="AK8" s="1099"/>
      <c r="AL8" s="1099"/>
      <c r="AM8" s="1099"/>
      <c r="AN8" s="1099"/>
      <c r="AO8" s="1099"/>
      <c r="AP8" s="1099"/>
      <c r="AQ8" s="1099"/>
      <c r="AR8" s="1099"/>
      <c r="AS8" s="1099"/>
      <c r="AT8" s="2153" t="s">
        <v>540</v>
      </c>
      <c r="AU8" s="3291" t="s">
        <v>541</v>
      </c>
      <c r="AV8" s="2153"/>
      <c r="AW8" s="2637"/>
      <c r="AX8" s="2153"/>
      <c r="AY8" s="2689" t="s">
        <v>529</v>
      </c>
      <c r="AZ8" s="1098" t="s">
        <v>456</v>
      </c>
      <c r="BA8" s="1099"/>
      <c r="BB8" s="1099"/>
      <c r="BC8" s="1099"/>
      <c r="BD8" s="1099"/>
      <c r="BE8" s="1099"/>
      <c r="BF8" s="1099"/>
      <c r="BG8" s="1099"/>
      <c r="BH8" s="1099"/>
      <c r="BI8" s="1099"/>
      <c r="BJ8" s="1099"/>
      <c r="BK8" s="1099"/>
      <c r="BL8" s="1099"/>
      <c r="BM8" s="1099"/>
      <c r="BN8" s="1099"/>
      <c r="BO8" s="1099"/>
      <c r="BP8" s="1099"/>
      <c r="BQ8" s="1099"/>
      <c r="BR8" s="1099"/>
      <c r="BS8" s="1099"/>
      <c r="BT8" s="2202"/>
    </row>
    <row r="9" s="2981" customFormat="1" ht="13.2" spans="1:72">
      <c r="A9" s="3291"/>
      <c r="B9" s="3291"/>
      <c r="C9" s="3291"/>
      <c r="D9" s="3291"/>
      <c r="E9" s="3291"/>
      <c r="F9" s="3291"/>
      <c r="G9" s="2153"/>
      <c r="H9" s="3294" t="s">
        <v>542</v>
      </c>
      <c r="I9" s="3312" t="s">
        <v>543</v>
      </c>
      <c r="J9" s="2468"/>
      <c r="K9" s="3312"/>
      <c r="L9" s="2468"/>
      <c r="M9" s="3312"/>
      <c r="N9" s="2468"/>
      <c r="O9" s="3312"/>
      <c r="P9" s="2468"/>
      <c r="Q9" s="3312"/>
      <c r="R9" s="2468"/>
      <c r="S9" s="3312"/>
      <c r="T9" s="2468"/>
      <c r="U9" s="3312"/>
      <c r="V9" s="2468"/>
      <c r="W9" s="3312"/>
      <c r="X9" s="3319"/>
      <c r="Y9" s="3312"/>
      <c r="Z9" s="2468"/>
      <c r="AA9" s="3312"/>
      <c r="AB9" s="2468"/>
      <c r="AC9" s="3292" t="s">
        <v>542</v>
      </c>
      <c r="AD9" s="2317" t="s">
        <v>544</v>
      </c>
      <c r="AE9" s="2167"/>
      <c r="AF9" s="2317" t="s">
        <v>545</v>
      </c>
      <c r="AG9" s="2167"/>
      <c r="AH9" s="2317" t="s">
        <v>544</v>
      </c>
      <c r="AI9" s="2167"/>
      <c r="AJ9" s="2317" t="s">
        <v>545</v>
      </c>
      <c r="AK9" s="2167"/>
      <c r="AL9" s="2317" t="s">
        <v>544</v>
      </c>
      <c r="AM9" s="2167"/>
      <c r="AN9" s="2317" t="s">
        <v>545</v>
      </c>
      <c r="AO9" s="2167"/>
      <c r="AP9" s="2317" t="s">
        <v>544</v>
      </c>
      <c r="AQ9" s="2167"/>
      <c r="AR9" s="2317" t="s">
        <v>545</v>
      </c>
      <c r="AS9" s="3332"/>
      <c r="AT9" s="3291"/>
      <c r="AU9" s="3291" t="s">
        <v>546</v>
      </c>
      <c r="AV9" s="2153"/>
      <c r="AW9" s="2637"/>
      <c r="AX9" s="2153"/>
      <c r="AY9" s="3295"/>
      <c r="AZ9" s="3295" t="s">
        <v>537</v>
      </c>
      <c r="BA9" s="3347" t="s">
        <v>547</v>
      </c>
      <c r="BB9" s="3348"/>
      <c r="BC9" s="2214"/>
      <c r="BD9" s="2214"/>
      <c r="BE9" s="2214"/>
      <c r="BF9" s="2214"/>
      <c r="BG9" s="2214"/>
      <c r="BH9" s="2214"/>
      <c r="BI9" s="2214"/>
      <c r="BJ9" s="2214"/>
      <c r="BK9" s="3353"/>
      <c r="BL9" s="2317" t="s">
        <v>548</v>
      </c>
      <c r="BM9" s="1099"/>
      <c r="BN9" s="3311"/>
      <c r="BO9" s="1099"/>
      <c r="BP9" s="1099"/>
      <c r="BQ9" s="1099"/>
      <c r="BR9" s="1099"/>
      <c r="BS9" s="1099"/>
      <c r="BT9" s="2202"/>
    </row>
    <row r="10" s="2981" customFormat="1" ht="13.2" spans="1:72">
      <c r="A10" s="3291"/>
      <c r="B10" s="3291"/>
      <c r="C10" s="3291"/>
      <c r="D10" s="3291"/>
      <c r="E10" s="3291"/>
      <c r="F10" s="3291"/>
      <c r="G10" s="2153"/>
      <c r="H10" s="3295"/>
      <c r="I10" s="3312" t="s">
        <v>549</v>
      </c>
      <c r="J10" s="2468"/>
      <c r="K10" s="3313"/>
      <c r="L10" s="2468"/>
      <c r="M10" s="3313"/>
      <c r="N10" s="2468"/>
      <c r="O10" s="3313"/>
      <c r="P10" s="2468"/>
      <c r="Q10" s="3313"/>
      <c r="R10" s="2468"/>
      <c r="S10" s="3313"/>
      <c r="T10" s="2468"/>
      <c r="U10" s="3313"/>
      <c r="V10" s="2468"/>
      <c r="W10" s="3313"/>
      <c r="X10" s="2468"/>
      <c r="Y10" s="3313"/>
      <c r="Z10" s="2468"/>
      <c r="AA10" s="3313"/>
      <c r="AB10" s="2468"/>
      <c r="AC10" s="2153"/>
      <c r="AD10" s="2317" t="s">
        <v>550</v>
      </c>
      <c r="AE10" s="3323"/>
      <c r="AF10" s="2317" t="s">
        <v>550</v>
      </c>
      <c r="AG10" s="3323"/>
      <c r="AH10" s="2317" t="s">
        <v>551</v>
      </c>
      <c r="AI10" s="3323"/>
      <c r="AJ10" s="2317" t="s">
        <v>551</v>
      </c>
      <c r="AK10" s="3323"/>
      <c r="AL10" s="2317" t="s">
        <v>552</v>
      </c>
      <c r="AM10" s="2167"/>
      <c r="AN10" s="2317" t="s">
        <v>552</v>
      </c>
      <c r="AO10" s="2167"/>
      <c r="AP10" s="2317" t="s">
        <v>553</v>
      </c>
      <c r="AQ10" s="2167"/>
      <c r="AR10" s="2317" t="s">
        <v>553</v>
      </c>
      <c r="AS10" s="2167"/>
      <c r="AT10" s="3291"/>
      <c r="AU10" s="3291"/>
      <c r="AV10" s="2153"/>
      <c r="AW10" s="2637"/>
      <c r="AX10" s="2153"/>
      <c r="AY10" s="3295"/>
      <c r="AZ10" s="3295"/>
      <c r="BA10" s="3296" t="s">
        <v>542</v>
      </c>
      <c r="BB10" s="3349" t="str">
        <f>I9</f>
        <v>地上</v>
      </c>
      <c r="BC10" s="2226">
        <f>K9</f>
        <v>0</v>
      </c>
      <c r="BD10" s="2226">
        <f>M9</f>
        <v>0</v>
      </c>
      <c r="BE10" s="2226">
        <f>O9</f>
        <v>0</v>
      </c>
      <c r="BF10" s="2226">
        <f>Q9</f>
        <v>0</v>
      </c>
      <c r="BG10" s="2226">
        <f>S9</f>
        <v>0</v>
      </c>
      <c r="BH10" s="2226">
        <f>U9</f>
        <v>0</v>
      </c>
      <c r="BI10" s="2226">
        <f>W9</f>
        <v>0</v>
      </c>
      <c r="BJ10" s="2226">
        <f>Y9</f>
        <v>0</v>
      </c>
      <c r="BK10" s="2226">
        <f>AA9</f>
        <v>0</v>
      </c>
      <c r="BL10" s="2222" t="s">
        <v>542</v>
      </c>
      <c r="BM10" s="1098" t="str">
        <f>AD9</f>
        <v>地上</v>
      </c>
      <c r="BN10" s="2226" t="str">
        <f>AF9</f>
        <v>地下</v>
      </c>
      <c r="BO10" s="1098" t="str">
        <f>AH9</f>
        <v>地上</v>
      </c>
      <c r="BP10" s="2226" t="str">
        <f>AJ9</f>
        <v>地下</v>
      </c>
      <c r="BQ10" s="1098" t="str">
        <f>AL9</f>
        <v>地上</v>
      </c>
      <c r="BR10" s="2226" t="str">
        <f>AN9</f>
        <v>地下</v>
      </c>
      <c r="BS10" s="1098" t="str">
        <f>AP9</f>
        <v>地上</v>
      </c>
      <c r="BT10" s="3357" t="str">
        <f>AR9</f>
        <v>地下</v>
      </c>
    </row>
    <row r="11" s="2981" customFormat="1" ht="13.2" spans="1:72">
      <c r="A11" s="3291"/>
      <c r="B11" s="3291"/>
      <c r="C11" s="3291"/>
      <c r="D11" s="3291"/>
      <c r="E11" s="3291"/>
      <c r="F11" s="3291"/>
      <c r="G11" s="2153"/>
      <c r="H11" s="3296"/>
      <c r="I11" s="3314"/>
      <c r="J11" s="3315"/>
      <c r="K11" s="3314"/>
      <c r="L11" s="3315"/>
      <c r="M11" s="3314"/>
      <c r="N11" s="3315"/>
      <c r="O11" s="3314"/>
      <c r="P11" s="3315"/>
      <c r="Q11" s="3314"/>
      <c r="R11" s="3315"/>
      <c r="S11" s="3314"/>
      <c r="T11" s="3315"/>
      <c r="U11" s="3314"/>
      <c r="V11" s="3315"/>
      <c r="W11" s="3314"/>
      <c r="X11" s="3315"/>
      <c r="Y11" s="3314"/>
      <c r="Z11" s="3315"/>
      <c r="AA11" s="3314"/>
      <c r="AB11" s="3315"/>
      <c r="AC11" s="2153"/>
      <c r="AD11" s="3324" t="s">
        <v>554</v>
      </c>
      <c r="AE11" s="1156"/>
      <c r="AF11" s="3324" t="s">
        <v>554</v>
      </c>
      <c r="AG11" s="1156"/>
      <c r="AH11" s="3324" t="s">
        <v>555</v>
      </c>
      <c r="AI11" s="3328"/>
      <c r="AJ11" s="3324" t="s">
        <v>555</v>
      </c>
      <c r="AK11" s="1156"/>
      <c r="AL11" s="1098"/>
      <c r="AM11" s="1156"/>
      <c r="AN11" s="1098"/>
      <c r="AO11" s="1156"/>
      <c r="AP11" s="1098"/>
      <c r="AQ11" s="1156"/>
      <c r="AR11" s="1098"/>
      <c r="AS11" s="1156"/>
      <c r="AT11" s="2637"/>
      <c r="AU11" s="3291"/>
      <c r="AV11" s="2153"/>
      <c r="AW11" s="2637"/>
      <c r="AX11" s="2153"/>
      <c r="AY11" s="3295"/>
      <c r="AZ11" s="3295"/>
      <c r="BA11" s="3295"/>
      <c r="BB11" s="3320" t="str">
        <f>I10</f>
        <v>办公</v>
      </c>
      <c r="BC11" s="3320">
        <f>K10</f>
        <v>0</v>
      </c>
      <c r="BD11" s="3320">
        <f>M10</f>
        <v>0</v>
      </c>
      <c r="BE11" s="3320">
        <f>O10</f>
        <v>0</v>
      </c>
      <c r="BF11" s="3320">
        <f>Q10</f>
        <v>0</v>
      </c>
      <c r="BG11" s="3320">
        <f>S10</f>
        <v>0</v>
      </c>
      <c r="BH11" s="3320">
        <f>U10</f>
        <v>0</v>
      </c>
      <c r="BI11" s="3320">
        <f>W10</f>
        <v>0</v>
      </c>
      <c r="BJ11" s="3320">
        <f>Y10</f>
        <v>0</v>
      </c>
      <c r="BK11" s="3320">
        <f>AA10</f>
        <v>0</v>
      </c>
      <c r="BL11" s="2153"/>
      <c r="BM11" s="1098" t="str">
        <f>AD10</f>
        <v>公共配套设施</v>
      </c>
      <c r="BN11" s="1098" t="str">
        <f>AF10</f>
        <v>公共配套设施</v>
      </c>
      <c r="BO11" s="1097" t="str">
        <f>AH10</f>
        <v>物业管理用房</v>
      </c>
      <c r="BP11" s="1097" t="str">
        <f>AJ10</f>
        <v>物业管理用房</v>
      </c>
      <c r="BQ11" s="1097" t="str">
        <f>AL10</f>
        <v>设备及其他</v>
      </c>
      <c r="BR11" s="1097" t="str">
        <f>AN10</f>
        <v>设备及其他</v>
      </c>
      <c r="BS11" s="2222" t="str">
        <f>AP10</f>
        <v>未注明</v>
      </c>
      <c r="BT11" s="3358" t="str">
        <f>AR10</f>
        <v>未注明</v>
      </c>
    </row>
    <row r="12" s="3270" customFormat="1" ht="13.2" spans="1:72">
      <c r="A12" s="3297"/>
      <c r="B12" s="3297"/>
      <c r="C12" s="3297"/>
      <c r="D12" s="3297"/>
      <c r="E12" s="3297"/>
      <c r="F12" s="3297"/>
      <c r="G12" s="683"/>
      <c r="H12" s="3298"/>
      <c r="I12" s="2703" t="s">
        <v>556</v>
      </c>
      <c r="J12" s="1100" t="s">
        <v>557</v>
      </c>
      <c r="K12" s="1100" t="s">
        <v>556</v>
      </c>
      <c r="L12" s="1100" t="s">
        <v>557</v>
      </c>
      <c r="M12" s="1100" t="s">
        <v>556</v>
      </c>
      <c r="N12" s="1100" t="s">
        <v>557</v>
      </c>
      <c r="O12" s="1100" t="s">
        <v>556</v>
      </c>
      <c r="P12" s="1100" t="s">
        <v>557</v>
      </c>
      <c r="Q12" s="1100" t="s">
        <v>556</v>
      </c>
      <c r="R12" s="1100" t="s">
        <v>557</v>
      </c>
      <c r="S12" s="1100" t="s">
        <v>556</v>
      </c>
      <c r="T12" s="1100" t="s">
        <v>557</v>
      </c>
      <c r="U12" s="1100" t="s">
        <v>556</v>
      </c>
      <c r="V12" s="2549" t="s">
        <v>557</v>
      </c>
      <c r="W12" s="1100" t="s">
        <v>556</v>
      </c>
      <c r="X12" s="1100" t="s">
        <v>557</v>
      </c>
      <c r="Y12" s="1100" t="s">
        <v>556</v>
      </c>
      <c r="Z12" s="1100" t="s">
        <v>557</v>
      </c>
      <c r="AA12" s="1100" t="s">
        <v>556</v>
      </c>
      <c r="AB12" s="1100" t="s">
        <v>557</v>
      </c>
      <c r="AC12" s="3325"/>
      <c r="AD12" s="2703" t="s">
        <v>556</v>
      </c>
      <c r="AE12" s="1100" t="s">
        <v>557</v>
      </c>
      <c r="AF12" s="1100" t="s">
        <v>556</v>
      </c>
      <c r="AG12" s="1100" t="s">
        <v>557</v>
      </c>
      <c r="AH12" s="1100" t="s">
        <v>556</v>
      </c>
      <c r="AI12" s="1100" t="s">
        <v>557</v>
      </c>
      <c r="AJ12" s="1100" t="s">
        <v>556</v>
      </c>
      <c r="AK12" s="1100" t="s">
        <v>557</v>
      </c>
      <c r="AL12" s="1100" t="s">
        <v>556</v>
      </c>
      <c r="AM12" s="1100" t="s">
        <v>557</v>
      </c>
      <c r="AN12" s="1100" t="s">
        <v>556</v>
      </c>
      <c r="AO12" s="1100" t="s">
        <v>557</v>
      </c>
      <c r="AP12" s="1100" t="s">
        <v>556</v>
      </c>
      <c r="AQ12" s="1100" t="s">
        <v>557</v>
      </c>
      <c r="AR12" s="683" t="s">
        <v>556</v>
      </c>
      <c r="AS12" s="3297" t="s">
        <v>557</v>
      </c>
      <c r="AT12" s="3333"/>
      <c r="AU12" s="3297"/>
      <c r="AV12" s="3334"/>
      <c r="AW12" s="2689"/>
      <c r="AX12" s="3334"/>
      <c r="AY12" s="3350"/>
      <c r="AZ12" s="3295"/>
      <c r="BA12" s="3296"/>
      <c r="BB12" s="1097">
        <f>I11</f>
        <v>0</v>
      </c>
      <c r="BC12" s="3351">
        <f>K11</f>
        <v>0</v>
      </c>
      <c r="BD12" s="3351">
        <f>M11</f>
        <v>0</v>
      </c>
      <c r="BE12" s="3320">
        <f>O11</f>
        <v>0</v>
      </c>
      <c r="BF12" s="3320">
        <f>Q11</f>
        <v>0</v>
      </c>
      <c r="BG12" s="3320">
        <f>S11</f>
        <v>0</v>
      </c>
      <c r="BH12" s="3320">
        <f>U11</f>
        <v>0</v>
      </c>
      <c r="BI12" s="3320">
        <f>W11</f>
        <v>0</v>
      </c>
      <c r="BJ12" s="3320">
        <f>Y11</f>
        <v>0</v>
      </c>
      <c r="BK12" s="3320">
        <f>AA11</f>
        <v>0</v>
      </c>
      <c r="BL12" s="2153"/>
      <c r="BM12" s="1098" t="str">
        <f>AD11</f>
        <v>（住宅）</v>
      </c>
      <c r="BN12" s="1098" t="str">
        <f>AF11</f>
        <v>（住宅）</v>
      </c>
      <c r="BO12" s="1097" t="str">
        <f>AH11</f>
        <v>（住宅、计出让金）</v>
      </c>
      <c r="BP12" s="1097" t="str">
        <f>AJ11</f>
        <v>（住宅、计出让金）</v>
      </c>
      <c r="BQ12" s="1097">
        <f>AL11</f>
        <v>0</v>
      </c>
      <c r="BR12" s="1097">
        <f>AN11</f>
        <v>0</v>
      </c>
      <c r="BS12" s="2222">
        <f>AP11</f>
        <v>0</v>
      </c>
      <c r="BT12" s="3358">
        <f>AR11</f>
        <v>0</v>
      </c>
    </row>
    <row r="13" s="3270" customFormat="1" ht="13.2" spans="1:72">
      <c r="A13" s="3299"/>
      <c r="B13" s="3299"/>
      <c r="C13" s="3299"/>
      <c r="D13" s="3300" t="s">
        <v>558</v>
      </c>
      <c r="E13" s="3285">
        <f>IF($C$3="是",ROUND($A$3*G13/$B$3,2),ROUND($A$3*(G13-AT13)/$B$3,2))</f>
        <v>3208.2</v>
      </c>
      <c r="F13" s="3301"/>
      <c r="G13" s="3302">
        <f>H13+AC13+AT13</f>
        <v>10109.15</v>
      </c>
      <c r="H13" s="3288">
        <f>SUMIF(I$12:AB$12,"总值",I13:AB13)</f>
        <v>10109.15</v>
      </c>
      <c r="I13" s="3316">
        <v>10109.15</v>
      </c>
      <c r="J13" s="3316"/>
      <c r="K13" s="3316"/>
      <c r="L13" s="3316"/>
      <c r="M13" s="3316"/>
      <c r="N13" s="3316"/>
      <c r="O13" s="3316"/>
      <c r="P13" s="3316"/>
      <c r="Q13" s="3316"/>
      <c r="R13" s="3316"/>
      <c r="S13" s="3316"/>
      <c r="T13" s="3316"/>
      <c r="U13" s="3316"/>
      <c r="V13" s="3316"/>
      <c r="W13" s="3316"/>
      <c r="X13" s="3316"/>
      <c r="Y13" s="3316"/>
      <c r="Z13" s="3316"/>
      <c r="AA13" s="3316"/>
      <c r="AB13" s="3316"/>
      <c r="AC13" s="3285">
        <f>SUMIF(AD$12:AS$12,"总值",AD13:AS13)</f>
        <v>0</v>
      </c>
      <c r="AD13" s="3326"/>
      <c r="AE13" s="3326"/>
      <c r="AF13" s="3326"/>
      <c r="AG13" s="3326"/>
      <c r="AH13" s="3326"/>
      <c r="AI13" s="3326"/>
      <c r="AJ13" s="3326"/>
      <c r="AK13" s="3326"/>
      <c r="AL13" s="3326"/>
      <c r="AM13" s="3326"/>
      <c r="AN13" s="3326"/>
      <c r="AO13" s="3326"/>
      <c r="AP13" s="3326"/>
      <c r="AQ13" s="3326"/>
      <c r="AR13" s="3326"/>
      <c r="AS13" s="3326"/>
      <c r="AT13" s="3335"/>
      <c r="AU13" s="3336"/>
      <c r="AV13" s="1100">
        <f t="shared" ref="AV13:AX17" si="6">A13</f>
        <v>0</v>
      </c>
      <c r="AW13" s="1100">
        <f t="shared" si="6"/>
        <v>0</v>
      </c>
      <c r="AX13" s="1100">
        <f t="shared" si="6"/>
        <v>0</v>
      </c>
      <c r="AY13" s="2703">
        <f>ROUND($AY$6*AZ13/$AZ$5,2)</f>
        <v>3208.2</v>
      </c>
      <c r="AZ13" s="3285">
        <f>BA13+BL13</f>
        <v>10109.15</v>
      </c>
      <c r="BA13" s="3285">
        <f>SUM(BB13:BK13)</f>
        <v>10109.15</v>
      </c>
      <c r="BB13" s="3285">
        <f>IF($D13="是",I13-J13,0)</f>
        <v>10109.15</v>
      </c>
      <c r="BC13" s="3285">
        <f>IF($D13="是",K13-L13,0)</f>
        <v>0</v>
      </c>
      <c r="BD13" s="3285">
        <f>IF($D13="是",M13-N13,0)</f>
        <v>0</v>
      </c>
      <c r="BE13" s="3285">
        <f>IF($D13="是",O13-P13,0)</f>
        <v>0</v>
      </c>
      <c r="BF13" s="3285">
        <f>IF($D13="是",Q13-R13,0)</f>
        <v>0</v>
      </c>
      <c r="BG13" s="3285">
        <f>IF($D13="是",S13-T13,0)</f>
        <v>0</v>
      </c>
      <c r="BH13" s="3285">
        <f>IF($D13="是",U13-V13,0)</f>
        <v>0</v>
      </c>
      <c r="BI13" s="3285">
        <f>IF($D13="是",W13-X13,0)</f>
        <v>0</v>
      </c>
      <c r="BJ13" s="3285">
        <f>IF($D13="是",Y13-Z13,0)</f>
        <v>0</v>
      </c>
      <c r="BK13" s="3285">
        <f>IF($D13="是",AA13-AB13,0)</f>
        <v>0</v>
      </c>
      <c r="BL13" s="3285">
        <f>SUM(BM13:BT13)</f>
        <v>0</v>
      </c>
      <c r="BM13" s="3285">
        <f>IF($D13="是",AD13-AE13,0)</f>
        <v>0</v>
      </c>
      <c r="BN13" s="3285">
        <f>IF($D13="是",AF13-AG13,0)</f>
        <v>0</v>
      </c>
      <c r="BO13" s="3285">
        <f>IF($D13="是",AH13-AI13,0)</f>
        <v>0</v>
      </c>
      <c r="BP13" s="3285">
        <f>IF($D13="是",AJ13-AK13,0)</f>
        <v>0</v>
      </c>
      <c r="BQ13" s="3285">
        <f>IF($D13="是",AL13-AM13,0)</f>
        <v>0</v>
      </c>
      <c r="BR13" s="3285">
        <f>IF($D13="是",AN13-AO13,0)</f>
        <v>0</v>
      </c>
      <c r="BS13" s="3285">
        <f>IF($D13="是",AP13-AQ13,0)</f>
        <v>0</v>
      </c>
      <c r="BT13" s="3355">
        <f>IF($D13="是",AR13-AS13,0)</f>
        <v>0</v>
      </c>
    </row>
    <row r="14" s="3270" customFormat="1" ht="13.2" spans="1:72">
      <c r="A14" s="3299"/>
      <c r="B14" s="3299"/>
      <c r="C14" s="3303"/>
      <c r="D14" s="3300"/>
      <c r="E14" s="3285">
        <f>IF($C$3="是",ROUND($A$3*G14/$B$3,2),ROUND($A$3*(G14-AT14)/$B$3,2))</f>
        <v>0</v>
      </c>
      <c r="F14" s="3301"/>
      <c r="G14" s="3302">
        <f>H14+AC14+AT14</f>
        <v>0</v>
      </c>
      <c r="H14" s="3288">
        <f>SUMIF(I$12:AB$12,"总值",I14:AB14)</f>
        <v>0</v>
      </c>
      <c r="I14" s="3316"/>
      <c r="J14" s="3316"/>
      <c r="K14" s="3316"/>
      <c r="L14" s="3316"/>
      <c r="M14" s="3316"/>
      <c r="N14" s="3316"/>
      <c r="O14" s="3316"/>
      <c r="P14" s="3316"/>
      <c r="Q14" s="3316"/>
      <c r="R14" s="3316"/>
      <c r="S14" s="3316"/>
      <c r="T14" s="3316"/>
      <c r="U14" s="3316"/>
      <c r="V14" s="3316"/>
      <c r="W14" s="3316"/>
      <c r="X14" s="3316"/>
      <c r="Y14" s="3316"/>
      <c r="Z14" s="3316"/>
      <c r="AA14" s="3316"/>
      <c r="AB14" s="3316"/>
      <c r="AC14" s="3285">
        <f>SUMIF(AD$12:AS$12,"总值",AD14:AS14)</f>
        <v>0</v>
      </c>
      <c r="AD14" s="3326"/>
      <c r="AE14" s="3326"/>
      <c r="AF14" s="3326"/>
      <c r="AG14" s="3326"/>
      <c r="AH14" s="3326"/>
      <c r="AI14" s="3326"/>
      <c r="AJ14" s="3326"/>
      <c r="AK14" s="3326"/>
      <c r="AL14" s="3326"/>
      <c r="AM14" s="3326"/>
      <c r="AN14" s="3326"/>
      <c r="AO14" s="3326"/>
      <c r="AP14" s="3326"/>
      <c r="AQ14" s="3326"/>
      <c r="AR14" s="3326"/>
      <c r="AS14" s="3326"/>
      <c r="AT14" s="3335"/>
      <c r="AU14" s="3336"/>
      <c r="AV14" s="1100">
        <f t="shared" si="6"/>
        <v>0</v>
      </c>
      <c r="AW14" s="1100">
        <f t="shared" si="6"/>
        <v>0</v>
      </c>
      <c r="AX14" s="1100">
        <f t="shared" si="6"/>
        <v>0</v>
      </c>
      <c r="AY14" s="2703">
        <f>ROUND($AY$6*AZ14/$AZ$5,2)</f>
        <v>0</v>
      </c>
      <c r="AZ14" s="3285">
        <f>BA14+BL14</f>
        <v>0</v>
      </c>
      <c r="BA14" s="3285">
        <f>SUM(BB14:BK14)</f>
        <v>0</v>
      </c>
      <c r="BB14" s="3285">
        <f>IF($D14="是",I14-J14,0)</f>
        <v>0</v>
      </c>
      <c r="BC14" s="3285">
        <f>IF($D14="是",K14-L14,0)</f>
        <v>0</v>
      </c>
      <c r="BD14" s="3285">
        <f>IF($D14="是",M14-N14,0)</f>
        <v>0</v>
      </c>
      <c r="BE14" s="3285">
        <f>IF($D14="是",O14-P14,0)</f>
        <v>0</v>
      </c>
      <c r="BF14" s="3285">
        <f>IF($D14="是",Q14-R14,0)</f>
        <v>0</v>
      </c>
      <c r="BG14" s="3285">
        <f>IF($D14="是",S14-T14,0)</f>
        <v>0</v>
      </c>
      <c r="BH14" s="3285">
        <f>IF($D14="是",U14-V14,0)</f>
        <v>0</v>
      </c>
      <c r="BI14" s="3285">
        <f>IF($D14="是",W14-X14,0)</f>
        <v>0</v>
      </c>
      <c r="BJ14" s="3285">
        <f>IF($D14="是",Y14-Z14,0)</f>
        <v>0</v>
      </c>
      <c r="BK14" s="3285">
        <f>IF($D14="是",AA14-AB14,0)</f>
        <v>0</v>
      </c>
      <c r="BL14" s="3285">
        <f>SUM(BM14:BT14)</f>
        <v>0</v>
      </c>
      <c r="BM14" s="3285">
        <f>IF($D14="是",AD14-AE14,0)</f>
        <v>0</v>
      </c>
      <c r="BN14" s="3285">
        <f>IF($D14="是",AF14-AG14,0)</f>
        <v>0</v>
      </c>
      <c r="BO14" s="3285">
        <f>IF($D14="是",AH14-AI14,0)</f>
        <v>0</v>
      </c>
      <c r="BP14" s="3285">
        <f>IF($D14="是",AJ14-AK14,0)</f>
        <v>0</v>
      </c>
      <c r="BQ14" s="3285">
        <f>IF($D14="是",AL14-AM14,0)</f>
        <v>0</v>
      </c>
      <c r="BR14" s="3285">
        <f>IF($D14="是",AN14-AO14,0)</f>
        <v>0</v>
      </c>
      <c r="BS14" s="3285">
        <f>IF($D14="是",AP14-AQ14,0)</f>
        <v>0</v>
      </c>
      <c r="BT14" s="3355">
        <f>IF($D14="是",AR14-AS14,0)</f>
        <v>0</v>
      </c>
    </row>
    <row r="15" s="3270" customFormat="1" ht="13.2" spans="1:72">
      <c r="A15" s="3299"/>
      <c r="B15" s="3299"/>
      <c r="C15" s="3303"/>
      <c r="D15" s="3300"/>
      <c r="E15" s="3285">
        <f>IF($C$3="是",ROUND($A$3*G15/$B$3,2),ROUND($A$3*(G15-AT15)/$B$3,2))</f>
        <v>0</v>
      </c>
      <c r="F15" s="3301"/>
      <c r="G15" s="3302">
        <f>H15+AC15+AT15</f>
        <v>0</v>
      </c>
      <c r="H15" s="3288">
        <f>SUMIF(I$12:AB$12,"总值",I15:AB15)</f>
        <v>0</v>
      </c>
      <c r="I15" s="3316"/>
      <c r="J15" s="3316"/>
      <c r="K15" s="3316"/>
      <c r="L15" s="3316"/>
      <c r="M15" s="3316"/>
      <c r="N15" s="3316"/>
      <c r="O15" s="3316"/>
      <c r="P15" s="3316"/>
      <c r="Q15" s="3316"/>
      <c r="R15" s="3316"/>
      <c r="S15" s="3316"/>
      <c r="T15" s="3316"/>
      <c r="U15" s="3316"/>
      <c r="V15" s="3316"/>
      <c r="W15" s="3316"/>
      <c r="X15" s="3316"/>
      <c r="Y15" s="3316"/>
      <c r="Z15" s="3316"/>
      <c r="AA15" s="3316"/>
      <c r="AB15" s="3316"/>
      <c r="AC15" s="3285">
        <f>SUMIF(AD$12:AS$12,"总值",AD15:AS15)</f>
        <v>0</v>
      </c>
      <c r="AD15" s="3326"/>
      <c r="AE15" s="3326"/>
      <c r="AF15" s="3326"/>
      <c r="AG15" s="3326"/>
      <c r="AH15" s="3326"/>
      <c r="AI15" s="3326"/>
      <c r="AJ15" s="3326"/>
      <c r="AK15" s="3326"/>
      <c r="AL15" s="3326"/>
      <c r="AM15" s="3326"/>
      <c r="AN15" s="3326"/>
      <c r="AO15" s="3326"/>
      <c r="AP15" s="3326"/>
      <c r="AQ15" s="3326"/>
      <c r="AR15" s="3326"/>
      <c r="AS15" s="3326"/>
      <c r="AT15" s="3335"/>
      <c r="AU15" s="3336"/>
      <c r="AV15" s="1100">
        <f t="shared" si="6"/>
        <v>0</v>
      </c>
      <c r="AW15" s="1100">
        <f t="shared" si="6"/>
        <v>0</v>
      </c>
      <c r="AX15" s="1100">
        <f t="shared" si="6"/>
        <v>0</v>
      </c>
      <c r="AY15" s="2703">
        <f>ROUND($AY$6*AZ15/$AZ$5,2)</f>
        <v>0</v>
      </c>
      <c r="AZ15" s="3285">
        <f>BA15+BL15</f>
        <v>0</v>
      </c>
      <c r="BA15" s="3285">
        <f>SUM(BB15:BK15)</f>
        <v>0</v>
      </c>
      <c r="BB15" s="3285">
        <f>IF($D15="是",I15-J15,0)</f>
        <v>0</v>
      </c>
      <c r="BC15" s="3285">
        <f>IF($D15="是",K15-L15,0)</f>
        <v>0</v>
      </c>
      <c r="BD15" s="3285">
        <f>IF($D15="是",M15-N15,0)</f>
        <v>0</v>
      </c>
      <c r="BE15" s="3285">
        <f>IF($D15="是",O15-P15,0)</f>
        <v>0</v>
      </c>
      <c r="BF15" s="3285">
        <f>IF($D15="是",Q15-R15,0)</f>
        <v>0</v>
      </c>
      <c r="BG15" s="3285">
        <f>IF($D15="是",S15-T15,0)</f>
        <v>0</v>
      </c>
      <c r="BH15" s="3285">
        <f>IF($D15="是",U15-V15,0)</f>
        <v>0</v>
      </c>
      <c r="BI15" s="3285">
        <f>IF($D15="是",W15-X15,0)</f>
        <v>0</v>
      </c>
      <c r="BJ15" s="3285">
        <f>IF($D15="是",Y15-Z15,0)</f>
        <v>0</v>
      </c>
      <c r="BK15" s="3285">
        <f>IF($D15="是",AA15-AB15,0)</f>
        <v>0</v>
      </c>
      <c r="BL15" s="3285">
        <f>SUM(BM15:BT15)</f>
        <v>0</v>
      </c>
      <c r="BM15" s="3285">
        <f>IF($D15="是",AD15-AE15,0)</f>
        <v>0</v>
      </c>
      <c r="BN15" s="3285">
        <f>IF($D15="是",AF15-AG15,0)</f>
        <v>0</v>
      </c>
      <c r="BO15" s="3285">
        <f>IF($D15="是",AH15-AI15,0)</f>
        <v>0</v>
      </c>
      <c r="BP15" s="3285">
        <f>IF($D15="是",AJ15-AK15,0)</f>
        <v>0</v>
      </c>
      <c r="BQ15" s="3285">
        <f>IF($D15="是",AL15-AM15,0)</f>
        <v>0</v>
      </c>
      <c r="BR15" s="3285">
        <f>IF($D15="是",AN15-AO15,0)</f>
        <v>0</v>
      </c>
      <c r="BS15" s="3285">
        <f>IF($D15="是",AP15-AQ15,0)</f>
        <v>0</v>
      </c>
      <c r="BT15" s="3355">
        <f>IF($D15="是",AR15-AS15,0)</f>
        <v>0</v>
      </c>
    </row>
    <row r="16" s="3270" customFormat="1" ht="13.2" spans="1:72">
      <c r="A16" s="3299"/>
      <c r="B16" s="3299"/>
      <c r="C16" s="3303"/>
      <c r="D16" s="3300"/>
      <c r="E16" s="3285">
        <f>IF($C$3="是",ROUND($A$3*G16/$B$3,2),ROUND($A$3*(G16-AT16)/$B$3,2))</f>
        <v>0</v>
      </c>
      <c r="F16" s="3301"/>
      <c r="G16" s="3302">
        <f>H16+AC16+AT16</f>
        <v>0</v>
      </c>
      <c r="H16" s="3288">
        <f>SUMIF(I$12:AB$12,"总值",I16:AB16)</f>
        <v>0</v>
      </c>
      <c r="I16" s="3316"/>
      <c r="J16" s="3316"/>
      <c r="K16" s="3316"/>
      <c r="L16" s="3316"/>
      <c r="M16" s="3316"/>
      <c r="N16" s="3316"/>
      <c r="O16" s="3316"/>
      <c r="P16" s="3316"/>
      <c r="Q16" s="3316"/>
      <c r="R16" s="3316"/>
      <c r="S16" s="3316"/>
      <c r="T16" s="3316"/>
      <c r="U16" s="3316"/>
      <c r="V16" s="3316"/>
      <c r="W16" s="3316"/>
      <c r="X16" s="3316"/>
      <c r="Y16" s="3316"/>
      <c r="Z16" s="3316"/>
      <c r="AA16" s="3316"/>
      <c r="AB16" s="3316"/>
      <c r="AC16" s="3285">
        <f>SUMIF(AD$12:AS$12,"总值",AD16:AS16)</f>
        <v>0</v>
      </c>
      <c r="AD16" s="3326"/>
      <c r="AE16" s="3326"/>
      <c r="AF16" s="3326"/>
      <c r="AG16" s="3326"/>
      <c r="AH16" s="3326"/>
      <c r="AI16" s="3326"/>
      <c r="AJ16" s="3326"/>
      <c r="AK16" s="3326"/>
      <c r="AL16" s="3326"/>
      <c r="AM16" s="3326"/>
      <c r="AN16" s="3326"/>
      <c r="AO16" s="3326"/>
      <c r="AP16" s="3326"/>
      <c r="AQ16" s="3326"/>
      <c r="AR16" s="3326"/>
      <c r="AS16" s="3326"/>
      <c r="AT16" s="3335"/>
      <c r="AU16" s="3336"/>
      <c r="AV16" s="1100">
        <f t="shared" si="6"/>
        <v>0</v>
      </c>
      <c r="AW16" s="1100">
        <f t="shared" si="6"/>
        <v>0</v>
      </c>
      <c r="AX16" s="1100">
        <f t="shared" si="6"/>
        <v>0</v>
      </c>
      <c r="AY16" s="2703">
        <f>ROUND($AY$6*AZ16/$AZ$5,2)</f>
        <v>0</v>
      </c>
      <c r="AZ16" s="3285">
        <f>BA16+BL16</f>
        <v>0</v>
      </c>
      <c r="BA16" s="3285">
        <f>SUM(BB16:BK16)</f>
        <v>0</v>
      </c>
      <c r="BB16" s="3285">
        <f>IF($D16="是",I16-J16,0)</f>
        <v>0</v>
      </c>
      <c r="BC16" s="3285">
        <f>IF($D16="是",K16-L16,0)</f>
        <v>0</v>
      </c>
      <c r="BD16" s="3285">
        <f>IF($D16="是",M16-N16,0)</f>
        <v>0</v>
      </c>
      <c r="BE16" s="3285">
        <f>IF($D16="是",O16-P16,0)</f>
        <v>0</v>
      </c>
      <c r="BF16" s="3285">
        <f>IF($D16="是",Q16-R16,0)</f>
        <v>0</v>
      </c>
      <c r="BG16" s="3285">
        <f>IF($D16="是",S16-T16,0)</f>
        <v>0</v>
      </c>
      <c r="BH16" s="3285">
        <f>IF($D16="是",U16-V16,0)</f>
        <v>0</v>
      </c>
      <c r="BI16" s="3285">
        <f>IF($D16="是",W16-X16,0)</f>
        <v>0</v>
      </c>
      <c r="BJ16" s="3285">
        <f>IF($D16="是",Y16-Z16,0)</f>
        <v>0</v>
      </c>
      <c r="BK16" s="3285">
        <f>IF($D16="是",AA16-AB16,0)</f>
        <v>0</v>
      </c>
      <c r="BL16" s="3285">
        <f>SUM(BM16:BT16)</f>
        <v>0</v>
      </c>
      <c r="BM16" s="3285">
        <f>IF($D16="是",AD16-AE16,0)</f>
        <v>0</v>
      </c>
      <c r="BN16" s="3285">
        <f>IF($D16="是",AF16-AG16,0)</f>
        <v>0</v>
      </c>
      <c r="BO16" s="3285">
        <f>IF($D16="是",AH16-AI16,0)</f>
        <v>0</v>
      </c>
      <c r="BP16" s="3285">
        <f>IF($D16="是",AJ16-AK16,0)</f>
        <v>0</v>
      </c>
      <c r="BQ16" s="3285">
        <f>IF($D16="是",AL16-AM16,0)</f>
        <v>0</v>
      </c>
      <c r="BR16" s="3285">
        <f>IF($D16="是",AN16-AO16,0)</f>
        <v>0</v>
      </c>
      <c r="BS16" s="3285">
        <f>IF($D16="是",AP16-AQ16,0)</f>
        <v>0</v>
      </c>
      <c r="BT16" s="3355">
        <f>IF($D16="是",AR16-AS16,0)</f>
        <v>0</v>
      </c>
    </row>
    <row r="17" s="3270" customFormat="1" ht="13.2" spans="1:72">
      <c r="A17" s="3299"/>
      <c r="B17" s="3299"/>
      <c r="C17" s="3303"/>
      <c r="D17" s="3300"/>
      <c r="E17" s="3285">
        <f>IF($C$3="是",ROUND($A$3*G17/$B$3,2),ROUND($A$3*(G17-AT17)/$B$3,2))</f>
        <v>0</v>
      </c>
      <c r="F17" s="3301"/>
      <c r="G17" s="3302">
        <f>H17+AC17+AT17</f>
        <v>0</v>
      </c>
      <c r="H17" s="3288">
        <f>SUMIF(I$12:AB$12,"总值",I17:AB17)</f>
        <v>0</v>
      </c>
      <c r="I17" s="3316"/>
      <c r="J17" s="3316"/>
      <c r="K17" s="3316"/>
      <c r="L17" s="3316"/>
      <c r="M17" s="3316"/>
      <c r="N17" s="3316"/>
      <c r="O17" s="3316"/>
      <c r="P17" s="3316"/>
      <c r="Q17" s="3316"/>
      <c r="R17" s="3316"/>
      <c r="S17" s="3316"/>
      <c r="T17" s="3316"/>
      <c r="U17" s="3316"/>
      <c r="V17" s="3316"/>
      <c r="W17" s="3316"/>
      <c r="X17" s="3316"/>
      <c r="Y17" s="3316"/>
      <c r="Z17" s="3316"/>
      <c r="AA17" s="3316"/>
      <c r="AB17" s="3316"/>
      <c r="AC17" s="3285">
        <f>SUMIF(AD$12:AS$12,"总值",AD17:AS17)</f>
        <v>0</v>
      </c>
      <c r="AD17" s="3326"/>
      <c r="AE17" s="3326"/>
      <c r="AF17" s="3326"/>
      <c r="AG17" s="3326"/>
      <c r="AH17" s="3326"/>
      <c r="AI17" s="3326"/>
      <c r="AJ17" s="3326"/>
      <c r="AK17" s="3326"/>
      <c r="AL17" s="3326"/>
      <c r="AM17" s="3326"/>
      <c r="AN17" s="3326"/>
      <c r="AO17" s="3326"/>
      <c r="AP17" s="3326"/>
      <c r="AQ17" s="3326"/>
      <c r="AR17" s="3326"/>
      <c r="AS17" s="3326"/>
      <c r="AT17" s="3335"/>
      <c r="AU17" s="3336"/>
      <c r="AV17" s="1100">
        <f t="shared" si="6"/>
        <v>0</v>
      </c>
      <c r="AW17" s="1100">
        <f t="shared" si="6"/>
        <v>0</v>
      </c>
      <c r="AX17" s="1100">
        <f t="shared" si="6"/>
        <v>0</v>
      </c>
      <c r="AY17" s="2703">
        <f>ROUND($AY$6*AZ17/$AZ$5,2)</f>
        <v>0</v>
      </c>
      <c r="AZ17" s="3285">
        <f>BA17+BL17</f>
        <v>0</v>
      </c>
      <c r="BA17" s="3285">
        <f>SUM(BB17:BK17)</f>
        <v>0</v>
      </c>
      <c r="BB17" s="3285">
        <f>IF($D17="是",I17-J17,0)</f>
        <v>0</v>
      </c>
      <c r="BC17" s="3285">
        <f>IF($D17="是",K17-L17,0)</f>
        <v>0</v>
      </c>
      <c r="BD17" s="3285">
        <f>IF($D17="是",M17-N17,0)</f>
        <v>0</v>
      </c>
      <c r="BE17" s="3285">
        <f>IF($D17="是",O17-P17,0)</f>
        <v>0</v>
      </c>
      <c r="BF17" s="3285">
        <f>IF($D17="是",Q17-R17,0)</f>
        <v>0</v>
      </c>
      <c r="BG17" s="3285">
        <f>IF($D17="是",S17-T17,0)</f>
        <v>0</v>
      </c>
      <c r="BH17" s="3285">
        <f>IF($D17="是",U17-V17,0)</f>
        <v>0</v>
      </c>
      <c r="BI17" s="3285">
        <f>IF($D17="是",W17-X17,0)</f>
        <v>0</v>
      </c>
      <c r="BJ17" s="3285">
        <f>IF($D17="是",Y17-Z17,0)</f>
        <v>0</v>
      </c>
      <c r="BK17" s="3285">
        <f>IF($D17="是",AA17-AB17,0)</f>
        <v>0</v>
      </c>
      <c r="BL17" s="3285">
        <f>SUM(BM17:BT17)</f>
        <v>0</v>
      </c>
      <c r="BM17" s="3285">
        <f>IF($D17="是",AD17-AE17,0)</f>
        <v>0</v>
      </c>
      <c r="BN17" s="3285">
        <f>IF($D17="是",AF17-AG17,0)</f>
        <v>0</v>
      </c>
      <c r="BO17" s="3285">
        <f>IF($D17="是",AH17-AI17,0)</f>
        <v>0</v>
      </c>
      <c r="BP17" s="3285">
        <f>IF($D17="是",AJ17-AK17,0)</f>
        <v>0</v>
      </c>
      <c r="BQ17" s="3285">
        <f>IF($D17="是",AL17-AM17,0)</f>
        <v>0</v>
      </c>
      <c r="BR17" s="3285">
        <f>IF($D17="是",AN17-AO17,0)</f>
        <v>0</v>
      </c>
      <c r="BS17" s="3285">
        <f>IF($D17="是",AP17-AQ17,0)</f>
        <v>0</v>
      </c>
      <c r="BT17" s="3355">
        <f>IF($D17="是",AR17-AS17,0)</f>
        <v>0</v>
      </c>
    </row>
    <row r="18" spans="1:72">
      <c r="A18" s="3304"/>
      <c r="B18" s="3305"/>
      <c r="C18" s="3305"/>
      <c r="D18" s="3306"/>
      <c r="E18" s="3307">
        <f t="shared" ref="E18:E112" si="7">IF($C$3="是",ROUND($A$3*G18/$B$3,2),ROUND($A$3*(G18-AT18)/$B$3,2))</f>
        <v>0</v>
      </c>
      <c r="F18" s="3308"/>
      <c r="G18" s="3309">
        <f t="shared" ref="G18:G109" si="8">H18+AC18+AT18</f>
        <v>0</v>
      </c>
      <c r="H18" s="3310">
        <f t="shared" ref="H18:H109" si="9">SUMIF(I$12:AB$12,"总值",I18:AB18)</f>
        <v>0</v>
      </c>
      <c r="I18" s="3317"/>
      <c r="J18" s="3317"/>
      <c r="K18" s="3317"/>
      <c r="L18" s="3317"/>
      <c r="M18" s="3317"/>
      <c r="N18" s="3317"/>
      <c r="O18" s="3317"/>
      <c r="P18" s="3317"/>
      <c r="Q18" s="3317"/>
      <c r="R18" s="3317"/>
      <c r="S18" s="3317"/>
      <c r="T18" s="3317"/>
      <c r="U18" s="3317"/>
      <c r="V18" s="3317"/>
      <c r="W18" s="3317"/>
      <c r="X18" s="3317"/>
      <c r="Y18" s="3317"/>
      <c r="Z18" s="3317"/>
      <c r="AA18" s="3317"/>
      <c r="AB18" s="3317"/>
      <c r="AC18" s="3307">
        <f t="shared" ref="AC18:AC109" si="10">SUMIF(AD$12:AS$12,"总值",AD18:AS18)</f>
        <v>0</v>
      </c>
      <c r="AD18" s="3327"/>
      <c r="AE18" s="3327"/>
      <c r="AF18" s="3327"/>
      <c r="AG18" s="3327"/>
      <c r="AH18" s="3327"/>
      <c r="AI18" s="3327"/>
      <c r="AJ18" s="3327"/>
      <c r="AK18" s="3327"/>
      <c r="AL18" s="3327"/>
      <c r="AM18" s="3327"/>
      <c r="AN18" s="3327"/>
      <c r="AO18" s="3327"/>
      <c r="AP18" s="3327"/>
      <c r="AQ18" s="3327"/>
      <c r="AR18" s="3327"/>
      <c r="AS18" s="3327"/>
      <c r="AT18" s="3337"/>
      <c r="AU18" s="3338"/>
      <c r="AV18" s="1410">
        <f t="shared" ref="AV18:AV112" si="11">A18</f>
        <v>0</v>
      </c>
      <c r="AW18" s="1410">
        <f t="shared" ref="AW18:AW112" si="12">B18</f>
        <v>0</v>
      </c>
      <c r="AX18" s="1410">
        <f t="shared" ref="AX18:AX112" si="13">C18</f>
        <v>0</v>
      </c>
      <c r="AY18" s="3352">
        <f t="shared" ref="AY18:AY109" si="14">ROUND($AY$6*AZ18/$AZ$5,2)</f>
        <v>0</v>
      </c>
      <c r="AZ18" s="3307">
        <f t="shared" ref="AZ18:AZ109" si="15">BA18+BL18</f>
        <v>0</v>
      </c>
      <c r="BA18" s="3307">
        <f t="shared" ref="BA18:BA109" si="16">SUM(BB18:BK18)</f>
        <v>0</v>
      </c>
      <c r="BB18" s="3307">
        <f t="shared" ref="BB18:BB109" si="17">IF($D18="是",I18-J18,0)</f>
        <v>0</v>
      </c>
      <c r="BC18" s="3307">
        <f t="shared" ref="BC18:BC109" si="18">IF($D18="是",K18-L18,0)</f>
        <v>0</v>
      </c>
      <c r="BD18" s="3307">
        <f t="shared" ref="BD18:BD109" si="19">IF($D18="是",M18-N18,0)</f>
        <v>0</v>
      </c>
      <c r="BE18" s="3307">
        <f t="shared" ref="BE18:BE109" si="20">IF($D18="是",O18-P18,0)</f>
        <v>0</v>
      </c>
      <c r="BF18" s="3307">
        <f t="shared" ref="BF18:BF109" si="21">IF($D18="是",Q18-R18,0)</f>
        <v>0</v>
      </c>
      <c r="BG18" s="3307">
        <f t="shared" ref="BG18:BG109" si="22">IF($D18="是",S18-T18,0)</f>
        <v>0</v>
      </c>
      <c r="BH18" s="3307">
        <f t="shared" ref="BH18:BH109" si="23">IF($D18="是",U18-V18,0)</f>
        <v>0</v>
      </c>
      <c r="BI18" s="3307">
        <f t="shared" ref="BI18:BI109" si="24">IF($D18="是",W18-X18,0)</f>
        <v>0</v>
      </c>
      <c r="BJ18" s="3307">
        <f t="shared" ref="BJ18:BJ109" si="25">IF($D18="是",Y18-Z18,0)</f>
        <v>0</v>
      </c>
      <c r="BK18" s="3307">
        <f t="shared" ref="BK18:BK109" si="26">IF($D18="是",AA18-AB18,0)</f>
        <v>0</v>
      </c>
      <c r="BL18" s="3307">
        <f t="shared" ref="BL18:BL109" si="27">SUM(BM18:BT18)</f>
        <v>0</v>
      </c>
      <c r="BM18" s="3307">
        <f t="shared" ref="BM18:BM109" si="28">IF($D18="是",AD18-AE18,0)</f>
        <v>0</v>
      </c>
      <c r="BN18" s="3307">
        <f t="shared" ref="BN18:BN109" si="29">IF($D18="是",AF18-AG18,0)</f>
        <v>0</v>
      </c>
      <c r="BO18" s="3307">
        <f t="shared" ref="BO18:BO109" si="30">IF($D18="是",AH18-AI18,0)</f>
        <v>0</v>
      </c>
      <c r="BP18" s="3307">
        <f t="shared" ref="BP18:BP109" si="31">IF($D18="是",AJ18-AK18,0)</f>
        <v>0</v>
      </c>
      <c r="BQ18" s="3307">
        <f t="shared" ref="BQ18:BQ109" si="32">IF($D18="是",AL18-AM18,0)</f>
        <v>0</v>
      </c>
      <c r="BR18" s="3307">
        <f t="shared" ref="BR18:BR109" si="33">IF($D18="是",AN18-AO18,0)</f>
        <v>0</v>
      </c>
      <c r="BS18" s="3307">
        <f t="shared" ref="BS18:BS109" si="34">IF($D18="是",AP18-AQ18,0)</f>
        <v>0</v>
      </c>
      <c r="BT18" s="3359">
        <f t="shared" ref="BT18:BT109" si="35">IF($D18="是",AR18-AS18,0)</f>
        <v>0</v>
      </c>
    </row>
    <row r="19" spans="1:72">
      <c r="A19" s="3304"/>
      <c r="B19" s="3305"/>
      <c r="C19" s="3305"/>
      <c r="D19" s="3306"/>
      <c r="E19" s="3307">
        <f t="shared" si="7"/>
        <v>0</v>
      </c>
      <c r="F19" s="3308"/>
      <c r="G19" s="3309">
        <f t="shared" si="8"/>
        <v>0</v>
      </c>
      <c r="H19" s="3310">
        <f t="shared" si="9"/>
        <v>0</v>
      </c>
      <c r="I19" s="3317"/>
      <c r="J19" s="3317"/>
      <c r="K19" s="3317"/>
      <c r="L19" s="3317"/>
      <c r="M19" s="3317"/>
      <c r="N19" s="3317"/>
      <c r="O19" s="3317"/>
      <c r="P19" s="3317"/>
      <c r="Q19" s="3317"/>
      <c r="R19" s="3317"/>
      <c r="S19" s="3317"/>
      <c r="T19" s="3317"/>
      <c r="U19" s="3317"/>
      <c r="V19" s="3317"/>
      <c r="W19" s="3317"/>
      <c r="X19" s="3317"/>
      <c r="Y19" s="3317"/>
      <c r="Z19" s="3317"/>
      <c r="AA19" s="3317"/>
      <c r="AB19" s="3317"/>
      <c r="AC19" s="3307">
        <f t="shared" si="10"/>
        <v>0</v>
      </c>
      <c r="AD19" s="3327"/>
      <c r="AE19" s="3327"/>
      <c r="AF19" s="3327"/>
      <c r="AG19" s="3327"/>
      <c r="AH19" s="3327"/>
      <c r="AI19" s="3327"/>
      <c r="AJ19" s="3327"/>
      <c r="AK19" s="3327"/>
      <c r="AL19" s="3327"/>
      <c r="AM19" s="3327"/>
      <c r="AN19" s="3327"/>
      <c r="AO19" s="3327"/>
      <c r="AP19" s="3327"/>
      <c r="AQ19" s="3327"/>
      <c r="AR19" s="3327"/>
      <c r="AS19" s="3327"/>
      <c r="AT19" s="3337"/>
      <c r="AU19" s="3338"/>
      <c r="AV19" s="1410">
        <f t="shared" si="11"/>
        <v>0</v>
      </c>
      <c r="AW19" s="1410">
        <f t="shared" si="12"/>
        <v>0</v>
      </c>
      <c r="AX19" s="1410">
        <f t="shared" si="13"/>
        <v>0</v>
      </c>
      <c r="AY19" s="3352">
        <f t="shared" si="14"/>
        <v>0</v>
      </c>
      <c r="AZ19" s="3307">
        <f t="shared" si="15"/>
        <v>0</v>
      </c>
      <c r="BA19" s="3307">
        <f t="shared" si="16"/>
        <v>0</v>
      </c>
      <c r="BB19" s="3307">
        <f t="shared" si="17"/>
        <v>0</v>
      </c>
      <c r="BC19" s="3307">
        <f t="shared" si="18"/>
        <v>0</v>
      </c>
      <c r="BD19" s="3307">
        <f t="shared" si="19"/>
        <v>0</v>
      </c>
      <c r="BE19" s="3307">
        <f t="shared" si="20"/>
        <v>0</v>
      </c>
      <c r="BF19" s="3307">
        <f t="shared" si="21"/>
        <v>0</v>
      </c>
      <c r="BG19" s="3307">
        <f t="shared" si="22"/>
        <v>0</v>
      </c>
      <c r="BH19" s="3307">
        <f t="shared" si="23"/>
        <v>0</v>
      </c>
      <c r="BI19" s="3307">
        <f t="shared" si="24"/>
        <v>0</v>
      </c>
      <c r="BJ19" s="3307">
        <f t="shared" si="25"/>
        <v>0</v>
      </c>
      <c r="BK19" s="3307">
        <f t="shared" si="26"/>
        <v>0</v>
      </c>
      <c r="BL19" s="3307">
        <f t="shared" si="27"/>
        <v>0</v>
      </c>
      <c r="BM19" s="3307">
        <f t="shared" si="28"/>
        <v>0</v>
      </c>
      <c r="BN19" s="3307">
        <f t="shared" si="29"/>
        <v>0</v>
      </c>
      <c r="BO19" s="3307">
        <f t="shared" si="30"/>
        <v>0</v>
      </c>
      <c r="BP19" s="3307">
        <f t="shared" si="31"/>
        <v>0</v>
      </c>
      <c r="BQ19" s="3307">
        <f t="shared" si="32"/>
        <v>0</v>
      </c>
      <c r="BR19" s="3307">
        <f t="shared" si="33"/>
        <v>0</v>
      </c>
      <c r="BS19" s="3307">
        <f t="shared" si="34"/>
        <v>0</v>
      </c>
      <c r="BT19" s="3359">
        <f t="shared" si="35"/>
        <v>0</v>
      </c>
    </row>
    <row r="20" spans="1:72">
      <c r="A20" s="3304"/>
      <c r="B20" s="3305"/>
      <c r="C20" s="3305"/>
      <c r="D20" s="3306"/>
      <c r="E20" s="3307">
        <f t="shared" si="7"/>
        <v>0</v>
      </c>
      <c r="F20" s="3308"/>
      <c r="G20" s="3309">
        <f t="shared" si="8"/>
        <v>0</v>
      </c>
      <c r="H20" s="3310">
        <f t="shared" si="9"/>
        <v>0</v>
      </c>
      <c r="I20" s="3317"/>
      <c r="J20" s="3317"/>
      <c r="K20" s="3317"/>
      <c r="L20" s="3317"/>
      <c r="M20" s="3317"/>
      <c r="N20" s="3317"/>
      <c r="O20" s="3317"/>
      <c r="P20" s="3317"/>
      <c r="Q20" s="3317"/>
      <c r="R20" s="3317"/>
      <c r="S20" s="3317"/>
      <c r="T20" s="3317"/>
      <c r="U20" s="3317"/>
      <c r="V20" s="3317"/>
      <c r="W20" s="3317"/>
      <c r="X20" s="3317"/>
      <c r="Y20" s="3317"/>
      <c r="Z20" s="3317"/>
      <c r="AA20" s="3317"/>
      <c r="AB20" s="3317"/>
      <c r="AC20" s="3307">
        <f t="shared" si="10"/>
        <v>0</v>
      </c>
      <c r="AD20" s="3327"/>
      <c r="AE20" s="3327"/>
      <c r="AF20" s="3327"/>
      <c r="AG20" s="3327"/>
      <c r="AH20" s="3327"/>
      <c r="AI20" s="3327"/>
      <c r="AJ20" s="3327"/>
      <c r="AK20" s="3327"/>
      <c r="AL20" s="3327"/>
      <c r="AM20" s="3327"/>
      <c r="AN20" s="3327"/>
      <c r="AO20" s="3327"/>
      <c r="AP20" s="3327"/>
      <c r="AQ20" s="3327"/>
      <c r="AR20" s="3327"/>
      <c r="AS20" s="3327"/>
      <c r="AT20" s="3337"/>
      <c r="AU20" s="3338"/>
      <c r="AV20" s="1410">
        <f t="shared" si="11"/>
        <v>0</v>
      </c>
      <c r="AW20" s="1410">
        <f t="shared" si="12"/>
        <v>0</v>
      </c>
      <c r="AX20" s="1410">
        <f t="shared" si="13"/>
        <v>0</v>
      </c>
      <c r="AY20" s="3352">
        <f t="shared" si="14"/>
        <v>0</v>
      </c>
      <c r="AZ20" s="3307">
        <f t="shared" si="15"/>
        <v>0</v>
      </c>
      <c r="BA20" s="3307">
        <f t="shared" si="16"/>
        <v>0</v>
      </c>
      <c r="BB20" s="3307">
        <f t="shared" si="17"/>
        <v>0</v>
      </c>
      <c r="BC20" s="3307">
        <f t="shared" si="18"/>
        <v>0</v>
      </c>
      <c r="BD20" s="3307">
        <f t="shared" si="19"/>
        <v>0</v>
      </c>
      <c r="BE20" s="3307">
        <f t="shared" si="20"/>
        <v>0</v>
      </c>
      <c r="BF20" s="3307">
        <f t="shared" si="21"/>
        <v>0</v>
      </c>
      <c r="BG20" s="3307">
        <f t="shared" si="22"/>
        <v>0</v>
      </c>
      <c r="BH20" s="3307">
        <f t="shared" si="23"/>
        <v>0</v>
      </c>
      <c r="BI20" s="3307">
        <f t="shared" si="24"/>
        <v>0</v>
      </c>
      <c r="BJ20" s="3307">
        <f t="shared" si="25"/>
        <v>0</v>
      </c>
      <c r="BK20" s="3307">
        <f t="shared" si="26"/>
        <v>0</v>
      </c>
      <c r="BL20" s="3307">
        <f t="shared" si="27"/>
        <v>0</v>
      </c>
      <c r="BM20" s="3307">
        <f t="shared" si="28"/>
        <v>0</v>
      </c>
      <c r="BN20" s="3307">
        <f t="shared" si="29"/>
        <v>0</v>
      </c>
      <c r="BO20" s="3307">
        <f t="shared" si="30"/>
        <v>0</v>
      </c>
      <c r="BP20" s="3307">
        <f t="shared" si="31"/>
        <v>0</v>
      </c>
      <c r="BQ20" s="3307">
        <f t="shared" si="32"/>
        <v>0</v>
      </c>
      <c r="BR20" s="3307">
        <f t="shared" si="33"/>
        <v>0</v>
      </c>
      <c r="BS20" s="3307">
        <f t="shared" si="34"/>
        <v>0</v>
      </c>
      <c r="BT20" s="3359">
        <f t="shared" si="35"/>
        <v>0</v>
      </c>
    </row>
    <row r="21" spans="1:72">
      <c r="A21" s="3304"/>
      <c r="B21" s="3305"/>
      <c r="C21" s="3305"/>
      <c r="D21" s="3306"/>
      <c r="E21" s="3307">
        <f t="shared" si="7"/>
        <v>0</v>
      </c>
      <c r="F21" s="3308"/>
      <c r="G21" s="3309">
        <f t="shared" si="8"/>
        <v>0</v>
      </c>
      <c r="H21" s="3310">
        <f t="shared" si="9"/>
        <v>0</v>
      </c>
      <c r="I21" s="3317"/>
      <c r="J21" s="3317"/>
      <c r="K21" s="3317"/>
      <c r="L21" s="3317"/>
      <c r="M21" s="3317"/>
      <c r="N21" s="3317"/>
      <c r="O21" s="3317"/>
      <c r="P21" s="3317"/>
      <c r="Q21" s="3317"/>
      <c r="R21" s="3317"/>
      <c r="S21" s="3317"/>
      <c r="T21" s="3317"/>
      <c r="U21" s="3317"/>
      <c r="V21" s="3317"/>
      <c r="W21" s="3317"/>
      <c r="X21" s="3317"/>
      <c r="Y21" s="3317"/>
      <c r="Z21" s="3317"/>
      <c r="AA21" s="3317"/>
      <c r="AB21" s="3317"/>
      <c r="AC21" s="3307">
        <f t="shared" si="10"/>
        <v>0</v>
      </c>
      <c r="AD21" s="3327"/>
      <c r="AE21" s="3327"/>
      <c r="AF21" s="3327"/>
      <c r="AG21" s="3327"/>
      <c r="AH21" s="3327"/>
      <c r="AI21" s="3327"/>
      <c r="AJ21" s="3327"/>
      <c r="AK21" s="3327"/>
      <c r="AL21" s="3327"/>
      <c r="AM21" s="3327"/>
      <c r="AN21" s="3327"/>
      <c r="AO21" s="3327"/>
      <c r="AP21" s="3327"/>
      <c r="AQ21" s="3327"/>
      <c r="AR21" s="3327"/>
      <c r="AS21" s="3327"/>
      <c r="AT21" s="3337"/>
      <c r="AU21" s="3338"/>
      <c r="AV21" s="1410">
        <f t="shared" si="11"/>
        <v>0</v>
      </c>
      <c r="AW21" s="1410">
        <f t="shared" si="12"/>
        <v>0</v>
      </c>
      <c r="AX21" s="1410">
        <f t="shared" si="13"/>
        <v>0</v>
      </c>
      <c r="AY21" s="3352">
        <f t="shared" si="14"/>
        <v>0</v>
      </c>
      <c r="AZ21" s="3307">
        <f t="shared" si="15"/>
        <v>0</v>
      </c>
      <c r="BA21" s="3307">
        <f t="shared" si="16"/>
        <v>0</v>
      </c>
      <c r="BB21" s="3307">
        <f t="shared" si="17"/>
        <v>0</v>
      </c>
      <c r="BC21" s="3307">
        <f t="shared" si="18"/>
        <v>0</v>
      </c>
      <c r="BD21" s="3307">
        <f t="shared" si="19"/>
        <v>0</v>
      </c>
      <c r="BE21" s="3307">
        <f t="shared" si="20"/>
        <v>0</v>
      </c>
      <c r="BF21" s="3307">
        <f t="shared" si="21"/>
        <v>0</v>
      </c>
      <c r="BG21" s="3307">
        <f t="shared" si="22"/>
        <v>0</v>
      </c>
      <c r="BH21" s="3307">
        <f t="shared" si="23"/>
        <v>0</v>
      </c>
      <c r="BI21" s="3307">
        <f t="shared" si="24"/>
        <v>0</v>
      </c>
      <c r="BJ21" s="3307">
        <f t="shared" si="25"/>
        <v>0</v>
      </c>
      <c r="BK21" s="3307">
        <f t="shared" si="26"/>
        <v>0</v>
      </c>
      <c r="BL21" s="3307">
        <f t="shared" si="27"/>
        <v>0</v>
      </c>
      <c r="BM21" s="3307">
        <f t="shared" si="28"/>
        <v>0</v>
      </c>
      <c r="BN21" s="3307">
        <f t="shared" si="29"/>
        <v>0</v>
      </c>
      <c r="BO21" s="3307">
        <f t="shared" si="30"/>
        <v>0</v>
      </c>
      <c r="BP21" s="3307">
        <f t="shared" si="31"/>
        <v>0</v>
      </c>
      <c r="BQ21" s="3307">
        <f t="shared" si="32"/>
        <v>0</v>
      </c>
      <c r="BR21" s="3307">
        <f t="shared" si="33"/>
        <v>0</v>
      </c>
      <c r="BS21" s="3307">
        <f t="shared" si="34"/>
        <v>0</v>
      </c>
      <c r="BT21" s="3359">
        <f t="shared" si="35"/>
        <v>0</v>
      </c>
    </row>
    <row r="22" spans="1:72">
      <c r="A22" s="3304"/>
      <c r="B22" s="3305"/>
      <c r="C22" s="3305"/>
      <c r="D22" s="3306"/>
      <c r="E22" s="3307">
        <f t="shared" si="7"/>
        <v>0</v>
      </c>
      <c r="F22" s="3308"/>
      <c r="G22" s="3309">
        <f t="shared" si="8"/>
        <v>0</v>
      </c>
      <c r="H22" s="3310">
        <f t="shared" si="9"/>
        <v>0</v>
      </c>
      <c r="I22" s="3317"/>
      <c r="J22" s="3317"/>
      <c r="K22" s="3317"/>
      <c r="L22" s="3317"/>
      <c r="M22" s="3317"/>
      <c r="N22" s="3317"/>
      <c r="O22" s="3317"/>
      <c r="P22" s="3317"/>
      <c r="Q22" s="3317"/>
      <c r="R22" s="3317"/>
      <c r="S22" s="3317"/>
      <c r="T22" s="3317"/>
      <c r="U22" s="3317"/>
      <c r="V22" s="3317"/>
      <c r="W22" s="3317"/>
      <c r="X22" s="3317"/>
      <c r="Y22" s="3317"/>
      <c r="Z22" s="3317"/>
      <c r="AA22" s="3317"/>
      <c r="AB22" s="3317"/>
      <c r="AC22" s="3307">
        <f t="shared" si="10"/>
        <v>0</v>
      </c>
      <c r="AD22" s="3327"/>
      <c r="AE22" s="3327"/>
      <c r="AF22" s="3327"/>
      <c r="AG22" s="3327"/>
      <c r="AH22" s="3327"/>
      <c r="AI22" s="3327"/>
      <c r="AJ22" s="3327"/>
      <c r="AK22" s="3327"/>
      <c r="AL22" s="3327"/>
      <c r="AM22" s="3327"/>
      <c r="AN22" s="3327"/>
      <c r="AO22" s="3327"/>
      <c r="AP22" s="3327"/>
      <c r="AQ22" s="3327"/>
      <c r="AR22" s="3327"/>
      <c r="AS22" s="3327"/>
      <c r="AT22" s="3337"/>
      <c r="AU22" s="3338"/>
      <c r="AV22" s="1410">
        <f t="shared" si="11"/>
        <v>0</v>
      </c>
      <c r="AW22" s="1410">
        <f t="shared" si="12"/>
        <v>0</v>
      </c>
      <c r="AX22" s="1410">
        <f t="shared" si="13"/>
        <v>0</v>
      </c>
      <c r="AY22" s="3352">
        <f t="shared" si="14"/>
        <v>0</v>
      </c>
      <c r="AZ22" s="3307">
        <f t="shared" si="15"/>
        <v>0</v>
      </c>
      <c r="BA22" s="3307">
        <f t="shared" si="16"/>
        <v>0</v>
      </c>
      <c r="BB22" s="3307">
        <f t="shared" si="17"/>
        <v>0</v>
      </c>
      <c r="BC22" s="3307">
        <f t="shared" si="18"/>
        <v>0</v>
      </c>
      <c r="BD22" s="3307">
        <f t="shared" si="19"/>
        <v>0</v>
      </c>
      <c r="BE22" s="3307">
        <f t="shared" si="20"/>
        <v>0</v>
      </c>
      <c r="BF22" s="3307">
        <f t="shared" si="21"/>
        <v>0</v>
      </c>
      <c r="BG22" s="3307">
        <f t="shared" si="22"/>
        <v>0</v>
      </c>
      <c r="BH22" s="3307">
        <f t="shared" si="23"/>
        <v>0</v>
      </c>
      <c r="BI22" s="3307">
        <f t="shared" si="24"/>
        <v>0</v>
      </c>
      <c r="BJ22" s="3307">
        <f t="shared" si="25"/>
        <v>0</v>
      </c>
      <c r="BK22" s="3307">
        <f t="shared" si="26"/>
        <v>0</v>
      </c>
      <c r="BL22" s="3307">
        <f t="shared" si="27"/>
        <v>0</v>
      </c>
      <c r="BM22" s="3307">
        <f t="shared" si="28"/>
        <v>0</v>
      </c>
      <c r="BN22" s="3307">
        <f t="shared" si="29"/>
        <v>0</v>
      </c>
      <c r="BO22" s="3307">
        <f t="shared" si="30"/>
        <v>0</v>
      </c>
      <c r="BP22" s="3307">
        <f t="shared" si="31"/>
        <v>0</v>
      </c>
      <c r="BQ22" s="3307">
        <f t="shared" si="32"/>
        <v>0</v>
      </c>
      <c r="BR22" s="3307">
        <f t="shared" si="33"/>
        <v>0</v>
      </c>
      <c r="BS22" s="3307">
        <f t="shared" si="34"/>
        <v>0</v>
      </c>
      <c r="BT22" s="3359">
        <f t="shared" si="35"/>
        <v>0</v>
      </c>
    </row>
    <row r="23" spans="1:72">
      <c r="A23" s="3304"/>
      <c r="B23" s="3305"/>
      <c r="C23" s="3305"/>
      <c r="D23" s="3306"/>
      <c r="E23" s="3307">
        <f t="shared" si="7"/>
        <v>0</v>
      </c>
      <c r="F23" s="3308"/>
      <c r="G23" s="3309">
        <f t="shared" si="8"/>
        <v>0</v>
      </c>
      <c r="H23" s="3310">
        <f t="shared" si="9"/>
        <v>0</v>
      </c>
      <c r="I23" s="3317"/>
      <c r="J23" s="3317"/>
      <c r="K23" s="3317"/>
      <c r="L23" s="3317"/>
      <c r="M23" s="3317"/>
      <c r="N23" s="3317"/>
      <c r="O23" s="3317"/>
      <c r="P23" s="3317"/>
      <c r="Q23" s="3317"/>
      <c r="R23" s="3317"/>
      <c r="S23" s="3317"/>
      <c r="T23" s="3317"/>
      <c r="U23" s="3317"/>
      <c r="V23" s="3317"/>
      <c r="W23" s="3317"/>
      <c r="X23" s="3317"/>
      <c r="Y23" s="3317"/>
      <c r="Z23" s="3317"/>
      <c r="AA23" s="3317"/>
      <c r="AB23" s="3317"/>
      <c r="AC23" s="3307">
        <f t="shared" si="10"/>
        <v>0</v>
      </c>
      <c r="AD23" s="3327"/>
      <c r="AE23" s="3327"/>
      <c r="AF23" s="3327"/>
      <c r="AG23" s="3327"/>
      <c r="AH23" s="3327"/>
      <c r="AI23" s="3327"/>
      <c r="AJ23" s="3327"/>
      <c r="AK23" s="3327"/>
      <c r="AL23" s="3327"/>
      <c r="AM23" s="3327"/>
      <c r="AN23" s="3327"/>
      <c r="AO23" s="3327"/>
      <c r="AP23" s="3327"/>
      <c r="AQ23" s="3327"/>
      <c r="AR23" s="3327"/>
      <c r="AS23" s="3327"/>
      <c r="AT23" s="3337"/>
      <c r="AU23" s="3338"/>
      <c r="AV23" s="1410">
        <f t="shared" si="11"/>
        <v>0</v>
      </c>
      <c r="AW23" s="1410">
        <f t="shared" si="12"/>
        <v>0</v>
      </c>
      <c r="AX23" s="1410">
        <f t="shared" si="13"/>
        <v>0</v>
      </c>
      <c r="AY23" s="3352">
        <f t="shared" si="14"/>
        <v>0</v>
      </c>
      <c r="AZ23" s="3307">
        <f t="shared" si="15"/>
        <v>0</v>
      </c>
      <c r="BA23" s="3307">
        <f t="shared" si="16"/>
        <v>0</v>
      </c>
      <c r="BB23" s="3307">
        <f t="shared" si="17"/>
        <v>0</v>
      </c>
      <c r="BC23" s="3307">
        <f t="shared" si="18"/>
        <v>0</v>
      </c>
      <c r="BD23" s="3307">
        <f t="shared" si="19"/>
        <v>0</v>
      </c>
      <c r="BE23" s="3307">
        <f t="shared" si="20"/>
        <v>0</v>
      </c>
      <c r="BF23" s="3307">
        <f t="shared" si="21"/>
        <v>0</v>
      </c>
      <c r="BG23" s="3307">
        <f t="shared" si="22"/>
        <v>0</v>
      </c>
      <c r="BH23" s="3307">
        <f t="shared" si="23"/>
        <v>0</v>
      </c>
      <c r="BI23" s="3307">
        <f t="shared" si="24"/>
        <v>0</v>
      </c>
      <c r="BJ23" s="3307">
        <f t="shared" si="25"/>
        <v>0</v>
      </c>
      <c r="BK23" s="3307">
        <f t="shared" si="26"/>
        <v>0</v>
      </c>
      <c r="BL23" s="3307">
        <f t="shared" si="27"/>
        <v>0</v>
      </c>
      <c r="BM23" s="3307">
        <f t="shared" si="28"/>
        <v>0</v>
      </c>
      <c r="BN23" s="3307">
        <f t="shared" si="29"/>
        <v>0</v>
      </c>
      <c r="BO23" s="3307">
        <f t="shared" si="30"/>
        <v>0</v>
      </c>
      <c r="BP23" s="3307">
        <f t="shared" si="31"/>
        <v>0</v>
      </c>
      <c r="BQ23" s="3307">
        <f t="shared" si="32"/>
        <v>0</v>
      </c>
      <c r="BR23" s="3307">
        <f t="shared" si="33"/>
        <v>0</v>
      </c>
      <c r="BS23" s="3307">
        <f t="shared" si="34"/>
        <v>0</v>
      </c>
      <c r="BT23" s="3359">
        <f t="shared" si="35"/>
        <v>0</v>
      </c>
    </row>
    <row r="24" spans="1:72">
      <c r="A24" s="3304"/>
      <c r="B24" s="3305"/>
      <c r="C24" s="3305"/>
      <c r="D24" s="3306"/>
      <c r="E24" s="3307">
        <f t="shared" si="7"/>
        <v>0</v>
      </c>
      <c r="F24" s="3308"/>
      <c r="G24" s="3309">
        <f t="shared" si="8"/>
        <v>0</v>
      </c>
      <c r="H24" s="3310">
        <f t="shared" si="9"/>
        <v>0</v>
      </c>
      <c r="I24" s="3317"/>
      <c r="J24" s="3317"/>
      <c r="K24" s="3317"/>
      <c r="L24" s="3317"/>
      <c r="M24" s="3317"/>
      <c r="N24" s="3317"/>
      <c r="O24" s="3317"/>
      <c r="P24" s="3317"/>
      <c r="Q24" s="3317"/>
      <c r="R24" s="3317"/>
      <c r="S24" s="3317"/>
      <c r="T24" s="3317"/>
      <c r="U24" s="3317"/>
      <c r="V24" s="3317"/>
      <c r="W24" s="3317"/>
      <c r="X24" s="3317"/>
      <c r="Y24" s="3317"/>
      <c r="Z24" s="3317"/>
      <c r="AA24" s="3317"/>
      <c r="AB24" s="3317"/>
      <c r="AC24" s="3307">
        <f t="shared" si="10"/>
        <v>0</v>
      </c>
      <c r="AD24" s="3327"/>
      <c r="AE24" s="3327"/>
      <c r="AF24" s="3327"/>
      <c r="AG24" s="3327"/>
      <c r="AH24" s="3327"/>
      <c r="AI24" s="3327"/>
      <c r="AJ24" s="3327"/>
      <c r="AK24" s="3327"/>
      <c r="AL24" s="3327"/>
      <c r="AM24" s="3327"/>
      <c r="AN24" s="3327"/>
      <c r="AO24" s="3327"/>
      <c r="AP24" s="3327"/>
      <c r="AQ24" s="3327"/>
      <c r="AR24" s="3327"/>
      <c r="AS24" s="3327"/>
      <c r="AT24" s="3337"/>
      <c r="AU24" s="3338"/>
      <c r="AV24" s="1410">
        <f t="shared" si="11"/>
        <v>0</v>
      </c>
      <c r="AW24" s="1410">
        <f t="shared" si="12"/>
        <v>0</v>
      </c>
      <c r="AX24" s="1410">
        <f t="shared" si="13"/>
        <v>0</v>
      </c>
      <c r="AY24" s="3352">
        <f t="shared" si="14"/>
        <v>0</v>
      </c>
      <c r="AZ24" s="3307">
        <f t="shared" si="15"/>
        <v>0</v>
      </c>
      <c r="BA24" s="3307">
        <f t="shared" si="16"/>
        <v>0</v>
      </c>
      <c r="BB24" s="3307">
        <f t="shared" si="17"/>
        <v>0</v>
      </c>
      <c r="BC24" s="3307">
        <f t="shared" si="18"/>
        <v>0</v>
      </c>
      <c r="BD24" s="3307">
        <f t="shared" si="19"/>
        <v>0</v>
      </c>
      <c r="BE24" s="3307">
        <f t="shared" si="20"/>
        <v>0</v>
      </c>
      <c r="BF24" s="3307">
        <f t="shared" si="21"/>
        <v>0</v>
      </c>
      <c r="BG24" s="3307">
        <f t="shared" si="22"/>
        <v>0</v>
      </c>
      <c r="BH24" s="3307">
        <f t="shared" si="23"/>
        <v>0</v>
      </c>
      <c r="BI24" s="3307">
        <f t="shared" si="24"/>
        <v>0</v>
      </c>
      <c r="BJ24" s="3307">
        <f t="shared" si="25"/>
        <v>0</v>
      </c>
      <c r="BK24" s="3307">
        <f t="shared" si="26"/>
        <v>0</v>
      </c>
      <c r="BL24" s="3307">
        <f t="shared" si="27"/>
        <v>0</v>
      </c>
      <c r="BM24" s="3307">
        <f t="shared" si="28"/>
        <v>0</v>
      </c>
      <c r="BN24" s="3307">
        <f t="shared" si="29"/>
        <v>0</v>
      </c>
      <c r="BO24" s="3307">
        <f t="shared" si="30"/>
        <v>0</v>
      </c>
      <c r="BP24" s="3307">
        <f t="shared" si="31"/>
        <v>0</v>
      </c>
      <c r="BQ24" s="3307">
        <f t="shared" si="32"/>
        <v>0</v>
      </c>
      <c r="BR24" s="3307">
        <f t="shared" si="33"/>
        <v>0</v>
      </c>
      <c r="BS24" s="3307">
        <f t="shared" si="34"/>
        <v>0</v>
      </c>
      <c r="BT24" s="3359">
        <f t="shared" si="35"/>
        <v>0</v>
      </c>
    </row>
    <row r="25" spans="1:72">
      <c r="A25" s="3304"/>
      <c r="B25" s="3305"/>
      <c r="C25" s="3305"/>
      <c r="D25" s="3306"/>
      <c r="E25" s="3307">
        <f t="shared" si="7"/>
        <v>0</v>
      </c>
      <c r="F25" s="3308"/>
      <c r="G25" s="3309">
        <f t="shared" si="8"/>
        <v>0</v>
      </c>
      <c r="H25" s="3310">
        <f t="shared" si="9"/>
        <v>0</v>
      </c>
      <c r="I25" s="3317"/>
      <c r="J25" s="3317"/>
      <c r="K25" s="3317"/>
      <c r="L25" s="3317"/>
      <c r="M25" s="3317"/>
      <c r="N25" s="3317"/>
      <c r="O25" s="3317"/>
      <c r="P25" s="3317"/>
      <c r="Q25" s="3317"/>
      <c r="R25" s="3317"/>
      <c r="S25" s="3317"/>
      <c r="T25" s="3317"/>
      <c r="U25" s="3317"/>
      <c r="V25" s="3317"/>
      <c r="W25" s="3317"/>
      <c r="X25" s="3317"/>
      <c r="Y25" s="3317"/>
      <c r="Z25" s="3317"/>
      <c r="AA25" s="3317"/>
      <c r="AB25" s="3317"/>
      <c r="AC25" s="3307">
        <f t="shared" si="10"/>
        <v>0</v>
      </c>
      <c r="AD25" s="3327"/>
      <c r="AE25" s="3327"/>
      <c r="AF25" s="3327"/>
      <c r="AG25" s="3327"/>
      <c r="AH25" s="3327"/>
      <c r="AI25" s="3327"/>
      <c r="AJ25" s="3327"/>
      <c r="AK25" s="3327"/>
      <c r="AL25" s="3327"/>
      <c r="AM25" s="3327"/>
      <c r="AN25" s="3327"/>
      <c r="AO25" s="3327"/>
      <c r="AP25" s="3327"/>
      <c r="AQ25" s="3327"/>
      <c r="AR25" s="3327"/>
      <c r="AS25" s="3327"/>
      <c r="AT25" s="3337"/>
      <c r="AU25" s="3338"/>
      <c r="AV25" s="1410">
        <f t="shared" si="11"/>
        <v>0</v>
      </c>
      <c r="AW25" s="1410">
        <f t="shared" si="12"/>
        <v>0</v>
      </c>
      <c r="AX25" s="1410">
        <f t="shared" si="13"/>
        <v>0</v>
      </c>
      <c r="AY25" s="3352">
        <f t="shared" si="14"/>
        <v>0</v>
      </c>
      <c r="AZ25" s="3307">
        <f t="shared" si="15"/>
        <v>0</v>
      </c>
      <c r="BA25" s="3307">
        <f t="shared" si="16"/>
        <v>0</v>
      </c>
      <c r="BB25" s="3307">
        <f t="shared" si="17"/>
        <v>0</v>
      </c>
      <c r="BC25" s="3307">
        <f t="shared" si="18"/>
        <v>0</v>
      </c>
      <c r="BD25" s="3307">
        <f t="shared" si="19"/>
        <v>0</v>
      </c>
      <c r="BE25" s="3307">
        <f t="shared" si="20"/>
        <v>0</v>
      </c>
      <c r="BF25" s="3307">
        <f t="shared" si="21"/>
        <v>0</v>
      </c>
      <c r="BG25" s="3307">
        <f t="shared" si="22"/>
        <v>0</v>
      </c>
      <c r="BH25" s="3307">
        <f t="shared" si="23"/>
        <v>0</v>
      </c>
      <c r="BI25" s="3307">
        <f t="shared" si="24"/>
        <v>0</v>
      </c>
      <c r="BJ25" s="3307">
        <f t="shared" si="25"/>
        <v>0</v>
      </c>
      <c r="BK25" s="3307">
        <f t="shared" si="26"/>
        <v>0</v>
      </c>
      <c r="BL25" s="3307">
        <f t="shared" si="27"/>
        <v>0</v>
      </c>
      <c r="BM25" s="3307">
        <f t="shared" si="28"/>
        <v>0</v>
      </c>
      <c r="BN25" s="3307">
        <f t="shared" si="29"/>
        <v>0</v>
      </c>
      <c r="BO25" s="3307">
        <f t="shared" si="30"/>
        <v>0</v>
      </c>
      <c r="BP25" s="3307">
        <f t="shared" si="31"/>
        <v>0</v>
      </c>
      <c r="BQ25" s="3307">
        <f t="shared" si="32"/>
        <v>0</v>
      </c>
      <c r="BR25" s="3307">
        <f t="shared" si="33"/>
        <v>0</v>
      </c>
      <c r="BS25" s="3307">
        <f t="shared" si="34"/>
        <v>0</v>
      </c>
      <c r="BT25" s="3359">
        <f t="shared" si="35"/>
        <v>0</v>
      </c>
    </row>
    <row r="26" spans="1:72">
      <c r="A26" s="3304"/>
      <c r="B26" s="3305"/>
      <c r="C26" s="3305"/>
      <c r="D26" s="3306"/>
      <c r="E26" s="3307">
        <f t="shared" si="7"/>
        <v>0</v>
      </c>
      <c r="F26" s="3308"/>
      <c r="G26" s="3309">
        <f t="shared" si="8"/>
        <v>0</v>
      </c>
      <c r="H26" s="3310">
        <f t="shared" si="9"/>
        <v>0</v>
      </c>
      <c r="I26" s="3317"/>
      <c r="J26" s="3317"/>
      <c r="K26" s="3317"/>
      <c r="L26" s="3317"/>
      <c r="M26" s="3317"/>
      <c r="N26" s="3317"/>
      <c r="O26" s="3317"/>
      <c r="P26" s="3317"/>
      <c r="Q26" s="3317"/>
      <c r="R26" s="3317"/>
      <c r="S26" s="3317"/>
      <c r="T26" s="3317"/>
      <c r="U26" s="3317"/>
      <c r="V26" s="3317"/>
      <c r="W26" s="3317"/>
      <c r="X26" s="3317"/>
      <c r="Y26" s="3317"/>
      <c r="Z26" s="3317"/>
      <c r="AA26" s="3317"/>
      <c r="AB26" s="3317"/>
      <c r="AC26" s="3307">
        <f t="shared" si="10"/>
        <v>0</v>
      </c>
      <c r="AD26" s="3327"/>
      <c r="AE26" s="3327"/>
      <c r="AF26" s="3327"/>
      <c r="AG26" s="3327"/>
      <c r="AH26" s="3327"/>
      <c r="AI26" s="3327"/>
      <c r="AJ26" s="3327"/>
      <c r="AK26" s="3327"/>
      <c r="AL26" s="3327"/>
      <c r="AM26" s="3327"/>
      <c r="AN26" s="3327"/>
      <c r="AO26" s="3327"/>
      <c r="AP26" s="3327"/>
      <c r="AQ26" s="3327"/>
      <c r="AR26" s="3327"/>
      <c r="AS26" s="3327"/>
      <c r="AT26" s="3337"/>
      <c r="AU26" s="3338"/>
      <c r="AV26" s="1410">
        <f t="shared" si="11"/>
        <v>0</v>
      </c>
      <c r="AW26" s="1410">
        <f t="shared" si="12"/>
        <v>0</v>
      </c>
      <c r="AX26" s="1410">
        <f t="shared" si="13"/>
        <v>0</v>
      </c>
      <c r="AY26" s="3352">
        <f t="shared" si="14"/>
        <v>0</v>
      </c>
      <c r="AZ26" s="3307">
        <f t="shared" si="15"/>
        <v>0</v>
      </c>
      <c r="BA26" s="3307">
        <f t="shared" si="16"/>
        <v>0</v>
      </c>
      <c r="BB26" s="3307">
        <f t="shared" si="17"/>
        <v>0</v>
      </c>
      <c r="BC26" s="3307">
        <f t="shared" si="18"/>
        <v>0</v>
      </c>
      <c r="BD26" s="3307">
        <f t="shared" si="19"/>
        <v>0</v>
      </c>
      <c r="BE26" s="3307">
        <f t="shared" si="20"/>
        <v>0</v>
      </c>
      <c r="BF26" s="3307">
        <f t="shared" si="21"/>
        <v>0</v>
      </c>
      <c r="BG26" s="3307">
        <f t="shared" si="22"/>
        <v>0</v>
      </c>
      <c r="BH26" s="3307">
        <f t="shared" si="23"/>
        <v>0</v>
      </c>
      <c r="BI26" s="3307">
        <f t="shared" si="24"/>
        <v>0</v>
      </c>
      <c r="BJ26" s="3307">
        <f t="shared" si="25"/>
        <v>0</v>
      </c>
      <c r="BK26" s="3307">
        <f t="shared" si="26"/>
        <v>0</v>
      </c>
      <c r="BL26" s="3307">
        <f t="shared" si="27"/>
        <v>0</v>
      </c>
      <c r="BM26" s="3307">
        <f t="shared" si="28"/>
        <v>0</v>
      </c>
      <c r="BN26" s="3307">
        <f t="shared" si="29"/>
        <v>0</v>
      </c>
      <c r="BO26" s="3307">
        <f t="shared" si="30"/>
        <v>0</v>
      </c>
      <c r="BP26" s="3307">
        <f t="shared" si="31"/>
        <v>0</v>
      </c>
      <c r="BQ26" s="3307">
        <f t="shared" si="32"/>
        <v>0</v>
      </c>
      <c r="BR26" s="3307">
        <f t="shared" si="33"/>
        <v>0</v>
      </c>
      <c r="BS26" s="3307">
        <f t="shared" si="34"/>
        <v>0</v>
      </c>
      <c r="BT26" s="3359">
        <f t="shared" si="35"/>
        <v>0</v>
      </c>
    </row>
    <row r="27" spans="1:72">
      <c r="A27" s="3304"/>
      <c r="B27" s="3305"/>
      <c r="C27" s="3305"/>
      <c r="D27" s="3306"/>
      <c r="E27" s="3307">
        <f t="shared" si="7"/>
        <v>0</v>
      </c>
      <c r="F27" s="3308"/>
      <c r="G27" s="3309">
        <f t="shared" si="8"/>
        <v>0</v>
      </c>
      <c r="H27" s="3310">
        <f t="shared" si="9"/>
        <v>0</v>
      </c>
      <c r="I27" s="3317"/>
      <c r="J27" s="3317"/>
      <c r="K27" s="3317"/>
      <c r="L27" s="3317"/>
      <c r="M27" s="3317"/>
      <c r="N27" s="3317"/>
      <c r="O27" s="3317"/>
      <c r="P27" s="3317"/>
      <c r="Q27" s="3317"/>
      <c r="R27" s="3317"/>
      <c r="S27" s="3317"/>
      <c r="T27" s="3317"/>
      <c r="U27" s="3317"/>
      <c r="V27" s="3317"/>
      <c r="W27" s="3317"/>
      <c r="X27" s="3317"/>
      <c r="Y27" s="3317"/>
      <c r="Z27" s="3317"/>
      <c r="AA27" s="3317"/>
      <c r="AB27" s="3317"/>
      <c r="AC27" s="3307">
        <f t="shared" si="10"/>
        <v>0</v>
      </c>
      <c r="AD27" s="3327"/>
      <c r="AE27" s="3327"/>
      <c r="AF27" s="3327"/>
      <c r="AG27" s="3327"/>
      <c r="AH27" s="3327"/>
      <c r="AI27" s="3327"/>
      <c r="AJ27" s="3327"/>
      <c r="AK27" s="3327"/>
      <c r="AL27" s="3327"/>
      <c r="AM27" s="3327"/>
      <c r="AN27" s="3327"/>
      <c r="AO27" s="3327"/>
      <c r="AP27" s="3327"/>
      <c r="AQ27" s="3327"/>
      <c r="AR27" s="3327"/>
      <c r="AS27" s="3327"/>
      <c r="AT27" s="3337"/>
      <c r="AU27" s="3338"/>
      <c r="AV27" s="1410">
        <f t="shared" si="11"/>
        <v>0</v>
      </c>
      <c r="AW27" s="1410">
        <f t="shared" si="12"/>
        <v>0</v>
      </c>
      <c r="AX27" s="1410">
        <f t="shared" si="13"/>
        <v>0</v>
      </c>
      <c r="AY27" s="3352">
        <f t="shared" si="14"/>
        <v>0</v>
      </c>
      <c r="AZ27" s="3307">
        <f t="shared" si="15"/>
        <v>0</v>
      </c>
      <c r="BA27" s="3307">
        <f t="shared" si="16"/>
        <v>0</v>
      </c>
      <c r="BB27" s="3307">
        <f t="shared" si="17"/>
        <v>0</v>
      </c>
      <c r="BC27" s="3307">
        <f t="shared" si="18"/>
        <v>0</v>
      </c>
      <c r="BD27" s="3307">
        <f t="shared" si="19"/>
        <v>0</v>
      </c>
      <c r="BE27" s="3307">
        <f t="shared" si="20"/>
        <v>0</v>
      </c>
      <c r="BF27" s="3307">
        <f t="shared" si="21"/>
        <v>0</v>
      </c>
      <c r="BG27" s="3307">
        <f t="shared" si="22"/>
        <v>0</v>
      </c>
      <c r="BH27" s="3307">
        <f t="shared" si="23"/>
        <v>0</v>
      </c>
      <c r="BI27" s="3307">
        <f t="shared" si="24"/>
        <v>0</v>
      </c>
      <c r="BJ27" s="3307">
        <f t="shared" si="25"/>
        <v>0</v>
      </c>
      <c r="BK27" s="3307">
        <f t="shared" si="26"/>
        <v>0</v>
      </c>
      <c r="BL27" s="3307">
        <f t="shared" si="27"/>
        <v>0</v>
      </c>
      <c r="BM27" s="3307">
        <f t="shared" si="28"/>
        <v>0</v>
      </c>
      <c r="BN27" s="3307">
        <f t="shared" si="29"/>
        <v>0</v>
      </c>
      <c r="BO27" s="3307">
        <f t="shared" si="30"/>
        <v>0</v>
      </c>
      <c r="BP27" s="3307">
        <f t="shared" si="31"/>
        <v>0</v>
      </c>
      <c r="BQ27" s="3307">
        <f t="shared" si="32"/>
        <v>0</v>
      </c>
      <c r="BR27" s="3307">
        <f t="shared" si="33"/>
        <v>0</v>
      </c>
      <c r="BS27" s="3307">
        <f t="shared" si="34"/>
        <v>0</v>
      </c>
      <c r="BT27" s="3359">
        <f t="shared" si="35"/>
        <v>0</v>
      </c>
    </row>
    <row r="28" spans="1:72">
      <c r="A28" s="3304"/>
      <c r="B28" s="3305"/>
      <c r="C28" s="3305"/>
      <c r="D28" s="3306"/>
      <c r="E28" s="3307">
        <f t="shared" si="7"/>
        <v>0</v>
      </c>
      <c r="F28" s="3308"/>
      <c r="G28" s="3309">
        <f t="shared" si="8"/>
        <v>0</v>
      </c>
      <c r="H28" s="3310">
        <f t="shared" si="9"/>
        <v>0</v>
      </c>
      <c r="I28" s="3317"/>
      <c r="J28" s="3317"/>
      <c r="K28" s="3317"/>
      <c r="L28" s="3317"/>
      <c r="M28" s="3317"/>
      <c r="N28" s="3317"/>
      <c r="O28" s="3317"/>
      <c r="P28" s="3317"/>
      <c r="Q28" s="3317"/>
      <c r="R28" s="3317"/>
      <c r="S28" s="3317"/>
      <c r="T28" s="3317"/>
      <c r="U28" s="3317"/>
      <c r="V28" s="3317"/>
      <c r="W28" s="3317"/>
      <c r="X28" s="3317"/>
      <c r="Y28" s="3317"/>
      <c r="Z28" s="3317"/>
      <c r="AA28" s="3317"/>
      <c r="AB28" s="3317"/>
      <c r="AC28" s="3307">
        <f t="shared" si="10"/>
        <v>0</v>
      </c>
      <c r="AD28" s="3327"/>
      <c r="AE28" s="3327"/>
      <c r="AF28" s="3327"/>
      <c r="AG28" s="3327"/>
      <c r="AH28" s="3327"/>
      <c r="AI28" s="3327"/>
      <c r="AJ28" s="3327"/>
      <c r="AK28" s="3327"/>
      <c r="AL28" s="3327"/>
      <c r="AM28" s="3327"/>
      <c r="AN28" s="3327"/>
      <c r="AO28" s="3327"/>
      <c r="AP28" s="3327"/>
      <c r="AQ28" s="3327"/>
      <c r="AR28" s="3327"/>
      <c r="AS28" s="3327"/>
      <c r="AT28" s="3337"/>
      <c r="AU28" s="3338"/>
      <c r="AV28" s="1410">
        <f t="shared" si="11"/>
        <v>0</v>
      </c>
      <c r="AW28" s="1410">
        <f t="shared" si="12"/>
        <v>0</v>
      </c>
      <c r="AX28" s="1410">
        <f t="shared" si="13"/>
        <v>0</v>
      </c>
      <c r="AY28" s="3352">
        <f t="shared" si="14"/>
        <v>0</v>
      </c>
      <c r="AZ28" s="3307">
        <f t="shared" si="15"/>
        <v>0</v>
      </c>
      <c r="BA28" s="3307">
        <f t="shared" si="16"/>
        <v>0</v>
      </c>
      <c r="BB28" s="3307">
        <f t="shared" si="17"/>
        <v>0</v>
      </c>
      <c r="BC28" s="3307">
        <f t="shared" si="18"/>
        <v>0</v>
      </c>
      <c r="BD28" s="3307">
        <f t="shared" si="19"/>
        <v>0</v>
      </c>
      <c r="BE28" s="3307">
        <f t="shared" si="20"/>
        <v>0</v>
      </c>
      <c r="BF28" s="3307">
        <f t="shared" si="21"/>
        <v>0</v>
      </c>
      <c r="BG28" s="3307">
        <f t="shared" si="22"/>
        <v>0</v>
      </c>
      <c r="BH28" s="3307">
        <f t="shared" si="23"/>
        <v>0</v>
      </c>
      <c r="BI28" s="3307">
        <f t="shared" si="24"/>
        <v>0</v>
      </c>
      <c r="BJ28" s="3307">
        <f t="shared" si="25"/>
        <v>0</v>
      </c>
      <c r="BK28" s="3307">
        <f t="shared" si="26"/>
        <v>0</v>
      </c>
      <c r="BL28" s="3307">
        <f t="shared" si="27"/>
        <v>0</v>
      </c>
      <c r="BM28" s="3307">
        <f t="shared" si="28"/>
        <v>0</v>
      </c>
      <c r="BN28" s="3307">
        <f t="shared" si="29"/>
        <v>0</v>
      </c>
      <c r="BO28" s="3307">
        <f t="shared" si="30"/>
        <v>0</v>
      </c>
      <c r="BP28" s="3307">
        <f t="shared" si="31"/>
        <v>0</v>
      </c>
      <c r="BQ28" s="3307">
        <f t="shared" si="32"/>
        <v>0</v>
      </c>
      <c r="BR28" s="3307">
        <f t="shared" si="33"/>
        <v>0</v>
      </c>
      <c r="BS28" s="3307">
        <f t="shared" si="34"/>
        <v>0</v>
      </c>
      <c r="BT28" s="3359">
        <f t="shared" si="35"/>
        <v>0</v>
      </c>
    </row>
    <row r="29" spans="1:72">
      <c r="A29" s="3304"/>
      <c r="B29" s="3305"/>
      <c r="C29" s="3305"/>
      <c r="D29" s="3306"/>
      <c r="E29" s="3307">
        <f t="shared" si="7"/>
        <v>0</v>
      </c>
      <c r="F29" s="3308"/>
      <c r="G29" s="3309">
        <f t="shared" si="8"/>
        <v>0</v>
      </c>
      <c r="H29" s="3310">
        <f t="shared" si="9"/>
        <v>0</v>
      </c>
      <c r="I29" s="3317"/>
      <c r="J29" s="3317"/>
      <c r="K29" s="3317"/>
      <c r="L29" s="3317"/>
      <c r="M29" s="3317"/>
      <c r="N29" s="3317"/>
      <c r="O29" s="3317"/>
      <c r="P29" s="3317"/>
      <c r="Q29" s="3317"/>
      <c r="R29" s="3317"/>
      <c r="S29" s="3317"/>
      <c r="T29" s="3317"/>
      <c r="U29" s="3317"/>
      <c r="V29" s="3317"/>
      <c r="W29" s="3317"/>
      <c r="X29" s="3317"/>
      <c r="Y29" s="3317"/>
      <c r="Z29" s="3317"/>
      <c r="AA29" s="3317"/>
      <c r="AB29" s="3317"/>
      <c r="AC29" s="3307">
        <f t="shared" si="10"/>
        <v>0</v>
      </c>
      <c r="AD29" s="3327"/>
      <c r="AE29" s="3327"/>
      <c r="AF29" s="3327"/>
      <c r="AG29" s="3327"/>
      <c r="AH29" s="3327"/>
      <c r="AI29" s="3327"/>
      <c r="AJ29" s="3327"/>
      <c r="AK29" s="3327"/>
      <c r="AL29" s="3327"/>
      <c r="AM29" s="3327"/>
      <c r="AN29" s="3327"/>
      <c r="AO29" s="3327"/>
      <c r="AP29" s="3327"/>
      <c r="AQ29" s="3327"/>
      <c r="AR29" s="3327"/>
      <c r="AS29" s="3327"/>
      <c r="AT29" s="3337"/>
      <c r="AU29" s="3338"/>
      <c r="AV29" s="1410">
        <f t="shared" si="11"/>
        <v>0</v>
      </c>
      <c r="AW29" s="1410">
        <f t="shared" si="12"/>
        <v>0</v>
      </c>
      <c r="AX29" s="1410">
        <f t="shared" si="13"/>
        <v>0</v>
      </c>
      <c r="AY29" s="3352">
        <f t="shared" si="14"/>
        <v>0</v>
      </c>
      <c r="AZ29" s="3307">
        <f t="shared" si="15"/>
        <v>0</v>
      </c>
      <c r="BA29" s="3307">
        <f t="shared" si="16"/>
        <v>0</v>
      </c>
      <c r="BB29" s="3307">
        <f t="shared" si="17"/>
        <v>0</v>
      </c>
      <c r="BC29" s="3307">
        <f t="shared" si="18"/>
        <v>0</v>
      </c>
      <c r="BD29" s="3307">
        <f t="shared" si="19"/>
        <v>0</v>
      </c>
      <c r="BE29" s="3307">
        <f t="shared" si="20"/>
        <v>0</v>
      </c>
      <c r="BF29" s="3307">
        <f t="shared" si="21"/>
        <v>0</v>
      </c>
      <c r="BG29" s="3307">
        <f t="shared" si="22"/>
        <v>0</v>
      </c>
      <c r="BH29" s="3307">
        <f t="shared" si="23"/>
        <v>0</v>
      </c>
      <c r="BI29" s="3307">
        <f t="shared" si="24"/>
        <v>0</v>
      </c>
      <c r="BJ29" s="3307">
        <f t="shared" si="25"/>
        <v>0</v>
      </c>
      <c r="BK29" s="3307">
        <f t="shared" si="26"/>
        <v>0</v>
      </c>
      <c r="BL29" s="3307">
        <f t="shared" si="27"/>
        <v>0</v>
      </c>
      <c r="BM29" s="3307">
        <f t="shared" si="28"/>
        <v>0</v>
      </c>
      <c r="BN29" s="3307">
        <f t="shared" si="29"/>
        <v>0</v>
      </c>
      <c r="BO29" s="3307">
        <f t="shared" si="30"/>
        <v>0</v>
      </c>
      <c r="BP29" s="3307">
        <f t="shared" si="31"/>
        <v>0</v>
      </c>
      <c r="BQ29" s="3307">
        <f t="shared" si="32"/>
        <v>0</v>
      </c>
      <c r="BR29" s="3307">
        <f t="shared" si="33"/>
        <v>0</v>
      </c>
      <c r="BS29" s="3307">
        <f t="shared" si="34"/>
        <v>0</v>
      </c>
      <c r="BT29" s="3359">
        <f t="shared" si="35"/>
        <v>0</v>
      </c>
    </row>
    <row r="30" spans="1:72">
      <c r="A30" s="3304"/>
      <c r="B30" s="3305"/>
      <c r="C30" s="3305"/>
      <c r="D30" s="3306"/>
      <c r="E30" s="3307">
        <f t="shared" si="7"/>
        <v>0</v>
      </c>
      <c r="F30" s="3308"/>
      <c r="G30" s="3309">
        <f t="shared" si="8"/>
        <v>0</v>
      </c>
      <c r="H30" s="3310">
        <f t="shared" si="9"/>
        <v>0</v>
      </c>
      <c r="I30" s="3317"/>
      <c r="J30" s="3317"/>
      <c r="K30" s="3317"/>
      <c r="L30" s="3317"/>
      <c r="M30" s="3317"/>
      <c r="N30" s="3317"/>
      <c r="O30" s="3317"/>
      <c r="P30" s="3317"/>
      <c r="Q30" s="3317"/>
      <c r="R30" s="3317"/>
      <c r="S30" s="3317"/>
      <c r="T30" s="3317"/>
      <c r="U30" s="3317"/>
      <c r="V30" s="3317"/>
      <c r="W30" s="3317"/>
      <c r="X30" s="3317"/>
      <c r="Y30" s="3317"/>
      <c r="Z30" s="3317"/>
      <c r="AA30" s="3317"/>
      <c r="AB30" s="3317"/>
      <c r="AC30" s="3307">
        <f t="shared" si="10"/>
        <v>0</v>
      </c>
      <c r="AD30" s="3327"/>
      <c r="AE30" s="3327"/>
      <c r="AF30" s="3327"/>
      <c r="AG30" s="3327"/>
      <c r="AH30" s="3327"/>
      <c r="AI30" s="3327"/>
      <c r="AJ30" s="3327"/>
      <c r="AK30" s="3327"/>
      <c r="AL30" s="3327"/>
      <c r="AM30" s="3327"/>
      <c r="AN30" s="3327"/>
      <c r="AO30" s="3327"/>
      <c r="AP30" s="3327"/>
      <c r="AQ30" s="3327"/>
      <c r="AR30" s="3327"/>
      <c r="AS30" s="3327"/>
      <c r="AT30" s="3337"/>
      <c r="AU30" s="3338"/>
      <c r="AV30" s="1410">
        <f t="shared" si="11"/>
        <v>0</v>
      </c>
      <c r="AW30" s="1410">
        <f t="shared" si="12"/>
        <v>0</v>
      </c>
      <c r="AX30" s="1410">
        <f t="shared" si="13"/>
        <v>0</v>
      </c>
      <c r="AY30" s="3352">
        <f t="shared" si="14"/>
        <v>0</v>
      </c>
      <c r="AZ30" s="3307">
        <f t="shared" si="15"/>
        <v>0</v>
      </c>
      <c r="BA30" s="3307">
        <f t="shared" si="16"/>
        <v>0</v>
      </c>
      <c r="BB30" s="3307">
        <f t="shared" si="17"/>
        <v>0</v>
      </c>
      <c r="BC30" s="3307">
        <f t="shared" si="18"/>
        <v>0</v>
      </c>
      <c r="BD30" s="3307">
        <f t="shared" si="19"/>
        <v>0</v>
      </c>
      <c r="BE30" s="3307">
        <f t="shared" si="20"/>
        <v>0</v>
      </c>
      <c r="BF30" s="3307">
        <f t="shared" si="21"/>
        <v>0</v>
      </c>
      <c r="BG30" s="3307">
        <f t="shared" si="22"/>
        <v>0</v>
      </c>
      <c r="BH30" s="3307">
        <f t="shared" si="23"/>
        <v>0</v>
      </c>
      <c r="BI30" s="3307">
        <f t="shared" si="24"/>
        <v>0</v>
      </c>
      <c r="BJ30" s="3307">
        <f t="shared" si="25"/>
        <v>0</v>
      </c>
      <c r="BK30" s="3307">
        <f t="shared" si="26"/>
        <v>0</v>
      </c>
      <c r="BL30" s="3307">
        <f t="shared" si="27"/>
        <v>0</v>
      </c>
      <c r="BM30" s="3307">
        <f t="shared" si="28"/>
        <v>0</v>
      </c>
      <c r="BN30" s="3307">
        <f t="shared" si="29"/>
        <v>0</v>
      </c>
      <c r="BO30" s="3307">
        <f t="shared" si="30"/>
        <v>0</v>
      </c>
      <c r="BP30" s="3307">
        <f t="shared" si="31"/>
        <v>0</v>
      </c>
      <c r="BQ30" s="3307">
        <f t="shared" si="32"/>
        <v>0</v>
      </c>
      <c r="BR30" s="3307">
        <f t="shared" si="33"/>
        <v>0</v>
      </c>
      <c r="BS30" s="3307">
        <f t="shared" si="34"/>
        <v>0</v>
      </c>
      <c r="BT30" s="3359">
        <f t="shared" si="35"/>
        <v>0</v>
      </c>
    </row>
    <row r="31" spans="1:72">
      <c r="A31" s="3304"/>
      <c r="B31" s="3305"/>
      <c r="C31" s="3305"/>
      <c r="D31" s="3306"/>
      <c r="E31" s="3307">
        <f t="shared" si="7"/>
        <v>0</v>
      </c>
      <c r="F31" s="3308"/>
      <c r="G31" s="3309">
        <f t="shared" si="8"/>
        <v>0</v>
      </c>
      <c r="H31" s="3310">
        <f t="shared" si="9"/>
        <v>0</v>
      </c>
      <c r="I31" s="3317"/>
      <c r="J31" s="3317"/>
      <c r="K31" s="3317"/>
      <c r="L31" s="3317"/>
      <c r="M31" s="3317"/>
      <c r="N31" s="3317"/>
      <c r="O31" s="3317"/>
      <c r="P31" s="3317"/>
      <c r="Q31" s="3317"/>
      <c r="R31" s="3317"/>
      <c r="S31" s="3317"/>
      <c r="T31" s="3317"/>
      <c r="U31" s="3317"/>
      <c r="V31" s="3317"/>
      <c r="W31" s="3317"/>
      <c r="X31" s="3317"/>
      <c r="Y31" s="3317"/>
      <c r="Z31" s="3317"/>
      <c r="AA31" s="3317"/>
      <c r="AB31" s="3317"/>
      <c r="AC31" s="3307">
        <f t="shared" si="10"/>
        <v>0</v>
      </c>
      <c r="AD31" s="3327"/>
      <c r="AE31" s="3327"/>
      <c r="AF31" s="3327"/>
      <c r="AG31" s="3327"/>
      <c r="AH31" s="3327"/>
      <c r="AI31" s="3327"/>
      <c r="AJ31" s="3327"/>
      <c r="AK31" s="3327"/>
      <c r="AL31" s="3327"/>
      <c r="AM31" s="3327"/>
      <c r="AN31" s="3327"/>
      <c r="AO31" s="3327"/>
      <c r="AP31" s="3327"/>
      <c r="AQ31" s="3327"/>
      <c r="AR31" s="3327"/>
      <c r="AS31" s="3327"/>
      <c r="AT31" s="3337"/>
      <c r="AU31" s="3338"/>
      <c r="AV31" s="1410">
        <f t="shared" si="11"/>
        <v>0</v>
      </c>
      <c r="AW31" s="1410">
        <f t="shared" si="12"/>
        <v>0</v>
      </c>
      <c r="AX31" s="1410">
        <f t="shared" si="13"/>
        <v>0</v>
      </c>
      <c r="AY31" s="3352">
        <f t="shared" si="14"/>
        <v>0</v>
      </c>
      <c r="AZ31" s="3307">
        <f t="shared" si="15"/>
        <v>0</v>
      </c>
      <c r="BA31" s="3307">
        <f t="shared" si="16"/>
        <v>0</v>
      </c>
      <c r="BB31" s="3307">
        <f t="shared" si="17"/>
        <v>0</v>
      </c>
      <c r="BC31" s="3307">
        <f t="shared" si="18"/>
        <v>0</v>
      </c>
      <c r="BD31" s="3307">
        <f t="shared" si="19"/>
        <v>0</v>
      </c>
      <c r="BE31" s="3307">
        <f t="shared" si="20"/>
        <v>0</v>
      </c>
      <c r="BF31" s="3307">
        <f t="shared" si="21"/>
        <v>0</v>
      </c>
      <c r="BG31" s="3307">
        <f t="shared" si="22"/>
        <v>0</v>
      </c>
      <c r="BH31" s="3307">
        <f t="shared" si="23"/>
        <v>0</v>
      </c>
      <c r="BI31" s="3307">
        <f t="shared" si="24"/>
        <v>0</v>
      </c>
      <c r="BJ31" s="3307">
        <f t="shared" si="25"/>
        <v>0</v>
      </c>
      <c r="BK31" s="3307">
        <f t="shared" si="26"/>
        <v>0</v>
      </c>
      <c r="BL31" s="3307">
        <f t="shared" si="27"/>
        <v>0</v>
      </c>
      <c r="BM31" s="3307">
        <f t="shared" si="28"/>
        <v>0</v>
      </c>
      <c r="BN31" s="3307">
        <f t="shared" si="29"/>
        <v>0</v>
      </c>
      <c r="BO31" s="3307">
        <f t="shared" si="30"/>
        <v>0</v>
      </c>
      <c r="BP31" s="3307">
        <f t="shared" si="31"/>
        <v>0</v>
      </c>
      <c r="BQ31" s="3307">
        <f t="shared" si="32"/>
        <v>0</v>
      </c>
      <c r="BR31" s="3307">
        <f t="shared" si="33"/>
        <v>0</v>
      </c>
      <c r="BS31" s="3307">
        <f t="shared" si="34"/>
        <v>0</v>
      </c>
      <c r="BT31" s="3359">
        <f t="shared" si="35"/>
        <v>0</v>
      </c>
    </row>
    <row r="32" spans="1:72">
      <c r="A32" s="3304"/>
      <c r="B32" s="3305"/>
      <c r="C32" s="3305"/>
      <c r="D32" s="3306"/>
      <c r="E32" s="3307">
        <f t="shared" si="7"/>
        <v>0</v>
      </c>
      <c r="F32" s="3308"/>
      <c r="G32" s="3309">
        <f t="shared" si="8"/>
        <v>0</v>
      </c>
      <c r="H32" s="3310">
        <f t="shared" si="9"/>
        <v>0</v>
      </c>
      <c r="I32" s="3317"/>
      <c r="J32" s="3317"/>
      <c r="K32" s="3317"/>
      <c r="L32" s="3317"/>
      <c r="M32" s="3317"/>
      <c r="N32" s="3317"/>
      <c r="O32" s="3317"/>
      <c r="P32" s="3317"/>
      <c r="Q32" s="3317"/>
      <c r="R32" s="3317"/>
      <c r="S32" s="3317"/>
      <c r="T32" s="3317"/>
      <c r="U32" s="3317"/>
      <c r="V32" s="3317"/>
      <c r="W32" s="3317"/>
      <c r="X32" s="3317"/>
      <c r="Y32" s="3317"/>
      <c r="Z32" s="3317"/>
      <c r="AA32" s="3317"/>
      <c r="AB32" s="3317"/>
      <c r="AC32" s="3307">
        <f t="shared" si="10"/>
        <v>0</v>
      </c>
      <c r="AD32" s="3327"/>
      <c r="AE32" s="3327"/>
      <c r="AF32" s="3327"/>
      <c r="AG32" s="3327"/>
      <c r="AH32" s="3327"/>
      <c r="AI32" s="3327"/>
      <c r="AJ32" s="3327"/>
      <c r="AK32" s="3327"/>
      <c r="AL32" s="3327"/>
      <c r="AM32" s="3327"/>
      <c r="AN32" s="3327"/>
      <c r="AO32" s="3327"/>
      <c r="AP32" s="3327"/>
      <c r="AQ32" s="3327"/>
      <c r="AR32" s="3327"/>
      <c r="AS32" s="3327"/>
      <c r="AT32" s="3337"/>
      <c r="AU32" s="3338"/>
      <c r="AV32" s="1410">
        <f t="shared" si="11"/>
        <v>0</v>
      </c>
      <c r="AW32" s="1410">
        <f t="shared" si="12"/>
        <v>0</v>
      </c>
      <c r="AX32" s="1410">
        <f t="shared" si="13"/>
        <v>0</v>
      </c>
      <c r="AY32" s="3352">
        <f t="shared" si="14"/>
        <v>0</v>
      </c>
      <c r="AZ32" s="3307">
        <f t="shared" si="15"/>
        <v>0</v>
      </c>
      <c r="BA32" s="3307">
        <f t="shared" si="16"/>
        <v>0</v>
      </c>
      <c r="BB32" s="3307">
        <f t="shared" si="17"/>
        <v>0</v>
      </c>
      <c r="BC32" s="3307">
        <f t="shared" si="18"/>
        <v>0</v>
      </c>
      <c r="BD32" s="3307">
        <f t="shared" si="19"/>
        <v>0</v>
      </c>
      <c r="BE32" s="3307">
        <f t="shared" si="20"/>
        <v>0</v>
      </c>
      <c r="BF32" s="3307">
        <f t="shared" si="21"/>
        <v>0</v>
      </c>
      <c r="BG32" s="3307">
        <f t="shared" si="22"/>
        <v>0</v>
      </c>
      <c r="BH32" s="3307">
        <f t="shared" si="23"/>
        <v>0</v>
      </c>
      <c r="BI32" s="3307">
        <f t="shared" si="24"/>
        <v>0</v>
      </c>
      <c r="BJ32" s="3307">
        <f t="shared" si="25"/>
        <v>0</v>
      </c>
      <c r="BK32" s="3307">
        <f t="shared" si="26"/>
        <v>0</v>
      </c>
      <c r="BL32" s="3307">
        <f t="shared" si="27"/>
        <v>0</v>
      </c>
      <c r="BM32" s="3307">
        <f t="shared" si="28"/>
        <v>0</v>
      </c>
      <c r="BN32" s="3307">
        <f t="shared" si="29"/>
        <v>0</v>
      </c>
      <c r="BO32" s="3307">
        <f t="shared" si="30"/>
        <v>0</v>
      </c>
      <c r="BP32" s="3307">
        <f t="shared" si="31"/>
        <v>0</v>
      </c>
      <c r="BQ32" s="3307">
        <f t="shared" si="32"/>
        <v>0</v>
      </c>
      <c r="BR32" s="3307">
        <f t="shared" si="33"/>
        <v>0</v>
      </c>
      <c r="BS32" s="3307">
        <f t="shared" si="34"/>
        <v>0</v>
      </c>
      <c r="BT32" s="3359">
        <f t="shared" si="35"/>
        <v>0</v>
      </c>
    </row>
    <row r="33" spans="1:72">
      <c r="A33" s="3304"/>
      <c r="B33" s="3305"/>
      <c r="C33" s="3305"/>
      <c r="D33" s="3306"/>
      <c r="E33" s="3307">
        <f t="shared" si="7"/>
        <v>0</v>
      </c>
      <c r="F33" s="3308"/>
      <c r="G33" s="3309">
        <f t="shared" si="8"/>
        <v>0</v>
      </c>
      <c r="H33" s="3310">
        <f t="shared" si="9"/>
        <v>0</v>
      </c>
      <c r="I33" s="3317"/>
      <c r="J33" s="3317"/>
      <c r="K33" s="3317"/>
      <c r="L33" s="3317"/>
      <c r="M33" s="3317"/>
      <c r="N33" s="3317"/>
      <c r="O33" s="3317"/>
      <c r="P33" s="3317"/>
      <c r="Q33" s="3317"/>
      <c r="R33" s="3317"/>
      <c r="S33" s="3317"/>
      <c r="T33" s="3317"/>
      <c r="U33" s="3317"/>
      <c r="V33" s="3317"/>
      <c r="W33" s="3317"/>
      <c r="X33" s="3317"/>
      <c r="Y33" s="3317"/>
      <c r="Z33" s="3317"/>
      <c r="AA33" s="3317"/>
      <c r="AB33" s="3317"/>
      <c r="AC33" s="3307">
        <f t="shared" si="10"/>
        <v>0</v>
      </c>
      <c r="AD33" s="3327"/>
      <c r="AE33" s="3327"/>
      <c r="AF33" s="3327"/>
      <c r="AG33" s="3327"/>
      <c r="AH33" s="3327"/>
      <c r="AI33" s="3327"/>
      <c r="AJ33" s="3327"/>
      <c r="AK33" s="3327"/>
      <c r="AL33" s="3327"/>
      <c r="AM33" s="3327"/>
      <c r="AN33" s="3327"/>
      <c r="AO33" s="3327"/>
      <c r="AP33" s="3327"/>
      <c r="AQ33" s="3327"/>
      <c r="AR33" s="3327"/>
      <c r="AS33" s="3327"/>
      <c r="AT33" s="3337"/>
      <c r="AU33" s="3338"/>
      <c r="AV33" s="1410">
        <f t="shared" si="11"/>
        <v>0</v>
      </c>
      <c r="AW33" s="1410">
        <f t="shared" si="12"/>
        <v>0</v>
      </c>
      <c r="AX33" s="1410">
        <f t="shared" si="13"/>
        <v>0</v>
      </c>
      <c r="AY33" s="3352">
        <f t="shared" si="14"/>
        <v>0</v>
      </c>
      <c r="AZ33" s="3307">
        <f t="shared" si="15"/>
        <v>0</v>
      </c>
      <c r="BA33" s="3307">
        <f t="shared" si="16"/>
        <v>0</v>
      </c>
      <c r="BB33" s="3307">
        <f t="shared" si="17"/>
        <v>0</v>
      </c>
      <c r="BC33" s="3307">
        <f t="shared" si="18"/>
        <v>0</v>
      </c>
      <c r="BD33" s="3307">
        <f t="shared" si="19"/>
        <v>0</v>
      </c>
      <c r="BE33" s="3307">
        <f t="shared" si="20"/>
        <v>0</v>
      </c>
      <c r="BF33" s="3307">
        <f t="shared" si="21"/>
        <v>0</v>
      </c>
      <c r="BG33" s="3307">
        <f t="shared" si="22"/>
        <v>0</v>
      </c>
      <c r="BH33" s="3307">
        <f t="shared" si="23"/>
        <v>0</v>
      </c>
      <c r="BI33" s="3307">
        <f t="shared" si="24"/>
        <v>0</v>
      </c>
      <c r="BJ33" s="3307">
        <f t="shared" si="25"/>
        <v>0</v>
      </c>
      <c r="BK33" s="3307">
        <f t="shared" si="26"/>
        <v>0</v>
      </c>
      <c r="BL33" s="3307">
        <f t="shared" si="27"/>
        <v>0</v>
      </c>
      <c r="BM33" s="3307">
        <f t="shared" si="28"/>
        <v>0</v>
      </c>
      <c r="BN33" s="3307">
        <f t="shared" si="29"/>
        <v>0</v>
      </c>
      <c r="BO33" s="3307">
        <f t="shared" si="30"/>
        <v>0</v>
      </c>
      <c r="BP33" s="3307">
        <f t="shared" si="31"/>
        <v>0</v>
      </c>
      <c r="BQ33" s="3307">
        <f t="shared" si="32"/>
        <v>0</v>
      </c>
      <c r="BR33" s="3307">
        <f t="shared" si="33"/>
        <v>0</v>
      </c>
      <c r="BS33" s="3307">
        <f t="shared" si="34"/>
        <v>0</v>
      </c>
      <c r="BT33" s="3359">
        <f t="shared" si="35"/>
        <v>0</v>
      </c>
    </row>
    <row r="34" spans="1:72">
      <c r="A34" s="3304"/>
      <c r="B34" s="3305"/>
      <c r="C34" s="3305"/>
      <c r="D34" s="3306"/>
      <c r="E34" s="3307">
        <f t="shared" si="7"/>
        <v>0</v>
      </c>
      <c r="F34" s="3308"/>
      <c r="G34" s="3309">
        <f t="shared" si="8"/>
        <v>0</v>
      </c>
      <c r="H34" s="3310">
        <f t="shared" si="9"/>
        <v>0</v>
      </c>
      <c r="I34" s="3317"/>
      <c r="J34" s="3317"/>
      <c r="K34" s="3317"/>
      <c r="L34" s="3317"/>
      <c r="M34" s="3317"/>
      <c r="N34" s="3317"/>
      <c r="O34" s="3317"/>
      <c r="P34" s="3317"/>
      <c r="Q34" s="3317"/>
      <c r="R34" s="3317"/>
      <c r="S34" s="3317"/>
      <c r="T34" s="3317"/>
      <c r="U34" s="3317"/>
      <c r="V34" s="3317"/>
      <c r="W34" s="3317"/>
      <c r="X34" s="3317"/>
      <c r="Y34" s="3317"/>
      <c r="Z34" s="3317"/>
      <c r="AA34" s="3317"/>
      <c r="AB34" s="3317"/>
      <c r="AC34" s="3307">
        <f t="shared" si="10"/>
        <v>0</v>
      </c>
      <c r="AD34" s="3327"/>
      <c r="AE34" s="3327"/>
      <c r="AF34" s="3327"/>
      <c r="AG34" s="3327"/>
      <c r="AH34" s="3327"/>
      <c r="AI34" s="3327"/>
      <c r="AJ34" s="3327"/>
      <c r="AK34" s="3327"/>
      <c r="AL34" s="3327"/>
      <c r="AM34" s="3327"/>
      <c r="AN34" s="3327"/>
      <c r="AO34" s="3327"/>
      <c r="AP34" s="3327"/>
      <c r="AQ34" s="3327"/>
      <c r="AR34" s="3327"/>
      <c r="AS34" s="3327"/>
      <c r="AT34" s="3337"/>
      <c r="AU34" s="3338"/>
      <c r="AV34" s="1410">
        <f t="shared" si="11"/>
        <v>0</v>
      </c>
      <c r="AW34" s="1410">
        <f t="shared" si="12"/>
        <v>0</v>
      </c>
      <c r="AX34" s="1410">
        <f t="shared" si="13"/>
        <v>0</v>
      </c>
      <c r="AY34" s="3352">
        <f t="shared" si="14"/>
        <v>0</v>
      </c>
      <c r="AZ34" s="3307">
        <f t="shared" si="15"/>
        <v>0</v>
      </c>
      <c r="BA34" s="3307">
        <f t="shared" si="16"/>
        <v>0</v>
      </c>
      <c r="BB34" s="3307">
        <f t="shared" si="17"/>
        <v>0</v>
      </c>
      <c r="BC34" s="3307">
        <f t="shared" si="18"/>
        <v>0</v>
      </c>
      <c r="BD34" s="3307">
        <f t="shared" si="19"/>
        <v>0</v>
      </c>
      <c r="BE34" s="3307">
        <f t="shared" si="20"/>
        <v>0</v>
      </c>
      <c r="BF34" s="3307">
        <f t="shared" si="21"/>
        <v>0</v>
      </c>
      <c r="BG34" s="3307">
        <f t="shared" si="22"/>
        <v>0</v>
      </c>
      <c r="BH34" s="3307">
        <f t="shared" si="23"/>
        <v>0</v>
      </c>
      <c r="BI34" s="3307">
        <f t="shared" si="24"/>
        <v>0</v>
      </c>
      <c r="BJ34" s="3307">
        <f t="shared" si="25"/>
        <v>0</v>
      </c>
      <c r="BK34" s="3307">
        <f t="shared" si="26"/>
        <v>0</v>
      </c>
      <c r="BL34" s="3307">
        <f t="shared" si="27"/>
        <v>0</v>
      </c>
      <c r="BM34" s="3307">
        <f t="shared" si="28"/>
        <v>0</v>
      </c>
      <c r="BN34" s="3307">
        <f t="shared" si="29"/>
        <v>0</v>
      </c>
      <c r="BO34" s="3307">
        <f t="shared" si="30"/>
        <v>0</v>
      </c>
      <c r="BP34" s="3307">
        <f t="shared" si="31"/>
        <v>0</v>
      </c>
      <c r="BQ34" s="3307">
        <f t="shared" si="32"/>
        <v>0</v>
      </c>
      <c r="BR34" s="3307">
        <f t="shared" si="33"/>
        <v>0</v>
      </c>
      <c r="BS34" s="3307">
        <f t="shared" si="34"/>
        <v>0</v>
      </c>
      <c r="BT34" s="3359">
        <f t="shared" si="35"/>
        <v>0</v>
      </c>
    </row>
    <row r="35" spans="1:72">
      <c r="A35" s="3304"/>
      <c r="B35" s="3305"/>
      <c r="C35" s="3305"/>
      <c r="D35" s="3306"/>
      <c r="E35" s="3307">
        <f t="shared" si="7"/>
        <v>0</v>
      </c>
      <c r="F35" s="3308"/>
      <c r="G35" s="3309">
        <f t="shared" si="8"/>
        <v>0</v>
      </c>
      <c r="H35" s="3310">
        <f t="shared" si="9"/>
        <v>0</v>
      </c>
      <c r="I35" s="3317"/>
      <c r="J35" s="3317"/>
      <c r="K35" s="3317"/>
      <c r="L35" s="3317"/>
      <c r="M35" s="3317"/>
      <c r="N35" s="3317"/>
      <c r="O35" s="3317"/>
      <c r="P35" s="3317"/>
      <c r="Q35" s="3317"/>
      <c r="R35" s="3317"/>
      <c r="S35" s="3317"/>
      <c r="T35" s="3317"/>
      <c r="U35" s="3317"/>
      <c r="V35" s="3317"/>
      <c r="W35" s="3317"/>
      <c r="X35" s="3317"/>
      <c r="Y35" s="3317"/>
      <c r="Z35" s="3317"/>
      <c r="AA35" s="3317"/>
      <c r="AB35" s="3317"/>
      <c r="AC35" s="3307">
        <f t="shared" si="10"/>
        <v>0</v>
      </c>
      <c r="AD35" s="3327"/>
      <c r="AE35" s="3327"/>
      <c r="AF35" s="3327"/>
      <c r="AG35" s="3327"/>
      <c r="AH35" s="3327"/>
      <c r="AI35" s="3327"/>
      <c r="AJ35" s="3327"/>
      <c r="AK35" s="3327"/>
      <c r="AL35" s="3327"/>
      <c r="AM35" s="3327"/>
      <c r="AN35" s="3327"/>
      <c r="AO35" s="3327"/>
      <c r="AP35" s="3327"/>
      <c r="AQ35" s="3327"/>
      <c r="AR35" s="3327"/>
      <c r="AS35" s="3327"/>
      <c r="AT35" s="3337"/>
      <c r="AU35" s="3338"/>
      <c r="AV35" s="1410">
        <f t="shared" si="11"/>
        <v>0</v>
      </c>
      <c r="AW35" s="1410">
        <f t="shared" si="12"/>
        <v>0</v>
      </c>
      <c r="AX35" s="1410">
        <f t="shared" si="13"/>
        <v>0</v>
      </c>
      <c r="AY35" s="3352">
        <f t="shared" si="14"/>
        <v>0</v>
      </c>
      <c r="AZ35" s="3307">
        <f t="shared" si="15"/>
        <v>0</v>
      </c>
      <c r="BA35" s="3307">
        <f t="shared" si="16"/>
        <v>0</v>
      </c>
      <c r="BB35" s="3307">
        <f t="shared" si="17"/>
        <v>0</v>
      </c>
      <c r="BC35" s="3307">
        <f t="shared" si="18"/>
        <v>0</v>
      </c>
      <c r="BD35" s="3307">
        <f t="shared" si="19"/>
        <v>0</v>
      </c>
      <c r="BE35" s="3307">
        <f t="shared" si="20"/>
        <v>0</v>
      </c>
      <c r="BF35" s="3307">
        <f t="shared" si="21"/>
        <v>0</v>
      </c>
      <c r="BG35" s="3307">
        <f t="shared" si="22"/>
        <v>0</v>
      </c>
      <c r="BH35" s="3307">
        <f t="shared" si="23"/>
        <v>0</v>
      </c>
      <c r="BI35" s="3307">
        <f t="shared" si="24"/>
        <v>0</v>
      </c>
      <c r="BJ35" s="3307">
        <f t="shared" si="25"/>
        <v>0</v>
      </c>
      <c r="BK35" s="3307">
        <f t="shared" si="26"/>
        <v>0</v>
      </c>
      <c r="BL35" s="3307">
        <f t="shared" si="27"/>
        <v>0</v>
      </c>
      <c r="BM35" s="3307">
        <f t="shared" si="28"/>
        <v>0</v>
      </c>
      <c r="BN35" s="3307">
        <f t="shared" si="29"/>
        <v>0</v>
      </c>
      <c r="BO35" s="3307">
        <f t="shared" si="30"/>
        <v>0</v>
      </c>
      <c r="BP35" s="3307">
        <f t="shared" si="31"/>
        <v>0</v>
      </c>
      <c r="BQ35" s="3307">
        <f t="shared" si="32"/>
        <v>0</v>
      </c>
      <c r="BR35" s="3307">
        <f t="shared" si="33"/>
        <v>0</v>
      </c>
      <c r="BS35" s="3307">
        <f t="shared" si="34"/>
        <v>0</v>
      </c>
      <c r="BT35" s="3359">
        <f t="shared" si="35"/>
        <v>0</v>
      </c>
    </row>
    <row r="36" spans="1:72">
      <c r="A36" s="3304"/>
      <c r="B36" s="3305"/>
      <c r="C36" s="3305"/>
      <c r="D36" s="3306"/>
      <c r="E36" s="3307">
        <f t="shared" si="7"/>
        <v>0</v>
      </c>
      <c r="F36" s="3308"/>
      <c r="G36" s="3309">
        <f t="shared" si="8"/>
        <v>0</v>
      </c>
      <c r="H36" s="3310">
        <f t="shared" si="9"/>
        <v>0</v>
      </c>
      <c r="I36" s="3317"/>
      <c r="J36" s="3317"/>
      <c r="K36" s="3317"/>
      <c r="L36" s="3317"/>
      <c r="M36" s="3317"/>
      <c r="N36" s="3317"/>
      <c r="O36" s="3317"/>
      <c r="P36" s="3317"/>
      <c r="Q36" s="3317"/>
      <c r="R36" s="3317"/>
      <c r="S36" s="3317"/>
      <c r="T36" s="3317"/>
      <c r="U36" s="3317"/>
      <c r="V36" s="3317"/>
      <c r="W36" s="3317"/>
      <c r="X36" s="3317"/>
      <c r="Y36" s="3317"/>
      <c r="Z36" s="3317"/>
      <c r="AA36" s="3317"/>
      <c r="AB36" s="3317"/>
      <c r="AC36" s="3307">
        <f t="shared" si="10"/>
        <v>0</v>
      </c>
      <c r="AD36" s="3327"/>
      <c r="AE36" s="3327"/>
      <c r="AF36" s="3327"/>
      <c r="AG36" s="3327"/>
      <c r="AH36" s="3327"/>
      <c r="AI36" s="3327"/>
      <c r="AJ36" s="3327"/>
      <c r="AK36" s="3327"/>
      <c r="AL36" s="3327"/>
      <c r="AM36" s="3327"/>
      <c r="AN36" s="3327"/>
      <c r="AO36" s="3327"/>
      <c r="AP36" s="3327"/>
      <c r="AQ36" s="3327"/>
      <c r="AR36" s="3327"/>
      <c r="AS36" s="3327"/>
      <c r="AT36" s="3337"/>
      <c r="AU36" s="3338"/>
      <c r="AV36" s="1410">
        <f t="shared" si="11"/>
        <v>0</v>
      </c>
      <c r="AW36" s="1410">
        <f t="shared" si="12"/>
        <v>0</v>
      </c>
      <c r="AX36" s="1410">
        <f t="shared" si="13"/>
        <v>0</v>
      </c>
      <c r="AY36" s="3352">
        <f t="shared" si="14"/>
        <v>0</v>
      </c>
      <c r="AZ36" s="3307">
        <f t="shared" si="15"/>
        <v>0</v>
      </c>
      <c r="BA36" s="3307">
        <f t="shared" si="16"/>
        <v>0</v>
      </c>
      <c r="BB36" s="3307">
        <f t="shared" si="17"/>
        <v>0</v>
      </c>
      <c r="BC36" s="3307">
        <f t="shared" si="18"/>
        <v>0</v>
      </c>
      <c r="BD36" s="3307">
        <f t="shared" si="19"/>
        <v>0</v>
      </c>
      <c r="BE36" s="3307">
        <f t="shared" si="20"/>
        <v>0</v>
      </c>
      <c r="BF36" s="3307">
        <f t="shared" si="21"/>
        <v>0</v>
      </c>
      <c r="BG36" s="3307">
        <f t="shared" si="22"/>
        <v>0</v>
      </c>
      <c r="BH36" s="3307">
        <f t="shared" si="23"/>
        <v>0</v>
      </c>
      <c r="BI36" s="3307">
        <f t="shared" si="24"/>
        <v>0</v>
      </c>
      <c r="BJ36" s="3307">
        <f t="shared" si="25"/>
        <v>0</v>
      </c>
      <c r="BK36" s="3307">
        <f t="shared" si="26"/>
        <v>0</v>
      </c>
      <c r="BL36" s="3307">
        <f t="shared" si="27"/>
        <v>0</v>
      </c>
      <c r="BM36" s="3307">
        <f t="shared" si="28"/>
        <v>0</v>
      </c>
      <c r="BN36" s="3307">
        <f t="shared" si="29"/>
        <v>0</v>
      </c>
      <c r="BO36" s="3307">
        <f t="shared" si="30"/>
        <v>0</v>
      </c>
      <c r="BP36" s="3307">
        <f t="shared" si="31"/>
        <v>0</v>
      </c>
      <c r="BQ36" s="3307">
        <f t="shared" si="32"/>
        <v>0</v>
      </c>
      <c r="BR36" s="3307">
        <f t="shared" si="33"/>
        <v>0</v>
      </c>
      <c r="BS36" s="3307">
        <f t="shared" si="34"/>
        <v>0</v>
      </c>
      <c r="BT36" s="3359">
        <f t="shared" si="35"/>
        <v>0</v>
      </c>
    </row>
    <row r="37" spans="1:72">
      <c r="A37" s="3304"/>
      <c r="B37" s="3305"/>
      <c r="C37" s="3305"/>
      <c r="D37" s="3306"/>
      <c r="E37" s="3307">
        <f t="shared" si="7"/>
        <v>0</v>
      </c>
      <c r="F37" s="3308"/>
      <c r="G37" s="3309">
        <f t="shared" si="8"/>
        <v>0</v>
      </c>
      <c r="H37" s="3310">
        <f t="shared" si="9"/>
        <v>0</v>
      </c>
      <c r="I37" s="3317"/>
      <c r="J37" s="3317"/>
      <c r="K37" s="3317"/>
      <c r="L37" s="3317"/>
      <c r="M37" s="3317"/>
      <c r="N37" s="3317"/>
      <c r="O37" s="3317"/>
      <c r="P37" s="3317"/>
      <c r="Q37" s="3317"/>
      <c r="R37" s="3317"/>
      <c r="S37" s="3317"/>
      <c r="T37" s="3317"/>
      <c r="U37" s="3317"/>
      <c r="V37" s="3317"/>
      <c r="W37" s="3317"/>
      <c r="X37" s="3317"/>
      <c r="Y37" s="3317"/>
      <c r="Z37" s="3317"/>
      <c r="AA37" s="3317"/>
      <c r="AB37" s="3317"/>
      <c r="AC37" s="3307">
        <f t="shared" si="10"/>
        <v>0</v>
      </c>
      <c r="AD37" s="3327"/>
      <c r="AE37" s="3327"/>
      <c r="AF37" s="3327"/>
      <c r="AG37" s="3327"/>
      <c r="AH37" s="3327"/>
      <c r="AI37" s="3327"/>
      <c r="AJ37" s="3327"/>
      <c r="AK37" s="3327"/>
      <c r="AL37" s="3327"/>
      <c r="AM37" s="3327"/>
      <c r="AN37" s="3327"/>
      <c r="AO37" s="3327"/>
      <c r="AP37" s="3327"/>
      <c r="AQ37" s="3327"/>
      <c r="AR37" s="3327"/>
      <c r="AS37" s="3327"/>
      <c r="AT37" s="3337"/>
      <c r="AU37" s="3338"/>
      <c r="AV37" s="1410">
        <f t="shared" si="11"/>
        <v>0</v>
      </c>
      <c r="AW37" s="1410">
        <f t="shared" si="12"/>
        <v>0</v>
      </c>
      <c r="AX37" s="1410">
        <f t="shared" si="13"/>
        <v>0</v>
      </c>
      <c r="AY37" s="3352">
        <f t="shared" si="14"/>
        <v>0</v>
      </c>
      <c r="AZ37" s="3307">
        <f t="shared" si="15"/>
        <v>0</v>
      </c>
      <c r="BA37" s="3307">
        <f t="shared" si="16"/>
        <v>0</v>
      </c>
      <c r="BB37" s="3307">
        <f t="shared" si="17"/>
        <v>0</v>
      </c>
      <c r="BC37" s="3307">
        <f t="shared" si="18"/>
        <v>0</v>
      </c>
      <c r="BD37" s="3307">
        <f t="shared" si="19"/>
        <v>0</v>
      </c>
      <c r="BE37" s="3307">
        <f t="shared" si="20"/>
        <v>0</v>
      </c>
      <c r="BF37" s="3307">
        <f t="shared" si="21"/>
        <v>0</v>
      </c>
      <c r="BG37" s="3307">
        <f t="shared" si="22"/>
        <v>0</v>
      </c>
      <c r="BH37" s="3307">
        <f t="shared" si="23"/>
        <v>0</v>
      </c>
      <c r="BI37" s="3307">
        <f t="shared" si="24"/>
        <v>0</v>
      </c>
      <c r="BJ37" s="3307">
        <f t="shared" si="25"/>
        <v>0</v>
      </c>
      <c r="BK37" s="3307">
        <f t="shared" si="26"/>
        <v>0</v>
      </c>
      <c r="BL37" s="3307">
        <f t="shared" si="27"/>
        <v>0</v>
      </c>
      <c r="BM37" s="3307">
        <f t="shared" si="28"/>
        <v>0</v>
      </c>
      <c r="BN37" s="3307">
        <f t="shared" si="29"/>
        <v>0</v>
      </c>
      <c r="BO37" s="3307">
        <f t="shared" si="30"/>
        <v>0</v>
      </c>
      <c r="BP37" s="3307">
        <f t="shared" si="31"/>
        <v>0</v>
      </c>
      <c r="BQ37" s="3307">
        <f t="shared" si="32"/>
        <v>0</v>
      </c>
      <c r="BR37" s="3307">
        <f t="shared" si="33"/>
        <v>0</v>
      </c>
      <c r="BS37" s="3307">
        <f t="shared" si="34"/>
        <v>0</v>
      </c>
      <c r="BT37" s="3359">
        <f t="shared" si="35"/>
        <v>0</v>
      </c>
    </row>
    <row r="38" spans="1:72">
      <c r="A38" s="3304"/>
      <c r="B38" s="3305"/>
      <c r="C38" s="3305"/>
      <c r="D38" s="3306"/>
      <c r="E38" s="3307">
        <f t="shared" si="7"/>
        <v>0</v>
      </c>
      <c r="F38" s="3308"/>
      <c r="G38" s="3309">
        <f t="shared" si="8"/>
        <v>0</v>
      </c>
      <c r="H38" s="3310">
        <f t="shared" si="9"/>
        <v>0</v>
      </c>
      <c r="I38" s="3317"/>
      <c r="J38" s="3317"/>
      <c r="K38" s="3317"/>
      <c r="L38" s="3317"/>
      <c r="M38" s="3317"/>
      <c r="N38" s="3317"/>
      <c r="O38" s="3317"/>
      <c r="P38" s="3317"/>
      <c r="Q38" s="3317"/>
      <c r="R38" s="3317"/>
      <c r="S38" s="3317"/>
      <c r="T38" s="3317"/>
      <c r="U38" s="3317"/>
      <c r="V38" s="3317"/>
      <c r="W38" s="3317"/>
      <c r="X38" s="3317"/>
      <c r="Y38" s="3317"/>
      <c r="Z38" s="3317"/>
      <c r="AA38" s="3317"/>
      <c r="AB38" s="3317"/>
      <c r="AC38" s="3307">
        <f t="shared" si="10"/>
        <v>0</v>
      </c>
      <c r="AD38" s="3327"/>
      <c r="AE38" s="3327"/>
      <c r="AF38" s="3327"/>
      <c r="AG38" s="3327"/>
      <c r="AH38" s="3327"/>
      <c r="AI38" s="3327"/>
      <c r="AJ38" s="3327"/>
      <c r="AK38" s="3327"/>
      <c r="AL38" s="3327"/>
      <c r="AM38" s="3327"/>
      <c r="AN38" s="3327"/>
      <c r="AO38" s="3327"/>
      <c r="AP38" s="3327"/>
      <c r="AQ38" s="3327"/>
      <c r="AR38" s="3327"/>
      <c r="AS38" s="3327"/>
      <c r="AT38" s="3337"/>
      <c r="AU38" s="3338"/>
      <c r="AV38" s="1410">
        <f t="shared" si="11"/>
        <v>0</v>
      </c>
      <c r="AW38" s="1410">
        <f t="shared" si="12"/>
        <v>0</v>
      </c>
      <c r="AX38" s="1410">
        <f t="shared" si="13"/>
        <v>0</v>
      </c>
      <c r="AY38" s="3352">
        <f t="shared" si="14"/>
        <v>0</v>
      </c>
      <c r="AZ38" s="3307">
        <f t="shared" si="15"/>
        <v>0</v>
      </c>
      <c r="BA38" s="3307">
        <f t="shared" si="16"/>
        <v>0</v>
      </c>
      <c r="BB38" s="3307">
        <f t="shared" si="17"/>
        <v>0</v>
      </c>
      <c r="BC38" s="3307">
        <f t="shared" si="18"/>
        <v>0</v>
      </c>
      <c r="BD38" s="3307">
        <f t="shared" si="19"/>
        <v>0</v>
      </c>
      <c r="BE38" s="3307">
        <f t="shared" si="20"/>
        <v>0</v>
      </c>
      <c r="BF38" s="3307">
        <f t="shared" si="21"/>
        <v>0</v>
      </c>
      <c r="BG38" s="3307">
        <f t="shared" si="22"/>
        <v>0</v>
      </c>
      <c r="BH38" s="3307">
        <f t="shared" si="23"/>
        <v>0</v>
      </c>
      <c r="BI38" s="3307">
        <f t="shared" si="24"/>
        <v>0</v>
      </c>
      <c r="BJ38" s="3307">
        <f t="shared" si="25"/>
        <v>0</v>
      </c>
      <c r="BK38" s="3307">
        <f t="shared" si="26"/>
        <v>0</v>
      </c>
      <c r="BL38" s="3307">
        <f t="shared" si="27"/>
        <v>0</v>
      </c>
      <c r="BM38" s="3307">
        <f t="shared" si="28"/>
        <v>0</v>
      </c>
      <c r="BN38" s="3307">
        <f t="shared" si="29"/>
        <v>0</v>
      </c>
      <c r="BO38" s="3307">
        <f t="shared" si="30"/>
        <v>0</v>
      </c>
      <c r="BP38" s="3307">
        <f t="shared" si="31"/>
        <v>0</v>
      </c>
      <c r="BQ38" s="3307">
        <f t="shared" si="32"/>
        <v>0</v>
      </c>
      <c r="BR38" s="3307">
        <f t="shared" si="33"/>
        <v>0</v>
      </c>
      <c r="BS38" s="3307">
        <f t="shared" si="34"/>
        <v>0</v>
      </c>
      <c r="BT38" s="3359">
        <f t="shared" si="35"/>
        <v>0</v>
      </c>
    </row>
    <row r="39" spans="1:72">
      <c r="A39" s="3304"/>
      <c r="B39" s="3305"/>
      <c r="C39" s="3305"/>
      <c r="D39" s="3306"/>
      <c r="E39" s="3307">
        <f t="shared" si="7"/>
        <v>0</v>
      </c>
      <c r="F39" s="3308"/>
      <c r="G39" s="3309">
        <f t="shared" si="8"/>
        <v>0</v>
      </c>
      <c r="H39" s="3310">
        <f t="shared" si="9"/>
        <v>0</v>
      </c>
      <c r="I39" s="3317"/>
      <c r="J39" s="3317"/>
      <c r="K39" s="3317"/>
      <c r="L39" s="3317"/>
      <c r="M39" s="3317"/>
      <c r="N39" s="3317"/>
      <c r="O39" s="3317"/>
      <c r="P39" s="3317"/>
      <c r="Q39" s="3317"/>
      <c r="R39" s="3317"/>
      <c r="S39" s="3317"/>
      <c r="T39" s="3317"/>
      <c r="U39" s="3317"/>
      <c r="V39" s="3317"/>
      <c r="W39" s="3317"/>
      <c r="X39" s="3317"/>
      <c r="Y39" s="3317"/>
      <c r="Z39" s="3317"/>
      <c r="AA39" s="3317"/>
      <c r="AB39" s="3317"/>
      <c r="AC39" s="3307">
        <f t="shared" si="10"/>
        <v>0</v>
      </c>
      <c r="AD39" s="3327"/>
      <c r="AE39" s="3327"/>
      <c r="AF39" s="3327"/>
      <c r="AG39" s="3327"/>
      <c r="AH39" s="3327"/>
      <c r="AI39" s="3327"/>
      <c r="AJ39" s="3327"/>
      <c r="AK39" s="3327"/>
      <c r="AL39" s="3327"/>
      <c r="AM39" s="3327"/>
      <c r="AN39" s="3327"/>
      <c r="AO39" s="3327"/>
      <c r="AP39" s="3327"/>
      <c r="AQ39" s="3327"/>
      <c r="AR39" s="3327"/>
      <c r="AS39" s="3327"/>
      <c r="AT39" s="3337"/>
      <c r="AU39" s="3338"/>
      <c r="AV39" s="1410">
        <f t="shared" si="11"/>
        <v>0</v>
      </c>
      <c r="AW39" s="1410">
        <f t="shared" si="12"/>
        <v>0</v>
      </c>
      <c r="AX39" s="1410">
        <f t="shared" si="13"/>
        <v>0</v>
      </c>
      <c r="AY39" s="3352">
        <f t="shared" si="14"/>
        <v>0</v>
      </c>
      <c r="AZ39" s="3307">
        <f t="shared" si="15"/>
        <v>0</v>
      </c>
      <c r="BA39" s="3307">
        <f t="shared" si="16"/>
        <v>0</v>
      </c>
      <c r="BB39" s="3307">
        <f t="shared" si="17"/>
        <v>0</v>
      </c>
      <c r="BC39" s="3307">
        <f t="shared" si="18"/>
        <v>0</v>
      </c>
      <c r="BD39" s="3307">
        <f t="shared" si="19"/>
        <v>0</v>
      </c>
      <c r="BE39" s="3307">
        <f t="shared" si="20"/>
        <v>0</v>
      </c>
      <c r="BF39" s="3307">
        <f t="shared" si="21"/>
        <v>0</v>
      </c>
      <c r="BG39" s="3307">
        <f t="shared" si="22"/>
        <v>0</v>
      </c>
      <c r="BH39" s="3307">
        <f t="shared" si="23"/>
        <v>0</v>
      </c>
      <c r="BI39" s="3307">
        <f t="shared" si="24"/>
        <v>0</v>
      </c>
      <c r="BJ39" s="3307">
        <f t="shared" si="25"/>
        <v>0</v>
      </c>
      <c r="BK39" s="3307">
        <f t="shared" si="26"/>
        <v>0</v>
      </c>
      <c r="BL39" s="3307">
        <f t="shared" si="27"/>
        <v>0</v>
      </c>
      <c r="BM39" s="3307">
        <f t="shared" si="28"/>
        <v>0</v>
      </c>
      <c r="BN39" s="3307">
        <f t="shared" si="29"/>
        <v>0</v>
      </c>
      <c r="BO39" s="3307">
        <f t="shared" si="30"/>
        <v>0</v>
      </c>
      <c r="BP39" s="3307">
        <f t="shared" si="31"/>
        <v>0</v>
      </c>
      <c r="BQ39" s="3307">
        <f t="shared" si="32"/>
        <v>0</v>
      </c>
      <c r="BR39" s="3307">
        <f t="shared" si="33"/>
        <v>0</v>
      </c>
      <c r="BS39" s="3307">
        <f t="shared" si="34"/>
        <v>0</v>
      </c>
      <c r="BT39" s="3359">
        <f t="shared" si="35"/>
        <v>0</v>
      </c>
    </row>
    <row r="40" spans="1:72">
      <c r="A40" s="3304"/>
      <c r="B40" s="3305"/>
      <c r="C40" s="3305"/>
      <c r="D40" s="3306"/>
      <c r="E40" s="3307">
        <f t="shared" si="7"/>
        <v>0</v>
      </c>
      <c r="F40" s="3308"/>
      <c r="G40" s="3309">
        <f t="shared" si="8"/>
        <v>0</v>
      </c>
      <c r="H40" s="3310">
        <f t="shared" si="9"/>
        <v>0</v>
      </c>
      <c r="I40" s="3317"/>
      <c r="J40" s="3317"/>
      <c r="K40" s="3317"/>
      <c r="L40" s="3317"/>
      <c r="M40" s="3317"/>
      <c r="N40" s="3317"/>
      <c r="O40" s="3317"/>
      <c r="P40" s="3317"/>
      <c r="Q40" s="3317"/>
      <c r="R40" s="3317"/>
      <c r="S40" s="3317"/>
      <c r="T40" s="3317"/>
      <c r="U40" s="3317"/>
      <c r="V40" s="3317"/>
      <c r="W40" s="3317"/>
      <c r="X40" s="3317"/>
      <c r="Y40" s="3317"/>
      <c r="Z40" s="3317"/>
      <c r="AA40" s="3317"/>
      <c r="AB40" s="3317"/>
      <c r="AC40" s="3307">
        <f t="shared" si="10"/>
        <v>0</v>
      </c>
      <c r="AD40" s="3327"/>
      <c r="AE40" s="3327"/>
      <c r="AF40" s="3327"/>
      <c r="AG40" s="3327"/>
      <c r="AH40" s="3327"/>
      <c r="AI40" s="3327"/>
      <c r="AJ40" s="3327"/>
      <c r="AK40" s="3327"/>
      <c r="AL40" s="3327"/>
      <c r="AM40" s="3327"/>
      <c r="AN40" s="3327"/>
      <c r="AO40" s="3327"/>
      <c r="AP40" s="3327"/>
      <c r="AQ40" s="3327"/>
      <c r="AR40" s="3327"/>
      <c r="AS40" s="3327"/>
      <c r="AT40" s="3337"/>
      <c r="AU40" s="3338"/>
      <c r="AV40" s="1410">
        <f t="shared" si="11"/>
        <v>0</v>
      </c>
      <c r="AW40" s="1410">
        <f t="shared" si="12"/>
        <v>0</v>
      </c>
      <c r="AX40" s="1410">
        <f t="shared" si="13"/>
        <v>0</v>
      </c>
      <c r="AY40" s="3352">
        <f t="shared" si="14"/>
        <v>0</v>
      </c>
      <c r="AZ40" s="3307">
        <f t="shared" si="15"/>
        <v>0</v>
      </c>
      <c r="BA40" s="3307">
        <f t="shared" si="16"/>
        <v>0</v>
      </c>
      <c r="BB40" s="3307">
        <f t="shared" si="17"/>
        <v>0</v>
      </c>
      <c r="BC40" s="3307">
        <f t="shared" si="18"/>
        <v>0</v>
      </c>
      <c r="BD40" s="3307">
        <f t="shared" si="19"/>
        <v>0</v>
      </c>
      <c r="BE40" s="3307">
        <f t="shared" si="20"/>
        <v>0</v>
      </c>
      <c r="BF40" s="3307">
        <f t="shared" si="21"/>
        <v>0</v>
      </c>
      <c r="BG40" s="3307">
        <f t="shared" si="22"/>
        <v>0</v>
      </c>
      <c r="BH40" s="3307">
        <f t="shared" si="23"/>
        <v>0</v>
      </c>
      <c r="BI40" s="3307">
        <f t="shared" si="24"/>
        <v>0</v>
      </c>
      <c r="BJ40" s="3307">
        <f t="shared" si="25"/>
        <v>0</v>
      </c>
      <c r="BK40" s="3307">
        <f t="shared" si="26"/>
        <v>0</v>
      </c>
      <c r="BL40" s="3307">
        <f t="shared" si="27"/>
        <v>0</v>
      </c>
      <c r="BM40" s="3307">
        <f t="shared" si="28"/>
        <v>0</v>
      </c>
      <c r="BN40" s="3307">
        <f t="shared" si="29"/>
        <v>0</v>
      </c>
      <c r="BO40" s="3307">
        <f t="shared" si="30"/>
        <v>0</v>
      </c>
      <c r="BP40" s="3307">
        <f t="shared" si="31"/>
        <v>0</v>
      </c>
      <c r="BQ40" s="3307">
        <f t="shared" si="32"/>
        <v>0</v>
      </c>
      <c r="BR40" s="3307">
        <f t="shared" si="33"/>
        <v>0</v>
      </c>
      <c r="BS40" s="3307">
        <f t="shared" si="34"/>
        <v>0</v>
      </c>
      <c r="BT40" s="3359">
        <f t="shared" si="35"/>
        <v>0</v>
      </c>
    </row>
    <row r="41" spans="1:72">
      <c r="A41" s="3304"/>
      <c r="B41" s="3305"/>
      <c r="C41" s="3305"/>
      <c r="D41" s="3306"/>
      <c r="E41" s="3307">
        <f t="shared" si="7"/>
        <v>0</v>
      </c>
      <c r="F41" s="3308"/>
      <c r="G41" s="3309">
        <f t="shared" si="8"/>
        <v>0</v>
      </c>
      <c r="H41" s="3310">
        <f t="shared" si="9"/>
        <v>0</v>
      </c>
      <c r="I41" s="3317"/>
      <c r="J41" s="3317"/>
      <c r="K41" s="3317"/>
      <c r="L41" s="3317"/>
      <c r="M41" s="3317"/>
      <c r="N41" s="3317"/>
      <c r="O41" s="3317"/>
      <c r="P41" s="3317"/>
      <c r="Q41" s="3317"/>
      <c r="R41" s="3317"/>
      <c r="S41" s="3317"/>
      <c r="T41" s="3317"/>
      <c r="U41" s="3317"/>
      <c r="V41" s="3317"/>
      <c r="W41" s="3317"/>
      <c r="X41" s="3317"/>
      <c r="Y41" s="3317"/>
      <c r="Z41" s="3317"/>
      <c r="AA41" s="3317"/>
      <c r="AB41" s="3317"/>
      <c r="AC41" s="3307">
        <f t="shared" si="10"/>
        <v>0</v>
      </c>
      <c r="AD41" s="3327"/>
      <c r="AE41" s="3327"/>
      <c r="AF41" s="3327"/>
      <c r="AG41" s="3327"/>
      <c r="AH41" s="3327"/>
      <c r="AI41" s="3327"/>
      <c r="AJ41" s="3327"/>
      <c r="AK41" s="3327"/>
      <c r="AL41" s="3327"/>
      <c r="AM41" s="3327"/>
      <c r="AN41" s="3327"/>
      <c r="AO41" s="3327"/>
      <c r="AP41" s="3327"/>
      <c r="AQ41" s="3327"/>
      <c r="AR41" s="3327"/>
      <c r="AS41" s="3327"/>
      <c r="AT41" s="3337"/>
      <c r="AU41" s="3338"/>
      <c r="AV41" s="1410">
        <f t="shared" si="11"/>
        <v>0</v>
      </c>
      <c r="AW41" s="1410">
        <f t="shared" si="12"/>
        <v>0</v>
      </c>
      <c r="AX41" s="1410">
        <f t="shared" si="13"/>
        <v>0</v>
      </c>
      <c r="AY41" s="3352">
        <f t="shared" si="14"/>
        <v>0</v>
      </c>
      <c r="AZ41" s="3307">
        <f t="shared" si="15"/>
        <v>0</v>
      </c>
      <c r="BA41" s="3307">
        <f t="shared" si="16"/>
        <v>0</v>
      </c>
      <c r="BB41" s="3307">
        <f t="shared" si="17"/>
        <v>0</v>
      </c>
      <c r="BC41" s="3307">
        <f t="shared" si="18"/>
        <v>0</v>
      </c>
      <c r="BD41" s="3307">
        <f t="shared" si="19"/>
        <v>0</v>
      </c>
      <c r="BE41" s="3307">
        <f t="shared" si="20"/>
        <v>0</v>
      </c>
      <c r="BF41" s="3307">
        <f t="shared" si="21"/>
        <v>0</v>
      </c>
      <c r="BG41" s="3307">
        <f t="shared" si="22"/>
        <v>0</v>
      </c>
      <c r="BH41" s="3307">
        <f t="shared" si="23"/>
        <v>0</v>
      </c>
      <c r="BI41" s="3307">
        <f t="shared" si="24"/>
        <v>0</v>
      </c>
      <c r="BJ41" s="3307">
        <f t="shared" si="25"/>
        <v>0</v>
      </c>
      <c r="BK41" s="3307">
        <f t="shared" si="26"/>
        <v>0</v>
      </c>
      <c r="BL41" s="3307">
        <f t="shared" si="27"/>
        <v>0</v>
      </c>
      <c r="BM41" s="3307">
        <f t="shared" si="28"/>
        <v>0</v>
      </c>
      <c r="BN41" s="3307">
        <f t="shared" si="29"/>
        <v>0</v>
      </c>
      <c r="BO41" s="3307">
        <f t="shared" si="30"/>
        <v>0</v>
      </c>
      <c r="BP41" s="3307">
        <f t="shared" si="31"/>
        <v>0</v>
      </c>
      <c r="BQ41" s="3307">
        <f t="shared" si="32"/>
        <v>0</v>
      </c>
      <c r="BR41" s="3307">
        <f t="shared" si="33"/>
        <v>0</v>
      </c>
      <c r="BS41" s="3307">
        <f t="shared" si="34"/>
        <v>0</v>
      </c>
      <c r="BT41" s="3359">
        <f t="shared" si="35"/>
        <v>0</v>
      </c>
    </row>
    <row r="42" spans="1:72">
      <c r="A42" s="3304"/>
      <c r="B42" s="3305"/>
      <c r="C42" s="3305"/>
      <c r="D42" s="3306"/>
      <c r="E42" s="3307">
        <f t="shared" si="7"/>
        <v>0</v>
      </c>
      <c r="F42" s="3308"/>
      <c r="G42" s="3309">
        <f t="shared" si="8"/>
        <v>0</v>
      </c>
      <c r="H42" s="3310">
        <f t="shared" si="9"/>
        <v>0</v>
      </c>
      <c r="I42" s="3317"/>
      <c r="J42" s="3317"/>
      <c r="K42" s="3317"/>
      <c r="L42" s="3317"/>
      <c r="M42" s="3317"/>
      <c r="N42" s="3317"/>
      <c r="O42" s="3317"/>
      <c r="P42" s="3317"/>
      <c r="Q42" s="3317"/>
      <c r="R42" s="3317"/>
      <c r="S42" s="3317"/>
      <c r="T42" s="3317"/>
      <c r="U42" s="3317"/>
      <c r="V42" s="3317"/>
      <c r="W42" s="3317"/>
      <c r="X42" s="3317"/>
      <c r="Y42" s="3317"/>
      <c r="Z42" s="3317"/>
      <c r="AA42" s="3317"/>
      <c r="AB42" s="3317"/>
      <c r="AC42" s="3307">
        <f t="shared" si="10"/>
        <v>0</v>
      </c>
      <c r="AD42" s="3327"/>
      <c r="AE42" s="3327"/>
      <c r="AF42" s="3327"/>
      <c r="AG42" s="3327"/>
      <c r="AH42" s="3327"/>
      <c r="AI42" s="3327"/>
      <c r="AJ42" s="3327"/>
      <c r="AK42" s="3327"/>
      <c r="AL42" s="3327"/>
      <c r="AM42" s="3327"/>
      <c r="AN42" s="3327"/>
      <c r="AO42" s="3327"/>
      <c r="AP42" s="3327"/>
      <c r="AQ42" s="3327"/>
      <c r="AR42" s="3327"/>
      <c r="AS42" s="3327"/>
      <c r="AT42" s="3337"/>
      <c r="AU42" s="3338"/>
      <c r="AV42" s="1410">
        <f t="shared" si="11"/>
        <v>0</v>
      </c>
      <c r="AW42" s="1410">
        <f t="shared" si="12"/>
        <v>0</v>
      </c>
      <c r="AX42" s="1410">
        <f t="shared" si="13"/>
        <v>0</v>
      </c>
      <c r="AY42" s="3352">
        <f t="shared" si="14"/>
        <v>0</v>
      </c>
      <c r="AZ42" s="3307">
        <f t="shared" si="15"/>
        <v>0</v>
      </c>
      <c r="BA42" s="3307">
        <f t="shared" si="16"/>
        <v>0</v>
      </c>
      <c r="BB42" s="3307">
        <f t="shared" si="17"/>
        <v>0</v>
      </c>
      <c r="BC42" s="3307">
        <f t="shared" si="18"/>
        <v>0</v>
      </c>
      <c r="BD42" s="3307">
        <f t="shared" si="19"/>
        <v>0</v>
      </c>
      <c r="BE42" s="3307">
        <f t="shared" si="20"/>
        <v>0</v>
      </c>
      <c r="BF42" s="3307">
        <f t="shared" si="21"/>
        <v>0</v>
      </c>
      <c r="BG42" s="3307">
        <f t="shared" si="22"/>
        <v>0</v>
      </c>
      <c r="BH42" s="3307">
        <f t="shared" si="23"/>
        <v>0</v>
      </c>
      <c r="BI42" s="3307">
        <f t="shared" si="24"/>
        <v>0</v>
      </c>
      <c r="BJ42" s="3307">
        <f t="shared" si="25"/>
        <v>0</v>
      </c>
      <c r="BK42" s="3307">
        <f t="shared" si="26"/>
        <v>0</v>
      </c>
      <c r="BL42" s="3307">
        <f t="shared" si="27"/>
        <v>0</v>
      </c>
      <c r="BM42" s="3307">
        <f t="shared" si="28"/>
        <v>0</v>
      </c>
      <c r="BN42" s="3307">
        <f t="shared" si="29"/>
        <v>0</v>
      </c>
      <c r="BO42" s="3307">
        <f t="shared" si="30"/>
        <v>0</v>
      </c>
      <c r="BP42" s="3307">
        <f t="shared" si="31"/>
        <v>0</v>
      </c>
      <c r="BQ42" s="3307">
        <f t="shared" si="32"/>
        <v>0</v>
      </c>
      <c r="BR42" s="3307">
        <f t="shared" si="33"/>
        <v>0</v>
      </c>
      <c r="BS42" s="3307">
        <f t="shared" si="34"/>
        <v>0</v>
      </c>
      <c r="BT42" s="3359">
        <f t="shared" si="35"/>
        <v>0</v>
      </c>
    </row>
    <row r="43" spans="1:72">
      <c r="A43" s="3304"/>
      <c r="B43" s="3305"/>
      <c r="C43" s="3305"/>
      <c r="D43" s="3306"/>
      <c r="E43" s="3307">
        <f t="shared" si="7"/>
        <v>0</v>
      </c>
      <c r="F43" s="3308"/>
      <c r="G43" s="3309">
        <f t="shared" si="8"/>
        <v>0</v>
      </c>
      <c r="H43" s="3310">
        <f t="shared" si="9"/>
        <v>0</v>
      </c>
      <c r="I43" s="3317"/>
      <c r="J43" s="3317"/>
      <c r="K43" s="3317"/>
      <c r="L43" s="3317"/>
      <c r="M43" s="3317"/>
      <c r="N43" s="3317"/>
      <c r="O43" s="3317"/>
      <c r="P43" s="3317"/>
      <c r="Q43" s="3317"/>
      <c r="R43" s="3317"/>
      <c r="S43" s="3317"/>
      <c r="T43" s="3317"/>
      <c r="U43" s="3317"/>
      <c r="V43" s="3317"/>
      <c r="W43" s="3317"/>
      <c r="X43" s="3317"/>
      <c r="Y43" s="3317"/>
      <c r="Z43" s="3317"/>
      <c r="AA43" s="3317"/>
      <c r="AB43" s="3317"/>
      <c r="AC43" s="3307">
        <f t="shared" si="10"/>
        <v>0</v>
      </c>
      <c r="AD43" s="3327"/>
      <c r="AE43" s="3327"/>
      <c r="AF43" s="3327"/>
      <c r="AG43" s="3327"/>
      <c r="AH43" s="3327"/>
      <c r="AI43" s="3327"/>
      <c r="AJ43" s="3327"/>
      <c r="AK43" s="3327"/>
      <c r="AL43" s="3327"/>
      <c r="AM43" s="3327"/>
      <c r="AN43" s="3327"/>
      <c r="AO43" s="3327"/>
      <c r="AP43" s="3327"/>
      <c r="AQ43" s="3327"/>
      <c r="AR43" s="3327"/>
      <c r="AS43" s="3327"/>
      <c r="AT43" s="3337"/>
      <c r="AU43" s="3338"/>
      <c r="AV43" s="1410">
        <f t="shared" si="11"/>
        <v>0</v>
      </c>
      <c r="AW43" s="1410">
        <f t="shared" si="12"/>
        <v>0</v>
      </c>
      <c r="AX43" s="1410">
        <f t="shared" si="13"/>
        <v>0</v>
      </c>
      <c r="AY43" s="3352">
        <f t="shared" si="14"/>
        <v>0</v>
      </c>
      <c r="AZ43" s="3307">
        <f t="shared" si="15"/>
        <v>0</v>
      </c>
      <c r="BA43" s="3307">
        <f t="shared" si="16"/>
        <v>0</v>
      </c>
      <c r="BB43" s="3307">
        <f t="shared" si="17"/>
        <v>0</v>
      </c>
      <c r="BC43" s="3307">
        <f t="shared" si="18"/>
        <v>0</v>
      </c>
      <c r="BD43" s="3307">
        <f t="shared" si="19"/>
        <v>0</v>
      </c>
      <c r="BE43" s="3307">
        <f t="shared" si="20"/>
        <v>0</v>
      </c>
      <c r="BF43" s="3307">
        <f t="shared" si="21"/>
        <v>0</v>
      </c>
      <c r="BG43" s="3307">
        <f t="shared" si="22"/>
        <v>0</v>
      </c>
      <c r="BH43" s="3307">
        <f t="shared" si="23"/>
        <v>0</v>
      </c>
      <c r="BI43" s="3307">
        <f t="shared" si="24"/>
        <v>0</v>
      </c>
      <c r="BJ43" s="3307">
        <f t="shared" si="25"/>
        <v>0</v>
      </c>
      <c r="BK43" s="3307">
        <f t="shared" si="26"/>
        <v>0</v>
      </c>
      <c r="BL43" s="3307">
        <f t="shared" si="27"/>
        <v>0</v>
      </c>
      <c r="BM43" s="3307">
        <f t="shared" si="28"/>
        <v>0</v>
      </c>
      <c r="BN43" s="3307">
        <f t="shared" si="29"/>
        <v>0</v>
      </c>
      <c r="BO43" s="3307">
        <f t="shared" si="30"/>
        <v>0</v>
      </c>
      <c r="BP43" s="3307">
        <f t="shared" si="31"/>
        <v>0</v>
      </c>
      <c r="BQ43" s="3307">
        <f t="shared" si="32"/>
        <v>0</v>
      </c>
      <c r="BR43" s="3307">
        <f t="shared" si="33"/>
        <v>0</v>
      </c>
      <c r="BS43" s="3307">
        <f t="shared" si="34"/>
        <v>0</v>
      </c>
      <c r="BT43" s="3359">
        <f t="shared" si="35"/>
        <v>0</v>
      </c>
    </row>
    <row r="44" spans="1:72">
      <c r="A44" s="3304"/>
      <c r="B44" s="3305"/>
      <c r="C44" s="3305"/>
      <c r="D44" s="3306"/>
      <c r="E44" s="3307">
        <f t="shared" si="7"/>
        <v>0</v>
      </c>
      <c r="F44" s="3308"/>
      <c r="G44" s="3309">
        <f t="shared" si="8"/>
        <v>0</v>
      </c>
      <c r="H44" s="3310">
        <f t="shared" si="9"/>
        <v>0</v>
      </c>
      <c r="I44" s="3317"/>
      <c r="J44" s="3317"/>
      <c r="K44" s="3317"/>
      <c r="L44" s="3317"/>
      <c r="M44" s="3317"/>
      <c r="N44" s="3317"/>
      <c r="O44" s="3317"/>
      <c r="P44" s="3317"/>
      <c r="Q44" s="3317"/>
      <c r="R44" s="3317"/>
      <c r="S44" s="3317"/>
      <c r="T44" s="3317"/>
      <c r="U44" s="3317"/>
      <c r="V44" s="3317"/>
      <c r="W44" s="3317"/>
      <c r="X44" s="3317"/>
      <c r="Y44" s="3317"/>
      <c r="Z44" s="3317"/>
      <c r="AA44" s="3317"/>
      <c r="AB44" s="3317"/>
      <c r="AC44" s="3307">
        <f t="shared" si="10"/>
        <v>0</v>
      </c>
      <c r="AD44" s="3327"/>
      <c r="AE44" s="3327"/>
      <c r="AF44" s="3327"/>
      <c r="AG44" s="3327"/>
      <c r="AH44" s="3327"/>
      <c r="AI44" s="3327"/>
      <c r="AJ44" s="3327"/>
      <c r="AK44" s="3327"/>
      <c r="AL44" s="3327"/>
      <c r="AM44" s="3327"/>
      <c r="AN44" s="3327"/>
      <c r="AO44" s="3327"/>
      <c r="AP44" s="3327"/>
      <c r="AQ44" s="3327"/>
      <c r="AR44" s="3327"/>
      <c r="AS44" s="3327"/>
      <c r="AT44" s="3337"/>
      <c r="AU44" s="3338"/>
      <c r="AV44" s="1410">
        <f t="shared" si="11"/>
        <v>0</v>
      </c>
      <c r="AW44" s="1410">
        <f t="shared" si="12"/>
        <v>0</v>
      </c>
      <c r="AX44" s="1410">
        <f t="shared" si="13"/>
        <v>0</v>
      </c>
      <c r="AY44" s="3352">
        <f t="shared" si="14"/>
        <v>0</v>
      </c>
      <c r="AZ44" s="3307">
        <f t="shared" si="15"/>
        <v>0</v>
      </c>
      <c r="BA44" s="3307">
        <f t="shared" si="16"/>
        <v>0</v>
      </c>
      <c r="BB44" s="3307">
        <f t="shared" si="17"/>
        <v>0</v>
      </c>
      <c r="BC44" s="3307">
        <f t="shared" si="18"/>
        <v>0</v>
      </c>
      <c r="BD44" s="3307">
        <f t="shared" si="19"/>
        <v>0</v>
      </c>
      <c r="BE44" s="3307">
        <f t="shared" si="20"/>
        <v>0</v>
      </c>
      <c r="BF44" s="3307">
        <f t="shared" si="21"/>
        <v>0</v>
      </c>
      <c r="BG44" s="3307">
        <f t="shared" si="22"/>
        <v>0</v>
      </c>
      <c r="BH44" s="3307">
        <f t="shared" si="23"/>
        <v>0</v>
      </c>
      <c r="BI44" s="3307">
        <f t="shared" si="24"/>
        <v>0</v>
      </c>
      <c r="BJ44" s="3307">
        <f t="shared" si="25"/>
        <v>0</v>
      </c>
      <c r="BK44" s="3307">
        <f t="shared" si="26"/>
        <v>0</v>
      </c>
      <c r="BL44" s="3307">
        <f t="shared" si="27"/>
        <v>0</v>
      </c>
      <c r="BM44" s="3307">
        <f t="shared" si="28"/>
        <v>0</v>
      </c>
      <c r="BN44" s="3307">
        <f t="shared" si="29"/>
        <v>0</v>
      </c>
      <c r="BO44" s="3307">
        <f t="shared" si="30"/>
        <v>0</v>
      </c>
      <c r="BP44" s="3307">
        <f t="shared" si="31"/>
        <v>0</v>
      </c>
      <c r="BQ44" s="3307">
        <f t="shared" si="32"/>
        <v>0</v>
      </c>
      <c r="BR44" s="3307">
        <f t="shared" si="33"/>
        <v>0</v>
      </c>
      <c r="BS44" s="3307">
        <f t="shared" si="34"/>
        <v>0</v>
      </c>
      <c r="BT44" s="3359">
        <f t="shared" si="35"/>
        <v>0</v>
      </c>
    </row>
    <row r="45" spans="1:72">
      <c r="A45" s="3304"/>
      <c r="B45" s="3305"/>
      <c r="C45" s="3305"/>
      <c r="D45" s="3306"/>
      <c r="E45" s="3307">
        <f t="shared" si="7"/>
        <v>0</v>
      </c>
      <c r="F45" s="3308"/>
      <c r="G45" s="3309">
        <f t="shared" si="8"/>
        <v>0</v>
      </c>
      <c r="H45" s="3310">
        <f t="shared" si="9"/>
        <v>0</v>
      </c>
      <c r="I45" s="3317"/>
      <c r="J45" s="3317"/>
      <c r="K45" s="3317"/>
      <c r="L45" s="3317"/>
      <c r="M45" s="3317"/>
      <c r="N45" s="3317"/>
      <c r="O45" s="3317"/>
      <c r="P45" s="3317"/>
      <c r="Q45" s="3317"/>
      <c r="R45" s="3317"/>
      <c r="S45" s="3317"/>
      <c r="T45" s="3317"/>
      <c r="U45" s="3317"/>
      <c r="V45" s="3317"/>
      <c r="W45" s="3317"/>
      <c r="X45" s="3317"/>
      <c r="Y45" s="3317"/>
      <c r="Z45" s="3317"/>
      <c r="AA45" s="3317"/>
      <c r="AB45" s="3317"/>
      <c r="AC45" s="3307">
        <f t="shared" si="10"/>
        <v>0</v>
      </c>
      <c r="AD45" s="3327"/>
      <c r="AE45" s="3327"/>
      <c r="AF45" s="3327"/>
      <c r="AG45" s="3327"/>
      <c r="AH45" s="3327"/>
      <c r="AI45" s="3327"/>
      <c r="AJ45" s="3327"/>
      <c r="AK45" s="3327"/>
      <c r="AL45" s="3327"/>
      <c r="AM45" s="3327"/>
      <c r="AN45" s="3327"/>
      <c r="AO45" s="3327"/>
      <c r="AP45" s="3327"/>
      <c r="AQ45" s="3327"/>
      <c r="AR45" s="3327"/>
      <c r="AS45" s="3327"/>
      <c r="AT45" s="3337"/>
      <c r="AU45" s="3338"/>
      <c r="AV45" s="1410">
        <f t="shared" si="11"/>
        <v>0</v>
      </c>
      <c r="AW45" s="1410">
        <f t="shared" si="12"/>
        <v>0</v>
      </c>
      <c r="AX45" s="1410">
        <f t="shared" si="13"/>
        <v>0</v>
      </c>
      <c r="AY45" s="3352">
        <f t="shared" si="14"/>
        <v>0</v>
      </c>
      <c r="AZ45" s="3307">
        <f t="shared" si="15"/>
        <v>0</v>
      </c>
      <c r="BA45" s="3307">
        <f t="shared" si="16"/>
        <v>0</v>
      </c>
      <c r="BB45" s="3307">
        <f t="shared" si="17"/>
        <v>0</v>
      </c>
      <c r="BC45" s="3307">
        <f t="shared" si="18"/>
        <v>0</v>
      </c>
      <c r="BD45" s="3307">
        <f t="shared" si="19"/>
        <v>0</v>
      </c>
      <c r="BE45" s="3307">
        <f t="shared" si="20"/>
        <v>0</v>
      </c>
      <c r="BF45" s="3307">
        <f t="shared" si="21"/>
        <v>0</v>
      </c>
      <c r="BG45" s="3307">
        <f t="shared" si="22"/>
        <v>0</v>
      </c>
      <c r="BH45" s="3307">
        <f t="shared" si="23"/>
        <v>0</v>
      </c>
      <c r="BI45" s="3307">
        <f t="shared" si="24"/>
        <v>0</v>
      </c>
      <c r="BJ45" s="3307">
        <f t="shared" si="25"/>
        <v>0</v>
      </c>
      <c r="BK45" s="3307">
        <f t="shared" si="26"/>
        <v>0</v>
      </c>
      <c r="BL45" s="3307">
        <f t="shared" si="27"/>
        <v>0</v>
      </c>
      <c r="BM45" s="3307">
        <f t="shared" si="28"/>
        <v>0</v>
      </c>
      <c r="BN45" s="3307">
        <f t="shared" si="29"/>
        <v>0</v>
      </c>
      <c r="BO45" s="3307">
        <f t="shared" si="30"/>
        <v>0</v>
      </c>
      <c r="BP45" s="3307">
        <f t="shared" si="31"/>
        <v>0</v>
      </c>
      <c r="BQ45" s="3307">
        <f t="shared" si="32"/>
        <v>0</v>
      </c>
      <c r="BR45" s="3307">
        <f t="shared" si="33"/>
        <v>0</v>
      </c>
      <c r="BS45" s="3307">
        <f t="shared" si="34"/>
        <v>0</v>
      </c>
      <c r="BT45" s="3359">
        <f t="shared" si="35"/>
        <v>0</v>
      </c>
    </row>
    <row r="46" spans="1:72">
      <c r="A46" s="3304"/>
      <c r="B46" s="3305"/>
      <c r="C46" s="3305"/>
      <c r="D46" s="3306"/>
      <c r="E46" s="3307">
        <f t="shared" si="7"/>
        <v>0</v>
      </c>
      <c r="F46" s="3308"/>
      <c r="G46" s="3309">
        <f t="shared" si="8"/>
        <v>0</v>
      </c>
      <c r="H46" s="3310">
        <f t="shared" si="9"/>
        <v>0</v>
      </c>
      <c r="I46" s="3317"/>
      <c r="J46" s="3317"/>
      <c r="K46" s="3317"/>
      <c r="L46" s="3317"/>
      <c r="M46" s="3317"/>
      <c r="N46" s="3317"/>
      <c r="O46" s="3317"/>
      <c r="P46" s="3317"/>
      <c r="Q46" s="3317"/>
      <c r="R46" s="3317"/>
      <c r="S46" s="3317"/>
      <c r="T46" s="3317"/>
      <c r="U46" s="3317"/>
      <c r="V46" s="3317"/>
      <c r="W46" s="3317"/>
      <c r="X46" s="3317"/>
      <c r="Y46" s="3317"/>
      <c r="Z46" s="3317"/>
      <c r="AA46" s="3317"/>
      <c r="AB46" s="3317"/>
      <c r="AC46" s="3307">
        <f t="shared" si="10"/>
        <v>0</v>
      </c>
      <c r="AD46" s="3327"/>
      <c r="AE46" s="3327"/>
      <c r="AF46" s="3327"/>
      <c r="AG46" s="3327"/>
      <c r="AH46" s="3327"/>
      <c r="AI46" s="3327"/>
      <c r="AJ46" s="3327"/>
      <c r="AK46" s="3327"/>
      <c r="AL46" s="3327"/>
      <c r="AM46" s="3327"/>
      <c r="AN46" s="3327"/>
      <c r="AO46" s="3327"/>
      <c r="AP46" s="3327"/>
      <c r="AQ46" s="3327"/>
      <c r="AR46" s="3327"/>
      <c r="AS46" s="3327"/>
      <c r="AT46" s="3337"/>
      <c r="AU46" s="3338"/>
      <c r="AV46" s="1410">
        <f t="shared" si="11"/>
        <v>0</v>
      </c>
      <c r="AW46" s="1410">
        <f t="shared" si="12"/>
        <v>0</v>
      </c>
      <c r="AX46" s="1410">
        <f t="shared" si="13"/>
        <v>0</v>
      </c>
      <c r="AY46" s="3352">
        <f t="shared" si="14"/>
        <v>0</v>
      </c>
      <c r="AZ46" s="3307">
        <f t="shared" si="15"/>
        <v>0</v>
      </c>
      <c r="BA46" s="3307">
        <f t="shared" si="16"/>
        <v>0</v>
      </c>
      <c r="BB46" s="3307">
        <f t="shared" si="17"/>
        <v>0</v>
      </c>
      <c r="BC46" s="3307">
        <f t="shared" si="18"/>
        <v>0</v>
      </c>
      <c r="BD46" s="3307">
        <f t="shared" si="19"/>
        <v>0</v>
      </c>
      <c r="BE46" s="3307">
        <f t="shared" si="20"/>
        <v>0</v>
      </c>
      <c r="BF46" s="3307">
        <f t="shared" si="21"/>
        <v>0</v>
      </c>
      <c r="BG46" s="3307">
        <f t="shared" si="22"/>
        <v>0</v>
      </c>
      <c r="BH46" s="3307">
        <f t="shared" si="23"/>
        <v>0</v>
      </c>
      <c r="BI46" s="3307">
        <f t="shared" si="24"/>
        <v>0</v>
      </c>
      <c r="BJ46" s="3307">
        <f t="shared" si="25"/>
        <v>0</v>
      </c>
      <c r="BK46" s="3307">
        <f t="shared" si="26"/>
        <v>0</v>
      </c>
      <c r="BL46" s="3307">
        <f t="shared" si="27"/>
        <v>0</v>
      </c>
      <c r="BM46" s="3307">
        <f t="shared" si="28"/>
        <v>0</v>
      </c>
      <c r="BN46" s="3307">
        <f t="shared" si="29"/>
        <v>0</v>
      </c>
      <c r="BO46" s="3307">
        <f t="shared" si="30"/>
        <v>0</v>
      </c>
      <c r="BP46" s="3307">
        <f t="shared" si="31"/>
        <v>0</v>
      </c>
      <c r="BQ46" s="3307">
        <f t="shared" si="32"/>
        <v>0</v>
      </c>
      <c r="BR46" s="3307">
        <f t="shared" si="33"/>
        <v>0</v>
      </c>
      <c r="BS46" s="3307">
        <f t="shared" si="34"/>
        <v>0</v>
      </c>
      <c r="BT46" s="3359">
        <f t="shared" si="35"/>
        <v>0</v>
      </c>
    </row>
    <row r="47" spans="1:72">
      <c r="A47" s="3304"/>
      <c r="B47" s="3305"/>
      <c r="C47" s="3305"/>
      <c r="D47" s="3306"/>
      <c r="E47" s="3307">
        <f t="shared" si="7"/>
        <v>0</v>
      </c>
      <c r="F47" s="3308"/>
      <c r="G47" s="3309">
        <f t="shared" si="8"/>
        <v>0</v>
      </c>
      <c r="H47" s="3310">
        <f t="shared" si="9"/>
        <v>0</v>
      </c>
      <c r="I47" s="3317"/>
      <c r="J47" s="3317"/>
      <c r="K47" s="3317"/>
      <c r="L47" s="3317"/>
      <c r="M47" s="3317"/>
      <c r="N47" s="3317"/>
      <c r="O47" s="3317"/>
      <c r="P47" s="3317"/>
      <c r="Q47" s="3317"/>
      <c r="R47" s="3317"/>
      <c r="S47" s="3317"/>
      <c r="T47" s="3317"/>
      <c r="U47" s="3317"/>
      <c r="V47" s="3317"/>
      <c r="W47" s="3317"/>
      <c r="X47" s="3317"/>
      <c r="Y47" s="3317"/>
      <c r="Z47" s="3317"/>
      <c r="AA47" s="3317"/>
      <c r="AB47" s="3317"/>
      <c r="AC47" s="3307">
        <f t="shared" si="10"/>
        <v>0</v>
      </c>
      <c r="AD47" s="3327"/>
      <c r="AE47" s="3327"/>
      <c r="AF47" s="3327"/>
      <c r="AG47" s="3327"/>
      <c r="AH47" s="3327"/>
      <c r="AI47" s="3327"/>
      <c r="AJ47" s="3327"/>
      <c r="AK47" s="3327"/>
      <c r="AL47" s="3327"/>
      <c r="AM47" s="3327"/>
      <c r="AN47" s="3327"/>
      <c r="AO47" s="3327"/>
      <c r="AP47" s="3327"/>
      <c r="AQ47" s="3327"/>
      <c r="AR47" s="3327"/>
      <c r="AS47" s="3327"/>
      <c r="AT47" s="3337"/>
      <c r="AU47" s="3338"/>
      <c r="AV47" s="1410">
        <f t="shared" si="11"/>
        <v>0</v>
      </c>
      <c r="AW47" s="1410">
        <f t="shared" si="12"/>
        <v>0</v>
      </c>
      <c r="AX47" s="1410">
        <f t="shared" si="13"/>
        <v>0</v>
      </c>
      <c r="AY47" s="3352">
        <f t="shared" si="14"/>
        <v>0</v>
      </c>
      <c r="AZ47" s="3307">
        <f t="shared" si="15"/>
        <v>0</v>
      </c>
      <c r="BA47" s="3307">
        <f t="shared" si="16"/>
        <v>0</v>
      </c>
      <c r="BB47" s="3307">
        <f t="shared" si="17"/>
        <v>0</v>
      </c>
      <c r="BC47" s="3307">
        <f t="shared" si="18"/>
        <v>0</v>
      </c>
      <c r="BD47" s="3307">
        <f t="shared" si="19"/>
        <v>0</v>
      </c>
      <c r="BE47" s="3307">
        <f t="shared" si="20"/>
        <v>0</v>
      </c>
      <c r="BF47" s="3307">
        <f t="shared" si="21"/>
        <v>0</v>
      </c>
      <c r="BG47" s="3307">
        <f t="shared" si="22"/>
        <v>0</v>
      </c>
      <c r="BH47" s="3307">
        <f t="shared" si="23"/>
        <v>0</v>
      </c>
      <c r="BI47" s="3307">
        <f t="shared" si="24"/>
        <v>0</v>
      </c>
      <c r="BJ47" s="3307">
        <f t="shared" si="25"/>
        <v>0</v>
      </c>
      <c r="BK47" s="3307">
        <f t="shared" si="26"/>
        <v>0</v>
      </c>
      <c r="BL47" s="3307">
        <f t="shared" si="27"/>
        <v>0</v>
      </c>
      <c r="BM47" s="3307">
        <f t="shared" si="28"/>
        <v>0</v>
      </c>
      <c r="BN47" s="3307">
        <f t="shared" si="29"/>
        <v>0</v>
      </c>
      <c r="BO47" s="3307">
        <f t="shared" si="30"/>
        <v>0</v>
      </c>
      <c r="BP47" s="3307">
        <f t="shared" si="31"/>
        <v>0</v>
      </c>
      <c r="BQ47" s="3307">
        <f t="shared" si="32"/>
        <v>0</v>
      </c>
      <c r="BR47" s="3307">
        <f t="shared" si="33"/>
        <v>0</v>
      </c>
      <c r="BS47" s="3307">
        <f t="shared" si="34"/>
        <v>0</v>
      </c>
      <c r="BT47" s="3359">
        <f t="shared" si="35"/>
        <v>0</v>
      </c>
    </row>
    <row r="48" spans="1:72">
      <c r="A48" s="3304"/>
      <c r="B48" s="3305"/>
      <c r="C48" s="3305"/>
      <c r="D48" s="3306"/>
      <c r="E48" s="3307">
        <f t="shared" si="7"/>
        <v>0</v>
      </c>
      <c r="F48" s="3308"/>
      <c r="G48" s="3309">
        <f t="shared" si="8"/>
        <v>0</v>
      </c>
      <c r="H48" s="3310">
        <f t="shared" si="9"/>
        <v>0</v>
      </c>
      <c r="I48" s="3317"/>
      <c r="J48" s="3317"/>
      <c r="K48" s="3317"/>
      <c r="L48" s="3317"/>
      <c r="M48" s="3317"/>
      <c r="N48" s="3317"/>
      <c r="O48" s="3317"/>
      <c r="P48" s="3317"/>
      <c r="Q48" s="3317"/>
      <c r="R48" s="3317"/>
      <c r="S48" s="3317"/>
      <c r="T48" s="3317"/>
      <c r="U48" s="3317"/>
      <c r="V48" s="3317"/>
      <c r="W48" s="3317"/>
      <c r="X48" s="3317"/>
      <c r="Y48" s="3317"/>
      <c r="Z48" s="3317"/>
      <c r="AA48" s="3317"/>
      <c r="AB48" s="3317"/>
      <c r="AC48" s="3307">
        <f t="shared" si="10"/>
        <v>0</v>
      </c>
      <c r="AD48" s="3327"/>
      <c r="AE48" s="3327"/>
      <c r="AF48" s="3327"/>
      <c r="AG48" s="3327"/>
      <c r="AH48" s="3327"/>
      <c r="AI48" s="3327"/>
      <c r="AJ48" s="3327"/>
      <c r="AK48" s="3327"/>
      <c r="AL48" s="3327"/>
      <c r="AM48" s="3327"/>
      <c r="AN48" s="3327"/>
      <c r="AO48" s="3327"/>
      <c r="AP48" s="3327"/>
      <c r="AQ48" s="3327"/>
      <c r="AR48" s="3327"/>
      <c r="AS48" s="3327"/>
      <c r="AT48" s="3337"/>
      <c r="AU48" s="3338"/>
      <c r="AV48" s="1410">
        <f t="shared" si="11"/>
        <v>0</v>
      </c>
      <c r="AW48" s="1410">
        <f t="shared" si="12"/>
        <v>0</v>
      </c>
      <c r="AX48" s="1410">
        <f t="shared" si="13"/>
        <v>0</v>
      </c>
      <c r="AY48" s="3352">
        <f t="shared" si="14"/>
        <v>0</v>
      </c>
      <c r="AZ48" s="3307">
        <f t="shared" si="15"/>
        <v>0</v>
      </c>
      <c r="BA48" s="3307">
        <f t="shared" si="16"/>
        <v>0</v>
      </c>
      <c r="BB48" s="3307">
        <f t="shared" si="17"/>
        <v>0</v>
      </c>
      <c r="BC48" s="3307">
        <f t="shared" si="18"/>
        <v>0</v>
      </c>
      <c r="BD48" s="3307">
        <f t="shared" si="19"/>
        <v>0</v>
      </c>
      <c r="BE48" s="3307">
        <f t="shared" si="20"/>
        <v>0</v>
      </c>
      <c r="BF48" s="3307">
        <f t="shared" si="21"/>
        <v>0</v>
      </c>
      <c r="BG48" s="3307">
        <f t="shared" si="22"/>
        <v>0</v>
      </c>
      <c r="BH48" s="3307">
        <f t="shared" si="23"/>
        <v>0</v>
      </c>
      <c r="BI48" s="3307">
        <f t="shared" si="24"/>
        <v>0</v>
      </c>
      <c r="BJ48" s="3307">
        <f t="shared" si="25"/>
        <v>0</v>
      </c>
      <c r="BK48" s="3307">
        <f t="shared" si="26"/>
        <v>0</v>
      </c>
      <c r="BL48" s="3307">
        <f t="shared" si="27"/>
        <v>0</v>
      </c>
      <c r="BM48" s="3307">
        <f t="shared" si="28"/>
        <v>0</v>
      </c>
      <c r="BN48" s="3307">
        <f t="shared" si="29"/>
        <v>0</v>
      </c>
      <c r="BO48" s="3307">
        <f t="shared" si="30"/>
        <v>0</v>
      </c>
      <c r="BP48" s="3307">
        <f t="shared" si="31"/>
        <v>0</v>
      </c>
      <c r="BQ48" s="3307">
        <f t="shared" si="32"/>
        <v>0</v>
      </c>
      <c r="BR48" s="3307">
        <f t="shared" si="33"/>
        <v>0</v>
      </c>
      <c r="BS48" s="3307">
        <f t="shared" si="34"/>
        <v>0</v>
      </c>
      <c r="BT48" s="3359">
        <f t="shared" si="35"/>
        <v>0</v>
      </c>
    </row>
    <row r="49" spans="1:72">
      <c r="A49" s="3304"/>
      <c r="B49" s="3305"/>
      <c r="C49" s="3305"/>
      <c r="D49" s="3306"/>
      <c r="E49" s="3307">
        <f t="shared" si="7"/>
        <v>0</v>
      </c>
      <c r="F49" s="3308"/>
      <c r="G49" s="3309">
        <f t="shared" si="8"/>
        <v>0</v>
      </c>
      <c r="H49" s="3310">
        <f t="shared" si="9"/>
        <v>0</v>
      </c>
      <c r="I49" s="3317"/>
      <c r="J49" s="3317"/>
      <c r="K49" s="3317"/>
      <c r="L49" s="3317"/>
      <c r="M49" s="3317"/>
      <c r="N49" s="3317"/>
      <c r="O49" s="3317"/>
      <c r="P49" s="3317"/>
      <c r="Q49" s="3317"/>
      <c r="R49" s="3317"/>
      <c r="S49" s="3317"/>
      <c r="T49" s="3317"/>
      <c r="U49" s="3317"/>
      <c r="V49" s="3317"/>
      <c r="W49" s="3317"/>
      <c r="X49" s="3317"/>
      <c r="Y49" s="3317"/>
      <c r="Z49" s="3317"/>
      <c r="AA49" s="3317"/>
      <c r="AB49" s="3317"/>
      <c r="AC49" s="3307">
        <f t="shared" si="10"/>
        <v>0</v>
      </c>
      <c r="AD49" s="3327"/>
      <c r="AE49" s="3327"/>
      <c r="AF49" s="3327"/>
      <c r="AG49" s="3327"/>
      <c r="AH49" s="3327"/>
      <c r="AI49" s="3327"/>
      <c r="AJ49" s="3327"/>
      <c r="AK49" s="3327"/>
      <c r="AL49" s="3327"/>
      <c r="AM49" s="3327"/>
      <c r="AN49" s="3327"/>
      <c r="AO49" s="3327"/>
      <c r="AP49" s="3327"/>
      <c r="AQ49" s="3327"/>
      <c r="AR49" s="3327"/>
      <c r="AS49" s="3327"/>
      <c r="AT49" s="3337"/>
      <c r="AU49" s="3338"/>
      <c r="AV49" s="1410">
        <f t="shared" si="11"/>
        <v>0</v>
      </c>
      <c r="AW49" s="1410">
        <f t="shared" si="12"/>
        <v>0</v>
      </c>
      <c r="AX49" s="1410">
        <f t="shared" si="13"/>
        <v>0</v>
      </c>
      <c r="AY49" s="3352">
        <f t="shared" si="14"/>
        <v>0</v>
      </c>
      <c r="AZ49" s="3307">
        <f t="shared" si="15"/>
        <v>0</v>
      </c>
      <c r="BA49" s="3307">
        <f t="shared" si="16"/>
        <v>0</v>
      </c>
      <c r="BB49" s="3307">
        <f t="shared" si="17"/>
        <v>0</v>
      </c>
      <c r="BC49" s="3307">
        <f t="shared" si="18"/>
        <v>0</v>
      </c>
      <c r="BD49" s="3307">
        <f t="shared" si="19"/>
        <v>0</v>
      </c>
      <c r="BE49" s="3307">
        <f t="shared" si="20"/>
        <v>0</v>
      </c>
      <c r="BF49" s="3307">
        <f t="shared" si="21"/>
        <v>0</v>
      </c>
      <c r="BG49" s="3307">
        <f t="shared" si="22"/>
        <v>0</v>
      </c>
      <c r="BH49" s="3307">
        <f t="shared" si="23"/>
        <v>0</v>
      </c>
      <c r="BI49" s="3307">
        <f t="shared" si="24"/>
        <v>0</v>
      </c>
      <c r="BJ49" s="3307">
        <f t="shared" si="25"/>
        <v>0</v>
      </c>
      <c r="BK49" s="3307">
        <f t="shared" si="26"/>
        <v>0</v>
      </c>
      <c r="BL49" s="3307">
        <f t="shared" si="27"/>
        <v>0</v>
      </c>
      <c r="BM49" s="3307">
        <f t="shared" si="28"/>
        <v>0</v>
      </c>
      <c r="BN49" s="3307">
        <f t="shared" si="29"/>
        <v>0</v>
      </c>
      <c r="BO49" s="3307">
        <f t="shared" si="30"/>
        <v>0</v>
      </c>
      <c r="BP49" s="3307">
        <f t="shared" si="31"/>
        <v>0</v>
      </c>
      <c r="BQ49" s="3307">
        <f t="shared" si="32"/>
        <v>0</v>
      </c>
      <c r="BR49" s="3307">
        <f t="shared" si="33"/>
        <v>0</v>
      </c>
      <c r="BS49" s="3307">
        <f t="shared" si="34"/>
        <v>0</v>
      </c>
      <c r="BT49" s="3359">
        <f t="shared" si="35"/>
        <v>0</v>
      </c>
    </row>
    <row r="50" spans="1:72">
      <c r="A50" s="3304"/>
      <c r="B50" s="3305"/>
      <c r="C50" s="3305"/>
      <c r="D50" s="3306"/>
      <c r="E50" s="3307">
        <f t="shared" si="7"/>
        <v>0</v>
      </c>
      <c r="F50" s="3308"/>
      <c r="G50" s="3309">
        <f t="shared" si="8"/>
        <v>0</v>
      </c>
      <c r="H50" s="3310">
        <f t="shared" si="9"/>
        <v>0</v>
      </c>
      <c r="I50" s="3317"/>
      <c r="J50" s="3317"/>
      <c r="K50" s="3317"/>
      <c r="L50" s="3317"/>
      <c r="M50" s="3317"/>
      <c r="N50" s="3317"/>
      <c r="O50" s="3317"/>
      <c r="P50" s="3317"/>
      <c r="Q50" s="3317"/>
      <c r="R50" s="3317"/>
      <c r="S50" s="3317"/>
      <c r="T50" s="3317"/>
      <c r="U50" s="3317"/>
      <c r="V50" s="3317"/>
      <c r="W50" s="3317"/>
      <c r="X50" s="3317"/>
      <c r="Y50" s="3317"/>
      <c r="Z50" s="3317"/>
      <c r="AA50" s="3317"/>
      <c r="AB50" s="3317"/>
      <c r="AC50" s="3307">
        <f t="shared" si="10"/>
        <v>0</v>
      </c>
      <c r="AD50" s="3327"/>
      <c r="AE50" s="3327"/>
      <c r="AF50" s="3327"/>
      <c r="AG50" s="3327"/>
      <c r="AH50" s="3327"/>
      <c r="AI50" s="3327"/>
      <c r="AJ50" s="3327"/>
      <c r="AK50" s="3327"/>
      <c r="AL50" s="3327"/>
      <c r="AM50" s="3327"/>
      <c r="AN50" s="3327"/>
      <c r="AO50" s="3327"/>
      <c r="AP50" s="3327"/>
      <c r="AQ50" s="3327"/>
      <c r="AR50" s="3327"/>
      <c r="AS50" s="3327"/>
      <c r="AT50" s="3337"/>
      <c r="AU50" s="3338"/>
      <c r="AV50" s="1410">
        <f t="shared" si="11"/>
        <v>0</v>
      </c>
      <c r="AW50" s="1410">
        <f t="shared" si="12"/>
        <v>0</v>
      </c>
      <c r="AX50" s="1410">
        <f t="shared" si="13"/>
        <v>0</v>
      </c>
      <c r="AY50" s="3352">
        <f t="shared" si="14"/>
        <v>0</v>
      </c>
      <c r="AZ50" s="3307">
        <f t="shared" si="15"/>
        <v>0</v>
      </c>
      <c r="BA50" s="3307">
        <f t="shared" si="16"/>
        <v>0</v>
      </c>
      <c r="BB50" s="3307">
        <f t="shared" si="17"/>
        <v>0</v>
      </c>
      <c r="BC50" s="3307">
        <f t="shared" si="18"/>
        <v>0</v>
      </c>
      <c r="BD50" s="3307">
        <f t="shared" si="19"/>
        <v>0</v>
      </c>
      <c r="BE50" s="3307">
        <f t="shared" si="20"/>
        <v>0</v>
      </c>
      <c r="BF50" s="3307">
        <f t="shared" si="21"/>
        <v>0</v>
      </c>
      <c r="BG50" s="3307">
        <f t="shared" si="22"/>
        <v>0</v>
      </c>
      <c r="BH50" s="3307">
        <f t="shared" si="23"/>
        <v>0</v>
      </c>
      <c r="BI50" s="3307">
        <f t="shared" si="24"/>
        <v>0</v>
      </c>
      <c r="BJ50" s="3307">
        <f t="shared" si="25"/>
        <v>0</v>
      </c>
      <c r="BK50" s="3307">
        <f t="shared" si="26"/>
        <v>0</v>
      </c>
      <c r="BL50" s="3307">
        <f t="shared" si="27"/>
        <v>0</v>
      </c>
      <c r="BM50" s="3307">
        <f t="shared" si="28"/>
        <v>0</v>
      </c>
      <c r="BN50" s="3307">
        <f t="shared" si="29"/>
        <v>0</v>
      </c>
      <c r="BO50" s="3307">
        <f t="shared" si="30"/>
        <v>0</v>
      </c>
      <c r="BP50" s="3307">
        <f t="shared" si="31"/>
        <v>0</v>
      </c>
      <c r="BQ50" s="3307">
        <f t="shared" si="32"/>
        <v>0</v>
      </c>
      <c r="BR50" s="3307">
        <f t="shared" si="33"/>
        <v>0</v>
      </c>
      <c r="BS50" s="3307">
        <f t="shared" si="34"/>
        <v>0</v>
      </c>
      <c r="BT50" s="3359">
        <f t="shared" si="35"/>
        <v>0</v>
      </c>
    </row>
    <row r="51" spans="1:72">
      <c r="A51" s="3304"/>
      <c r="B51" s="3305"/>
      <c r="C51" s="3305"/>
      <c r="D51" s="3306"/>
      <c r="E51" s="3307">
        <f t="shared" si="7"/>
        <v>0</v>
      </c>
      <c r="F51" s="3308"/>
      <c r="G51" s="3309">
        <f t="shared" si="8"/>
        <v>0</v>
      </c>
      <c r="H51" s="3310">
        <f t="shared" si="9"/>
        <v>0</v>
      </c>
      <c r="I51" s="3317"/>
      <c r="J51" s="3317"/>
      <c r="K51" s="3317"/>
      <c r="L51" s="3317"/>
      <c r="M51" s="3317"/>
      <c r="N51" s="3317"/>
      <c r="O51" s="3317"/>
      <c r="P51" s="3317"/>
      <c r="Q51" s="3317"/>
      <c r="R51" s="3317"/>
      <c r="S51" s="3317"/>
      <c r="T51" s="3317"/>
      <c r="U51" s="3317"/>
      <c r="V51" s="3317"/>
      <c r="W51" s="3317"/>
      <c r="X51" s="3317"/>
      <c r="Y51" s="3317"/>
      <c r="Z51" s="3317"/>
      <c r="AA51" s="3317"/>
      <c r="AB51" s="3317"/>
      <c r="AC51" s="3307">
        <f t="shared" si="10"/>
        <v>0</v>
      </c>
      <c r="AD51" s="3327"/>
      <c r="AE51" s="3327"/>
      <c r="AF51" s="3327"/>
      <c r="AG51" s="3327"/>
      <c r="AH51" s="3327"/>
      <c r="AI51" s="3327"/>
      <c r="AJ51" s="3327"/>
      <c r="AK51" s="3327"/>
      <c r="AL51" s="3327"/>
      <c r="AM51" s="3327"/>
      <c r="AN51" s="3327"/>
      <c r="AO51" s="3327"/>
      <c r="AP51" s="3327"/>
      <c r="AQ51" s="3327"/>
      <c r="AR51" s="3327"/>
      <c r="AS51" s="3327"/>
      <c r="AT51" s="3337"/>
      <c r="AU51" s="3338"/>
      <c r="AV51" s="1410">
        <f t="shared" si="11"/>
        <v>0</v>
      </c>
      <c r="AW51" s="1410">
        <f t="shared" si="12"/>
        <v>0</v>
      </c>
      <c r="AX51" s="1410">
        <f t="shared" si="13"/>
        <v>0</v>
      </c>
      <c r="AY51" s="3352">
        <f t="shared" si="14"/>
        <v>0</v>
      </c>
      <c r="AZ51" s="3307">
        <f t="shared" si="15"/>
        <v>0</v>
      </c>
      <c r="BA51" s="3307">
        <f t="shared" si="16"/>
        <v>0</v>
      </c>
      <c r="BB51" s="3307">
        <f t="shared" si="17"/>
        <v>0</v>
      </c>
      <c r="BC51" s="3307">
        <f t="shared" si="18"/>
        <v>0</v>
      </c>
      <c r="BD51" s="3307">
        <f t="shared" si="19"/>
        <v>0</v>
      </c>
      <c r="BE51" s="3307">
        <f t="shared" si="20"/>
        <v>0</v>
      </c>
      <c r="BF51" s="3307">
        <f t="shared" si="21"/>
        <v>0</v>
      </c>
      <c r="BG51" s="3307">
        <f t="shared" si="22"/>
        <v>0</v>
      </c>
      <c r="BH51" s="3307">
        <f t="shared" si="23"/>
        <v>0</v>
      </c>
      <c r="BI51" s="3307">
        <f t="shared" si="24"/>
        <v>0</v>
      </c>
      <c r="BJ51" s="3307">
        <f t="shared" si="25"/>
        <v>0</v>
      </c>
      <c r="BK51" s="3307">
        <f t="shared" si="26"/>
        <v>0</v>
      </c>
      <c r="BL51" s="3307">
        <f t="shared" si="27"/>
        <v>0</v>
      </c>
      <c r="BM51" s="3307">
        <f t="shared" si="28"/>
        <v>0</v>
      </c>
      <c r="BN51" s="3307">
        <f t="shared" si="29"/>
        <v>0</v>
      </c>
      <c r="BO51" s="3307">
        <f t="shared" si="30"/>
        <v>0</v>
      </c>
      <c r="BP51" s="3307">
        <f t="shared" si="31"/>
        <v>0</v>
      </c>
      <c r="BQ51" s="3307">
        <f t="shared" si="32"/>
        <v>0</v>
      </c>
      <c r="BR51" s="3307">
        <f t="shared" si="33"/>
        <v>0</v>
      </c>
      <c r="BS51" s="3307">
        <f t="shared" si="34"/>
        <v>0</v>
      </c>
      <c r="BT51" s="3359">
        <f t="shared" si="35"/>
        <v>0</v>
      </c>
    </row>
    <row r="52" spans="1:72">
      <c r="A52" s="3304"/>
      <c r="B52" s="3305"/>
      <c r="C52" s="3305"/>
      <c r="D52" s="3306"/>
      <c r="E52" s="3307">
        <f t="shared" si="7"/>
        <v>0</v>
      </c>
      <c r="F52" s="3308"/>
      <c r="G52" s="3309">
        <f t="shared" si="8"/>
        <v>0</v>
      </c>
      <c r="H52" s="3310">
        <f t="shared" si="9"/>
        <v>0</v>
      </c>
      <c r="I52" s="3317"/>
      <c r="J52" s="3317"/>
      <c r="K52" s="3317"/>
      <c r="L52" s="3317"/>
      <c r="M52" s="3317"/>
      <c r="N52" s="3317"/>
      <c r="O52" s="3317"/>
      <c r="P52" s="3317"/>
      <c r="Q52" s="3317"/>
      <c r="R52" s="3317"/>
      <c r="S52" s="3317"/>
      <c r="T52" s="3317"/>
      <c r="U52" s="3317"/>
      <c r="V52" s="3317"/>
      <c r="W52" s="3317"/>
      <c r="X52" s="3317"/>
      <c r="Y52" s="3317"/>
      <c r="Z52" s="3317"/>
      <c r="AA52" s="3317"/>
      <c r="AB52" s="3317"/>
      <c r="AC52" s="3307">
        <f t="shared" si="10"/>
        <v>0</v>
      </c>
      <c r="AD52" s="3327"/>
      <c r="AE52" s="3327"/>
      <c r="AF52" s="3327"/>
      <c r="AG52" s="3327"/>
      <c r="AH52" s="3327"/>
      <c r="AI52" s="3327"/>
      <c r="AJ52" s="3327"/>
      <c r="AK52" s="3327"/>
      <c r="AL52" s="3327"/>
      <c r="AM52" s="3327"/>
      <c r="AN52" s="3327"/>
      <c r="AO52" s="3327"/>
      <c r="AP52" s="3327"/>
      <c r="AQ52" s="3327"/>
      <c r="AR52" s="3327"/>
      <c r="AS52" s="3327"/>
      <c r="AT52" s="3337"/>
      <c r="AU52" s="3338"/>
      <c r="AV52" s="1410">
        <f t="shared" si="11"/>
        <v>0</v>
      </c>
      <c r="AW52" s="1410">
        <f t="shared" si="12"/>
        <v>0</v>
      </c>
      <c r="AX52" s="1410">
        <f t="shared" si="13"/>
        <v>0</v>
      </c>
      <c r="AY52" s="3352">
        <f t="shared" si="14"/>
        <v>0</v>
      </c>
      <c r="AZ52" s="3307">
        <f t="shared" si="15"/>
        <v>0</v>
      </c>
      <c r="BA52" s="3307">
        <f t="shared" si="16"/>
        <v>0</v>
      </c>
      <c r="BB52" s="3307">
        <f t="shared" si="17"/>
        <v>0</v>
      </c>
      <c r="BC52" s="3307">
        <f t="shared" si="18"/>
        <v>0</v>
      </c>
      <c r="BD52" s="3307">
        <f t="shared" si="19"/>
        <v>0</v>
      </c>
      <c r="BE52" s="3307">
        <f t="shared" si="20"/>
        <v>0</v>
      </c>
      <c r="BF52" s="3307">
        <f t="shared" si="21"/>
        <v>0</v>
      </c>
      <c r="BG52" s="3307">
        <f t="shared" si="22"/>
        <v>0</v>
      </c>
      <c r="BH52" s="3307">
        <f t="shared" si="23"/>
        <v>0</v>
      </c>
      <c r="BI52" s="3307">
        <f t="shared" si="24"/>
        <v>0</v>
      </c>
      <c r="BJ52" s="3307">
        <f t="shared" si="25"/>
        <v>0</v>
      </c>
      <c r="BK52" s="3307">
        <f t="shared" si="26"/>
        <v>0</v>
      </c>
      <c r="BL52" s="3307">
        <f t="shared" si="27"/>
        <v>0</v>
      </c>
      <c r="BM52" s="3307">
        <f t="shared" si="28"/>
        <v>0</v>
      </c>
      <c r="BN52" s="3307">
        <f t="shared" si="29"/>
        <v>0</v>
      </c>
      <c r="BO52" s="3307">
        <f t="shared" si="30"/>
        <v>0</v>
      </c>
      <c r="BP52" s="3307">
        <f t="shared" si="31"/>
        <v>0</v>
      </c>
      <c r="BQ52" s="3307">
        <f t="shared" si="32"/>
        <v>0</v>
      </c>
      <c r="BR52" s="3307">
        <f t="shared" si="33"/>
        <v>0</v>
      </c>
      <c r="BS52" s="3307">
        <f t="shared" si="34"/>
        <v>0</v>
      </c>
      <c r="BT52" s="3359">
        <f t="shared" si="35"/>
        <v>0</v>
      </c>
    </row>
    <row r="53" spans="1:72">
      <c r="A53" s="3304"/>
      <c r="B53" s="3305"/>
      <c r="C53" s="3305"/>
      <c r="D53" s="3306"/>
      <c r="E53" s="3307">
        <f t="shared" si="7"/>
        <v>0</v>
      </c>
      <c r="F53" s="3308"/>
      <c r="G53" s="3309">
        <f t="shared" si="8"/>
        <v>0</v>
      </c>
      <c r="H53" s="3310">
        <f t="shared" si="9"/>
        <v>0</v>
      </c>
      <c r="I53" s="3317"/>
      <c r="J53" s="3317"/>
      <c r="K53" s="3317"/>
      <c r="L53" s="3317"/>
      <c r="M53" s="3317"/>
      <c r="N53" s="3317"/>
      <c r="O53" s="3317"/>
      <c r="P53" s="3317"/>
      <c r="Q53" s="3317"/>
      <c r="R53" s="3317"/>
      <c r="S53" s="3317"/>
      <c r="T53" s="3317"/>
      <c r="U53" s="3317"/>
      <c r="V53" s="3317"/>
      <c r="W53" s="3317"/>
      <c r="X53" s="3317"/>
      <c r="Y53" s="3317"/>
      <c r="Z53" s="3317"/>
      <c r="AA53" s="3317"/>
      <c r="AB53" s="3317"/>
      <c r="AC53" s="3307">
        <f t="shared" si="10"/>
        <v>0</v>
      </c>
      <c r="AD53" s="3327"/>
      <c r="AE53" s="3327"/>
      <c r="AF53" s="3327"/>
      <c r="AG53" s="3327"/>
      <c r="AH53" s="3327"/>
      <c r="AI53" s="3327"/>
      <c r="AJ53" s="3327"/>
      <c r="AK53" s="3327"/>
      <c r="AL53" s="3327"/>
      <c r="AM53" s="3327"/>
      <c r="AN53" s="3327"/>
      <c r="AO53" s="3327"/>
      <c r="AP53" s="3327"/>
      <c r="AQ53" s="3327"/>
      <c r="AR53" s="3327"/>
      <c r="AS53" s="3327"/>
      <c r="AT53" s="3337"/>
      <c r="AU53" s="3338"/>
      <c r="AV53" s="1410">
        <f t="shared" si="11"/>
        <v>0</v>
      </c>
      <c r="AW53" s="1410">
        <f t="shared" si="12"/>
        <v>0</v>
      </c>
      <c r="AX53" s="1410">
        <f t="shared" si="13"/>
        <v>0</v>
      </c>
      <c r="AY53" s="3352">
        <f t="shared" si="14"/>
        <v>0</v>
      </c>
      <c r="AZ53" s="3307">
        <f t="shared" si="15"/>
        <v>0</v>
      </c>
      <c r="BA53" s="3307">
        <f t="shared" si="16"/>
        <v>0</v>
      </c>
      <c r="BB53" s="3307">
        <f t="shared" si="17"/>
        <v>0</v>
      </c>
      <c r="BC53" s="3307">
        <f t="shared" si="18"/>
        <v>0</v>
      </c>
      <c r="BD53" s="3307">
        <f t="shared" si="19"/>
        <v>0</v>
      </c>
      <c r="BE53" s="3307">
        <f t="shared" si="20"/>
        <v>0</v>
      </c>
      <c r="BF53" s="3307">
        <f t="shared" si="21"/>
        <v>0</v>
      </c>
      <c r="BG53" s="3307">
        <f t="shared" si="22"/>
        <v>0</v>
      </c>
      <c r="BH53" s="3307">
        <f t="shared" si="23"/>
        <v>0</v>
      </c>
      <c r="BI53" s="3307">
        <f t="shared" si="24"/>
        <v>0</v>
      </c>
      <c r="BJ53" s="3307">
        <f t="shared" si="25"/>
        <v>0</v>
      </c>
      <c r="BK53" s="3307">
        <f t="shared" si="26"/>
        <v>0</v>
      </c>
      <c r="BL53" s="3307">
        <f t="shared" si="27"/>
        <v>0</v>
      </c>
      <c r="BM53" s="3307">
        <f t="shared" si="28"/>
        <v>0</v>
      </c>
      <c r="BN53" s="3307">
        <f t="shared" si="29"/>
        <v>0</v>
      </c>
      <c r="BO53" s="3307">
        <f t="shared" si="30"/>
        <v>0</v>
      </c>
      <c r="BP53" s="3307">
        <f t="shared" si="31"/>
        <v>0</v>
      </c>
      <c r="BQ53" s="3307">
        <f t="shared" si="32"/>
        <v>0</v>
      </c>
      <c r="BR53" s="3307">
        <f t="shared" si="33"/>
        <v>0</v>
      </c>
      <c r="BS53" s="3307">
        <f t="shared" si="34"/>
        <v>0</v>
      </c>
      <c r="BT53" s="3359">
        <f t="shared" si="35"/>
        <v>0</v>
      </c>
    </row>
    <row r="54" spans="1:72">
      <c r="A54" s="3304"/>
      <c r="B54" s="3305"/>
      <c r="C54" s="3305"/>
      <c r="D54" s="3306"/>
      <c r="E54" s="3307">
        <f t="shared" si="7"/>
        <v>0</v>
      </c>
      <c r="F54" s="3308"/>
      <c r="G54" s="3309">
        <f t="shared" si="8"/>
        <v>0</v>
      </c>
      <c r="H54" s="3310">
        <f t="shared" si="9"/>
        <v>0</v>
      </c>
      <c r="I54" s="3317"/>
      <c r="J54" s="3317"/>
      <c r="K54" s="3317"/>
      <c r="L54" s="3317"/>
      <c r="M54" s="3317"/>
      <c r="N54" s="3317"/>
      <c r="O54" s="3317"/>
      <c r="P54" s="3317"/>
      <c r="Q54" s="3317"/>
      <c r="R54" s="3317"/>
      <c r="S54" s="3317"/>
      <c r="T54" s="3317"/>
      <c r="U54" s="3317"/>
      <c r="V54" s="3317"/>
      <c r="W54" s="3317"/>
      <c r="X54" s="3317"/>
      <c r="Y54" s="3317"/>
      <c r="Z54" s="3317"/>
      <c r="AA54" s="3317"/>
      <c r="AB54" s="3317"/>
      <c r="AC54" s="3307">
        <f t="shared" si="10"/>
        <v>0</v>
      </c>
      <c r="AD54" s="3327"/>
      <c r="AE54" s="3327"/>
      <c r="AF54" s="3327"/>
      <c r="AG54" s="3327"/>
      <c r="AH54" s="3327"/>
      <c r="AI54" s="3327"/>
      <c r="AJ54" s="3327"/>
      <c r="AK54" s="3327"/>
      <c r="AL54" s="3327"/>
      <c r="AM54" s="3327"/>
      <c r="AN54" s="3327"/>
      <c r="AO54" s="3327"/>
      <c r="AP54" s="3327"/>
      <c r="AQ54" s="3327"/>
      <c r="AR54" s="3327"/>
      <c r="AS54" s="3327"/>
      <c r="AT54" s="3337"/>
      <c r="AU54" s="3338"/>
      <c r="AV54" s="1410">
        <f t="shared" si="11"/>
        <v>0</v>
      </c>
      <c r="AW54" s="1410">
        <f t="shared" si="12"/>
        <v>0</v>
      </c>
      <c r="AX54" s="1410">
        <f t="shared" si="13"/>
        <v>0</v>
      </c>
      <c r="AY54" s="3352">
        <f t="shared" si="14"/>
        <v>0</v>
      </c>
      <c r="AZ54" s="3307">
        <f t="shared" si="15"/>
        <v>0</v>
      </c>
      <c r="BA54" s="3307">
        <f t="shared" si="16"/>
        <v>0</v>
      </c>
      <c r="BB54" s="3307">
        <f t="shared" si="17"/>
        <v>0</v>
      </c>
      <c r="BC54" s="3307">
        <f t="shared" si="18"/>
        <v>0</v>
      </c>
      <c r="BD54" s="3307">
        <f t="shared" si="19"/>
        <v>0</v>
      </c>
      <c r="BE54" s="3307">
        <f t="shared" si="20"/>
        <v>0</v>
      </c>
      <c r="BF54" s="3307">
        <f t="shared" si="21"/>
        <v>0</v>
      </c>
      <c r="BG54" s="3307">
        <f t="shared" si="22"/>
        <v>0</v>
      </c>
      <c r="BH54" s="3307">
        <f t="shared" si="23"/>
        <v>0</v>
      </c>
      <c r="BI54" s="3307">
        <f t="shared" si="24"/>
        <v>0</v>
      </c>
      <c r="BJ54" s="3307">
        <f t="shared" si="25"/>
        <v>0</v>
      </c>
      <c r="BK54" s="3307">
        <f t="shared" si="26"/>
        <v>0</v>
      </c>
      <c r="BL54" s="3307">
        <f t="shared" si="27"/>
        <v>0</v>
      </c>
      <c r="BM54" s="3307">
        <f t="shared" si="28"/>
        <v>0</v>
      </c>
      <c r="BN54" s="3307">
        <f t="shared" si="29"/>
        <v>0</v>
      </c>
      <c r="BO54" s="3307">
        <f t="shared" si="30"/>
        <v>0</v>
      </c>
      <c r="BP54" s="3307">
        <f t="shared" si="31"/>
        <v>0</v>
      </c>
      <c r="BQ54" s="3307">
        <f t="shared" si="32"/>
        <v>0</v>
      </c>
      <c r="BR54" s="3307">
        <f t="shared" si="33"/>
        <v>0</v>
      </c>
      <c r="BS54" s="3307">
        <f t="shared" si="34"/>
        <v>0</v>
      </c>
      <c r="BT54" s="3359">
        <f t="shared" si="35"/>
        <v>0</v>
      </c>
    </row>
    <row r="55" spans="1:72">
      <c r="A55" s="3304"/>
      <c r="B55" s="3305"/>
      <c r="C55" s="3305"/>
      <c r="D55" s="3306"/>
      <c r="E55" s="3307">
        <f t="shared" si="7"/>
        <v>0</v>
      </c>
      <c r="F55" s="3308"/>
      <c r="G55" s="3309">
        <f t="shared" si="8"/>
        <v>0</v>
      </c>
      <c r="H55" s="3310">
        <f t="shared" si="9"/>
        <v>0</v>
      </c>
      <c r="I55" s="3317"/>
      <c r="J55" s="3317"/>
      <c r="K55" s="3317"/>
      <c r="L55" s="3317"/>
      <c r="M55" s="3317"/>
      <c r="N55" s="3317"/>
      <c r="O55" s="3317"/>
      <c r="P55" s="3317"/>
      <c r="Q55" s="3317"/>
      <c r="R55" s="3317"/>
      <c r="S55" s="3317"/>
      <c r="T55" s="3317"/>
      <c r="U55" s="3317"/>
      <c r="V55" s="3317"/>
      <c r="W55" s="3317"/>
      <c r="X55" s="3317"/>
      <c r="Y55" s="3317"/>
      <c r="Z55" s="3317"/>
      <c r="AA55" s="3317"/>
      <c r="AB55" s="3317"/>
      <c r="AC55" s="3307">
        <f t="shared" si="10"/>
        <v>0</v>
      </c>
      <c r="AD55" s="3327"/>
      <c r="AE55" s="3327"/>
      <c r="AF55" s="3327"/>
      <c r="AG55" s="3327"/>
      <c r="AH55" s="3327"/>
      <c r="AI55" s="3327"/>
      <c r="AJ55" s="3327"/>
      <c r="AK55" s="3327"/>
      <c r="AL55" s="3327"/>
      <c r="AM55" s="3327"/>
      <c r="AN55" s="3327"/>
      <c r="AO55" s="3327"/>
      <c r="AP55" s="3327"/>
      <c r="AQ55" s="3327"/>
      <c r="AR55" s="3327"/>
      <c r="AS55" s="3327"/>
      <c r="AT55" s="3337"/>
      <c r="AU55" s="3338"/>
      <c r="AV55" s="1410">
        <f t="shared" si="11"/>
        <v>0</v>
      </c>
      <c r="AW55" s="1410">
        <f t="shared" si="12"/>
        <v>0</v>
      </c>
      <c r="AX55" s="1410">
        <f t="shared" si="13"/>
        <v>0</v>
      </c>
      <c r="AY55" s="3352">
        <f t="shared" si="14"/>
        <v>0</v>
      </c>
      <c r="AZ55" s="3307">
        <f t="shared" si="15"/>
        <v>0</v>
      </c>
      <c r="BA55" s="3307">
        <f t="shared" si="16"/>
        <v>0</v>
      </c>
      <c r="BB55" s="3307">
        <f t="shared" si="17"/>
        <v>0</v>
      </c>
      <c r="BC55" s="3307">
        <f t="shared" si="18"/>
        <v>0</v>
      </c>
      <c r="BD55" s="3307">
        <f t="shared" si="19"/>
        <v>0</v>
      </c>
      <c r="BE55" s="3307">
        <f t="shared" si="20"/>
        <v>0</v>
      </c>
      <c r="BF55" s="3307">
        <f t="shared" si="21"/>
        <v>0</v>
      </c>
      <c r="BG55" s="3307">
        <f t="shared" si="22"/>
        <v>0</v>
      </c>
      <c r="BH55" s="3307">
        <f t="shared" si="23"/>
        <v>0</v>
      </c>
      <c r="BI55" s="3307">
        <f t="shared" si="24"/>
        <v>0</v>
      </c>
      <c r="BJ55" s="3307">
        <f t="shared" si="25"/>
        <v>0</v>
      </c>
      <c r="BK55" s="3307">
        <f t="shared" si="26"/>
        <v>0</v>
      </c>
      <c r="BL55" s="3307">
        <f t="shared" si="27"/>
        <v>0</v>
      </c>
      <c r="BM55" s="3307">
        <f t="shared" si="28"/>
        <v>0</v>
      </c>
      <c r="BN55" s="3307">
        <f t="shared" si="29"/>
        <v>0</v>
      </c>
      <c r="BO55" s="3307">
        <f t="shared" si="30"/>
        <v>0</v>
      </c>
      <c r="BP55" s="3307">
        <f t="shared" si="31"/>
        <v>0</v>
      </c>
      <c r="BQ55" s="3307">
        <f t="shared" si="32"/>
        <v>0</v>
      </c>
      <c r="BR55" s="3307">
        <f t="shared" si="33"/>
        <v>0</v>
      </c>
      <c r="BS55" s="3307">
        <f t="shared" si="34"/>
        <v>0</v>
      </c>
      <c r="BT55" s="3359">
        <f t="shared" si="35"/>
        <v>0</v>
      </c>
    </row>
    <row r="56" spans="1:72">
      <c r="A56" s="3304"/>
      <c r="B56" s="3305"/>
      <c r="C56" s="3305"/>
      <c r="D56" s="3306"/>
      <c r="E56" s="3307">
        <f t="shared" si="7"/>
        <v>0</v>
      </c>
      <c r="F56" s="3308"/>
      <c r="G56" s="3309">
        <f t="shared" si="8"/>
        <v>0</v>
      </c>
      <c r="H56" s="3310">
        <f t="shared" si="9"/>
        <v>0</v>
      </c>
      <c r="I56" s="3317"/>
      <c r="J56" s="3317"/>
      <c r="K56" s="3317"/>
      <c r="L56" s="3317"/>
      <c r="M56" s="3317"/>
      <c r="N56" s="3317"/>
      <c r="O56" s="3317"/>
      <c r="P56" s="3317"/>
      <c r="Q56" s="3317"/>
      <c r="R56" s="3317"/>
      <c r="S56" s="3317"/>
      <c r="T56" s="3317"/>
      <c r="U56" s="3317"/>
      <c r="V56" s="3317"/>
      <c r="W56" s="3317"/>
      <c r="X56" s="3317"/>
      <c r="Y56" s="3317"/>
      <c r="Z56" s="3317"/>
      <c r="AA56" s="3317"/>
      <c r="AB56" s="3317"/>
      <c r="AC56" s="3307">
        <f t="shared" si="10"/>
        <v>0</v>
      </c>
      <c r="AD56" s="3327"/>
      <c r="AE56" s="3327"/>
      <c r="AF56" s="3327"/>
      <c r="AG56" s="3327"/>
      <c r="AH56" s="3327"/>
      <c r="AI56" s="3327"/>
      <c r="AJ56" s="3327"/>
      <c r="AK56" s="3327"/>
      <c r="AL56" s="3327"/>
      <c r="AM56" s="3327"/>
      <c r="AN56" s="3327"/>
      <c r="AO56" s="3327"/>
      <c r="AP56" s="3327"/>
      <c r="AQ56" s="3327"/>
      <c r="AR56" s="3327"/>
      <c r="AS56" s="3327"/>
      <c r="AT56" s="3337"/>
      <c r="AU56" s="3338"/>
      <c r="AV56" s="1410">
        <f t="shared" si="11"/>
        <v>0</v>
      </c>
      <c r="AW56" s="1410">
        <f t="shared" si="12"/>
        <v>0</v>
      </c>
      <c r="AX56" s="1410">
        <f t="shared" si="13"/>
        <v>0</v>
      </c>
      <c r="AY56" s="3352">
        <f t="shared" si="14"/>
        <v>0</v>
      </c>
      <c r="AZ56" s="3307">
        <f t="shared" si="15"/>
        <v>0</v>
      </c>
      <c r="BA56" s="3307">
        <f t="shared" si="16"/>
        <v>0</v>
      </c>
      <c r="BB56" s="3307">
        <f t="shared" si="17"/>
        <v>0</v>
      </c>
      <c r="BC56" s="3307">
        <f t="shared" si="18"/>
        <v>0</v>
      </c>
      <c r="BD56" s="3307">
        <f t="shared" si="19"/>
        <v>0</v>
      </c>
      <c r="BE56" s="3307">
        <f t="shared" si="20"/>
        <v>0</v>
      </c>
      <c r="BF56" s="3307">
        <f t="shared" si="21"/>
        <v>0</v>
      </c>
      <c r="BG56" s="3307">
        <f t="shared" si="22"/>
        <v>0</v>
      </c>
      <c r="BH56" s="3307">
        <f t="shared" si="23"/>
        <v>0</v>
      </c>
      <c r="BI56" s="3307">
        <f t="shared" si="24"/>
        <v>0</v>
      </c>
      <c r="BJ56" s="3307">
        <f t="shared" si="25"/>
        <v>0</v>
      </c>
      <c r="BK56" s="3307">
        <f t="shared" si="26"/>
        <v>0</v>
      </c>
      <c r="BL56" s="3307">
        <f t="shared" si="27"/>
        <v>0</v>
      </c>
      <c r="BM56" s="3307">
        <f t="shared" si="28"/>
        <v>0</v>
      </c>
      <c r="BN56" s="3307">
        <f t="shared" si="29"/>
        <v>0</v>
      </c>
      <c r="BO56" s="3307">
        <f t="shared" si="30"/>
        <v>0</v>
      </c>
      <c r="BP56" s="3307">
        <f t="shared" si="31"/>
        <v>0</v>
      </c>
      <c r="BQ56" s="3307">
        <f t="shared" si="32"/>
        <v>0</v>
      </c>
      <c r="BR56" s="3307">
        <f t="shared" si="33"/>
        <v>0</v>
      </c>
      <c r="BS56" s="3307">
        <f t="shared" si="34"/>
        <v>0</v>
      </c>
      <c r="BT56" s="3359">
        <f t="shared" si="35"/>
        <v>0</v>
      </c>
    </row>
    <row r="57" spans="1:72">
      <c r="A57" s="3304"/>
      <c r="B57" s="3305"/>
      <c r="C57" s="3305"/>
      <c r="D57" s="3306"/>
      <c r="E57" s="3307">
        <f t="shared" si="7"/>
        <v>0</v>
      </c>
      <c r="F57" s="3308"/>
      <c r="G57" s="3309">
        <f t="shared" si="8"/>
        <v>0</v>
      </c>
      <c r="H57" s="3310">
        <f t="shared" si="9"/>
        <v>0</v>
      </c>
      <c r="I57" s="3317"/>
      <c r="J57" s="3317"/>
      <c r="K57" s="3317"/>
      <c r="L57" s="3317"/>
      <c r="M57" s="3317"/>
      <c r="N57" s="3317"/>
      <c r="O57" s="3317"/>
      <c r="P57" s="3317"/>
      <c r="Q57" s="3317"/>
      <c r="R57" s="3317"/>
      <c r="S57" s="3317"/>
      <c r="T57" s="3317"/>
      <c r="U57" s="3317"/>
      <c r="V57" s="3317"/>
      <c r="W57" s="3317"/>
      <c r="X57" s="3317"/>
      <c r="Y57" s="3317"/>
      <c r="Z57" s="3317"/>
      <c r="AA57" s="3317"/>
      <c r="AB57" s="3317"/>
      <c r="AC57" s="3307">
        <f t="shared" si="10"/>
        <v>0</v>
      </c>
      <c r="AD57" s="3327"/>
      <c r="AE57" s="3327"/>
      <c r="AF57" s="3327"/>
      <c r="AG57" s="3327"/>
      <c r="AH57" s="3327"/>
      <c r="AI57" s="3327"/>
      <c r="AJ57" s="3327"/>
      <c r="AK57" s="3327"/>
      <c r="AL57" s="3327"/>
      <c r="AM57" s="3327"/>
      <c r="AN57" s="3327"/>
      <c r="AO57" s="3327"/>
      <c r="AP57" s="3327"/>
      <c r="AQ57" s="3327"/>
      <c r="AR57" s="3327"/>
      <c r="AS57" s="3327"/>
      <c r="AT57" s="3337"/>
      <c r="AU57" s="3338"/>
      <c r="AV57" s="1410">
        <f t="shared" si="11"/>
        <v>0</v>
      </c>
      <c r="AW57" s="1410">
        <f t="shared" si="12"/>
        <v>0</v>
      </c>
      <c r="AX57" s="1410">
        <f t="shared" si="13"/>
        <v>0</v>
      </c>
      <c r="AY57" s="3352">
        <f t="shared" si="14"/>
        <v>0</v>
      </c>
      <c r="AZ57" s="3307">
        <f t="shared" si="15"/>
        <v>0</v>
      </c>
      <c r="BA57" s="3307">
        <f t="shared" si="16"/>
        <v>0</v>
      </c>
      <c r="BB57" s="3307">
        <f t="shared" si="17"/>
        <v>0</v>
      </c>
      <c r="BC57" s="3307">
        <f t="shared" si="18"/>
        <v>0</v>
      </c>
      <c r="BD57" s="3307">
        <f t="shared" si="19"/>
        <v>0</v>
      </c>
      <c r="BE57" s="3307">
        <f t="shared" si="20"/>
        <v>0</v>
      </c>
      <c r="BF57" s="3307">
        <f t="shared" si="21"/>
        <v>0</v>
      </c>
      <c r="BG57" s="3307">
        <f t="shared" si="22"/>
        <v>0</v>
      </c>
      <c r="BH57" s="3307">
        <f t="shared" si="23"/>
        <v>0</v>
      </c>
      <c r="BI57" s="3307">
        <f t="shared" si="24"/>
        <v>0</v>
      </c>
      <c r="BJ57" s="3307">
        <f t="shared" si="25"/>
        <v>0</v>
      </c>
      <c r="BK57" s="3307">
        <f t="shared" si="26"/>
        <v>0</v>
      </c>
      <c r="BL57" s="3307">
        <f t="shared" si="27"/>
        <v>0</v>
      </c>
      <c r="BM57" s="3307">
        <f t="shared" si="28"/>
        <v>0</v>
      </c>
      <c r="BN57" s="3307">
        <f t="shared" si="29"/>
        <v>0</v>
      </c>
      <c r="BO57" s="3307">
        <f t="shared" si="30"/>
        <v>0</v>
      </c>
      <c r="BP57" s="3307">
        <f t="shared" si="31"/>
        <v>0</v>
      </c>
      <c r="BQ57" s="3307">
        <f t="shared" si="32"/>
        <v>0</v>
      </c>
      <c r="BR57" s="3307">
        <f t="shared" si="33"/>
        <v>0</v>
      </c>
      <c r="BS57" s="3307">
        <f t="shared" si="34"/>
        <v>0</v>
      </c>
      <c r="BT57" s="3359">
        <f t="shared" si="35"/>
        <v>0</v>
      </c>
    </row>
    <row r="58" spans="1:72">
      <c r="A58" s="3304"/>
      <c r="B58" s="3305"/>
      <c r="C58" s="3305"/>
      <c r="D58" s="3306"/>
      <c r="E58" s="3307">
        <f t="shared" si="7"/>
        <v>0</v>
      </c>
      <c r="F58" s="3308"/>
      <c r="G58" s="3309">
        <f t="shared" si="8"/>
        <v>0</v>
      </c>
      <c r="H58" s="3310">
        <f t="shared" si="9"/>
        <v>0</v>
      </c>
      <c r="I58" s="3317"/>
      <c r="J58" s="3317"/>
      <c r="K58" s="3317"/>
      <c r="L58" s="3317"/>
      <c r="M58" s="3317"/>
      <c r="N58" s="3317"/>
      <c r="O58" s="3317"/>
      <c r="P58" s="3317"/>
      <c r="Q58" s="3317"/>
      <c r="R58" s="3317"/>
      <c r="S58" s="3317"/>
      <c r="T58" s="3317"/>
      <c r="U58" s="3317"/>
      <c r="V58" s="3317"/>
      <c r="W58" s="3317"/>
      <c r="X58" s="3317"/>
      <c r="Y58" s="3317"/>
      <c r="Z58" s="3317"/>
      <c r="AA58" s="3317"/>
      <c r="AB58" s="3317"/>
      <c r="AC58" s="3307">
        <f t="shared" si="10"/>
        <v>0</v>
      </c>
      <c r="AD58" s="3327"/>
      <c r="AE58" s="3327"/>
      <c r="AF58" s="3327"/>
      <c r="AG58" s="3327"/>
      <c r="AH58" s="3327"/>
      <c r="AI58" s="3327"/>
      <c r="AJ58" s="3327"/>
      <c r="AK58" s="3327"/>
      <c r="AL58" s="3327"/>
      <c r="AM58" s="3327"/>
      <c r="AN58" s="3327"/>
      <c r="AO58" s="3327"/>
      <c r="AP58" s="3327"/>
      <c r="AQ58" s="3327"/>
      <c r="AR58" s="3327"/>
      <c r="AS58" s="3327"/>
      <c r="AT58" s="3337"/>
      <c r="AU58" s="3338"/>
      <c r="AV58" s="1410">
        <f t="shared" si="11"/>
        <v>0</v>
      </c>
      <c r="AW58" s="1410">
        <f t="shared" si="12"/>
        <v>0</v>
      </c>
      <c r="AX58" s="1410">
        <f t="shared" si="13"/>
        <v>0</v>
      </c>
      <c r="AY58" s="3352">
        <f t="shared" si="14"/>
        <v>0</v>
      </c>
      <c r="AZ58" s="3307">
        <f t="shared" si="15"/>
        <v>0</v>
      </c>
      <c r="BA58" s="3307">
        <f t="shared" si="16"/>
        <v>0</v>
      </c>
      <c r="BB58" s="3307">
        <f t="shared" si="17"/>
        <v>0</v>
      </c>
      <c r="BC58" s="3307">
        <f t="shared" si="18"/>
        <v>0</v>
      </c>
      <c r="BD58" s="3307">
        <f t="shared" si="19"/>
        <v>0</v>
      </c>
      <c r="BE58" s="3307">
        <f t="shared" si="20"/>
        <v>0</v>
      </c>
      <c r="BF58" s="3307">
        <f t="shared" si="21"/>
        <v>0</v>
      </c>
      <c r="BG58" s="3307">
        <f t="shared" si="22"/>
        <v>0</v>
      </c>
      <c r="BH58" s="3307">
        <f t="shared" si="23"/>
        <v>0</v>
      </c>
      <c r="BI58" s="3307">
        <f t="shared" si="24"/>
        <v>0</v>
      </c>
      <c r="BJ58" s="3307">
        <f t="shared" si="25"/>
        <v>0</v>
      </c>
      <c r="BK58" s="3307">
        <f t="shared" si="26"/>
        <v>0</v>
      </c>
      <c r="BL58" s="3307">
        <f t="shared" si="27"/>
        <v>0</v>
      </c>
      <c r="BM58" s="3307">
        <f t="shared" si="28"/>
        <v>0</v>
      </c>
      <c r="BN58" s="3307">
        <f t="shared" si="29"/>
        <v>0</v>
      </c>
      <c r="BO58" s="3307">
        <f t="shared" si="30"/>
        <v>0</v>
      </c>
      <c r="BP58" s="3307">
        <f t="shared" si="31"/>
        <v>0</v>
      </c>
      <c r="BQ58" s="3307">
        <f t="shared" si="32"/>
        <v>0</v>
      </c>
      <c r="BR58" s="3307">
        <f t="shared" si="33"/>
        <v>0</v>
      </c>
      <c r="BS58" s="3307">
        <f t="shared" si="34"/>
        <v>0</v>
      </c>
      <c r="BT58" s="3359">
        <f t="shared" si="35"/>
        <v>0</v>
      </c>
    </row>
    <row r="59" spans="1:72">
      <c r="A59" s="3304"/>
      <c r="B59" s="3305"/>
      <c r="C59" s="3305"/>
      <c r="D59" s="3306"/>
      <c r="E59" s="3307">
        <f t="shared" si="7"/>
        <v>0</v>
      </c>
      <c r="F59" s="3308"/>
      <c r="G59" s="3309">
        <f t="shared" si="8"/>
        <v>0</v>
      </c>
      <c r="H59" s="3310">
        <f t="shared" si="9"/>
        <v>0</v>
      </c>
      <c r="I59" s="3317"/>
      <c r="J59" s="3317"/>
      <c r="K59" s="3317"/>
      <c r="L59" s="3317"/>
      <c r="M59" s="3317"/>
      <c r="N59" s="3317"/>
      <c r="O59" s="3317"/>
      <c r="P59" s="3317"/>
      <c r="Q59" s="3317"/>
      <c r="R59" s="3317"/>
      <c r="S59" s="3317"/>
      <c r="T59" s="3317"/>
      <c r="U59" s="3317"/>
      <c r="V59" s="3317"/>
      <c r="W59" s="3317"/>
      <c r="X59" s="3317"/>
      <c r="Y59" s="3317"/>
      <c r="Z59" s="3317"/>
      <c r="AA59" s="3317"/>
      <c r="AB59" s="3317"/>
      <c r="AC59" s="3307">
        <f t="shared" si="10"/>
        <v>0</v>
      </c>
      <c r="AD59" s="3327"/>
      <c r="AE59" s="3327"/>
      <c r="AF59" s="3327"/>
      <c r="AG59" s="3327"/>
      <c r="AH59" s="3327"/>
      <c r="AI59" s="3327"/>
      <c r="AJ59" s="3327"/>
      <c r="AK59" s="3327"/>
      <c r="AL59" s="3327"/>
      <c r="AM59" s="3327"/>
      <c r="AN59" s="3327"/>
      <c r="AO59" s="3327"/>
      <c r="AP59" s="3327"/>
      <c r="AQ59" s="3327"/>
      <c r="AR59" s="3327"/>
      <c r="AS59" s="3327"/>
      <c r="AT59" s="3337"/>
      <c r="AU59" s="3338"/>
      <c r="AV59" s="1410">
        <f t="shared" si="11"/>
        <v>0</v>
      </c>
      <c r="AW59" s="1410">
        <f t="shared" si="12"/>
        <v>0</v>
      </c>
      <c r="AX59" s="1410">
        <f t="shared" si="13"/>
        <v>0</v>
      </c>
      <c r="AY59" s="3352">
        <f t="shared" si="14"/>
        <v>0</v>
      </c>
      <c r="AZ59" s="3307">
        <f t="shared" si="15"/>
        <v>0</v>
      </c>
      <c r="BA59" s="3307">
        <f t="shared" si="16"/>
        <v>0</v>
      </c>
      <c r="BB59" s="3307">
        <f t="shared" si="17"/>
        <v>0</v>
      </c>
      <c r="BC59" s="3307">
        <f t="shared" si="18"/>
        <v>0</v>
      </c>
      <c r="BD59" s="3307">
        <f t="shared" si="19"/>
        <v>0</v>
      </c>
      <c r="BE59" s="3307">
        <f t="shared" si="20"/>
        <v>0</v>
      </c>
      <c r="BF59" s="3307">
        <f t="shared" si="21"/>
        <v>0</v>
      </c>
      <c r="BG59" s="3307">
        <f t="shared" si="22"/>
        <v>0</v>
      </c>
      <c r="BH59" s="3307">
        <f t="shared" si="23"/>
        <v>0</v>
      </c>
      <c r="BI59" s="3307">
        <f t="shared" si="24"/>
        <v>0</v>
      </c>
      <c r="BJ59" s="3307">
        <f t="shared" si="25"/>
        <v>0</v>
      </c>
      <c r="BK59" s="3307">
        <f t="shared" si="26"/>
        <v>0</v>
      </c>
      <c r="BL59" s="3307">
        <f t="shared" si="27"/>
        <v>0</v>
      </c>
      <c r="BM59" s="3307">
        <f t="shared" si="28"/>
        <v>0</v>
      </c>
      <c r="BN59" s="3307">
        <f t="shared" si="29"/>
        <v>0</v>
      </c>
      <c r="BO59" s="3307">
        <f t="shared" si="30"/>
        <v>0</v>
      </c>
      <c r="BP59" s="3307">
        <f t="shared" si="31"/>
        <v>0</v>
      </c>
      <c r="BQ59" s="3307">
        <f t="shared" si="32"/>
        <v>0</v>
      </c>
      <c r="BR59" s="3307">
        <f t="shared" si="33"/>
        <v>0</v>
      </c>
      <c r="BS59" s="3307">
        <f t="shared" si="34"/>
        <v>0</v>
      </c>
      <c r="BT59" s="3359">
        <f t="shared" si="35"/>
        <v>0</v>
      </c>
    </row>
    <row r="60" spans="1:72">
      <c r="A60" s="3304"/>
      <c r="B60" s="3305"/>
      <c r="C60" s="3305"/>
      <c r="D60" s="3306"/>
      <c r="E60" s="3307">
        <f t="shared" si="7"/>
        <v>0</v>
      </c>
      <c r="F60" s="3308"/>
      <c r="G60" s="3309">
        <f t="shared" si="8"/>
        <v>0</v>
      </c>
      <c r="H60" s="3310">
        <f t="shared" si="9"/>
        <v>0</v>
      </c>
      <c r="I60" s="3317"/>
      <c r="J60" s="3317"/>
      <c r="K60" s="3317"/>
      <c r="L60" s="3317"/>
      <c r="M60" s="3317"/>
      <c r="N60" s="3317"/>
      <c r="O60" s="3317"/>
      <c r="P60" s="3317"/>
      <c r="Q60" s="3317"/>
      <c r="R60" s="3317"/>
      <c r="S60" s="3317"/>
      <c r="T60" s="3317"/>
      <c r="U60" s="3317"/>
      <c r="V60" s="3317"/>
      <c r="W60" s="3317"/>
      <c r="X60" s="3317"/>
      <c r="Y60" s="3317"/>
      <c r="Z60" s="3317"/>
      <c r="AA60" s="3317"/>
      <c r="AB60" s="3317"/>
      <c r="AC60" s="3307">
        <f t="shared" si="10"/>
        <v>0</v>
      </c>
      <c r="AD60" s="3327"/>
      <c r="AE60" s="3327"/>
      <c r="AF60" s="3327"/>
      <c r="AG60" s="3327"/>
      <c r="AH60" s="3327"/>
      <c r="AI60" s="3327"/>
      <c r="AJ60" s="3327"/>
      <c r="AK60" s="3327"/>
      <c r="AL60" s="3327"/>
      <c r="AM60" s="3327"/>
      <c r="AN60" s="3327"/>
      <c r="AO60" s="3327"/>
      <c r="AP60" s="3327"/>
      <c r="AQ60" s="3327"/>
      <c r="AR60" s="3327"/>
      <c r="AS60" s="3327"/>
      <c r="AT60" s="3337"/>
      <c r="AU60" s="3338"/>
      <c r="AV60" s="1410">
        <f t="shared" si="11"/>
        <v>0</v>
      </c>
      <c r="AW60" s="1410">
        <f t="shared" si="12"/>
        <v>0</v>
      </c>
      <c r="AX60" s="1410">
        <f t="shared" si="13"/>
        <v>0</v>
      </c>
      <c r="AY60" s="3352">
        <f t="shared" si="14"/>
        <v>0</v>
      </c>
      <c r="AZ60" s="3307">
        <f t="shared" si="15"/>
        <v>0</v>
      </c>
      <c r="BA60" s="3307">
        <f t="shared" si="16"/>
        <v>0</v>
      </c>
      <c r="BB60" s="3307">
        <f t="shared" si="17"/>
        <v>0</v>
      </c>
      <c r="BC60" s="3307">
        <f t="shared" si="18"/>
        <v>0</v>
      </c>
      <c r="BD60" s="3307">
        <f t="shared" si="19"/>
        <v>0</v>
      </c>
      <c r="BE60" s="3307">
        <f t="shared" si="20"/>
        <v>0</v>
      </c>
      <c r="BF60" s="3307">
        <f t="shared" si="21"/>
        <v>0</v>
      </c>
      <c r="BG60" s="3307">
        <f t="shared" si="22"/>
        <v>0</v>
      </c>
      <c r="BH60" s="3307">
        <f t="shared" si="23"/>
        <v>0</v>
      </c>
      <c r="BI60" s="3307">
        <f t="shared" si="24"/>
        <v>0</v>
      </c>
      <c r="BJ60" s="3307">
        <f t="shared" si="25"/>
        <v>0</v>
      </c>
      <c r="BK60" s="3307">
        <f t="shared" si="26"/>
        <v>0</v>
      </c>
      <c r="BL60" s="3307">
        <f t="shared" si="27"/>
        <v>0</v>
      </c>
      <c r="BM60" s="3307">
        <f t="shared" si="28"/>
        <v>0</v>
      </c>
      <c r="BN60" s="3307">
        <f t="shared" si="29"/>
        <v>0</v>
      </c>
      <c r="BO60" s="3307">
        <f t="shared" si="30"/>
        <v>0</v>
      </c>
      <c r="BP60" s="3307">
        <f t="shared" si="31"/>
        <v>0</v>
      </c>
      <c r="BQ60" s="3307">
        <f t="shared" si="32"/>
        <v>0</v>
      </c>
      <c r="BR60" s="3307">
        <f t="shared" si="33"/>
        <v>0</v>
      </c>
      <c r="BS60" s="3307">
        <f t="shared" si="34"/>
        <v>0</v>
      </c>
      <c r="BT60" s="3359">
        <f t="shared" si="35"/>
        <v>0</v>
      </c>
    </row>
    <row r="61" spans="1:72">
      <c r="A61" s="3304"/>
      <c r="B61" s="3305"/>
      <c r="C61" s="3305"/>
      <c r="D61" s="3306"/>
      <c r="E61" s="3307">
        <f t="shared" si="7"/>
        <v>0</v>
      </c>
      <c r="F61" s="3308"/>
      <c r="G61" s="3309">
        <f t="shared" si="8"/>
        <v>0</v>
      </c>
      <c r="H61" s="3310">
        <f t="shared" si="9"/>
        <v>0</v>
      </c>
      <c r="I61" s="3317"/>
      <c r="J61" s="3317"/>
      <c r="K61" s="3317"/>
      <c r="L61" s="3317"/>
      <c r="M61" s="3317"/>
      <c r="N61" s="3317"/>
      <c r="O61" s="3317"/>
      <c r="P61" s="3317"/>
      <c r="Q61" s="3317"/>
      <c r="R61" s="3317"/>
      <c r="S61" s="3317"/>
      <c r="T61" s="3317"/>
      <c r="U61" s="3317"/>
      <c r="V61" s="3317"/>
      <c r="W61" s="3317"/>
      <c r="X61" s="3317"/>
      <c r="Y61" s="3317"/>
      <c r="Z61" s="3317"/>
      <c r="AA61" s="3317"/>
      <c r="AB61" s="3317"/>
      <c r="AC61" s="3307">
        <f t="shared" si="10"/>
        <v>0</v>
      </c>
      <c r="AD61" s="3327"/>
      <c r="AE61" s="3327"/>
      <c r="AF61" s="3327"/>
      <c r="AG61" s="3327"/>
      <c r="AH61" s="3327"/>
      <c r="AI61" s="3327"/>
      <c r="AJ61" s="3327"/>
      <c r="AK61" s="3327"/>
      <c r="AL61" s="3327"/>
      <c r="AM61" s="3327"/>
      <c r="AN61" s="3327"/>
      <c r="AO61" s="3327"/>
      <c r="AP61" s="3327"/>
      <c r="AQ61" s="3327"/>
      <c r="AR61" s="3327"/>
      <c r="AS61" s="3327"/>
      <c r="AT61" s="3337"/>
      <c r="AU61" s="3338"/>
      <c r="AV61" s="1410">
        <f t="shared" si="11"/>
        <v>0</v>
      </c>
      <c r="AW61" s="1410">
        <f t="shared" si="12"/>
        <v>0</v>
      </c>
      <c r="AX61" s="1410">
        <f t="shared" si="13"/>
        <v>0</v>
      </c>
      <c r="AY61" s="3352">
        <f t="shared" si="14"/>
        <v>0</v>
      </c>
      <c r="AZ61" s="3307">
        <f t="shared" si="15"/>
        <v>0</v>
      </c>
      <c r="BA61" s="3307">
        <f t="shared" si="16"/>
        <v>0</v>
      </c>
      <c r="BB61" s="3307">
        <f t="shared" si="17"/>
        <v>0</v>
      </c>
      <c r="BC61" s="3307">
        <f t="shared" si="18"/>
        <v>0</v>
      </c>
      <c r="BD61" s="3307">
        <f t="shared" si="19"/>
        <v>0</v>
      </c>
      <c r="BE61" s="3307">
        <f t="shared" si="20"/>
        <v>0</v>
      </c>
      <c r="BF61" s="3307">
        <f t="shared" si="21"/>
        <v>0</v>
      </c>
      <c r="BG61" s="3307">
        <f t="shared" si="22"/>
        <v>0</v>
      </c>
      <c r="BH61" s="3307">
        <f t="shared" si="23"/>
        <v>0</v>
      </c>
      <c r="BI61" s="3307">
        <f t="shared" si="24"/>
        <v>0</v>
      </c>
      <c r="BJ61" s="3307">
        <f t="shared" si="25"/>
        <v>0</v>
      </c>
      <c r="BK61" s="3307">
        <f t="shared" si="26"/>
        <v>0</v>
      </c>
      <c r="BL61" s="3307">
        <f t="shared" si="27"/>
        <v>0</v>
      </c>
      <c r="BM61" s="3307">
        <f t="shared" si="28"/>
        <v>0</v>
      </c>
      <c r="BN61" s="3307">
        <f t="shared" si="29"/>
        <v>0</v>
      </c>
      <c r="BO61" s="3307">
        <f t="shared" si="30"/>
        <v>0</v>
      </c>
      <c r="BP61" s="3307">
        <f t="shared" si="31"/>
        <v>0</v>
      </c>
      <c r="BQ61" s="3307">
        <f t="shared" si="32"/>
        <v>0</v>
      </c>
      <c r="BR61" s="3307">
        <f t="shared" si="33"/>
        <v>0</v>
      </c>
      <c r="BS61" s="3307">
        <f t="shared" si="34"/>
        <v>0</v>
      </c>
      <c r="BT61" s="3359">
        <f t="shared" si="35"/>
        <v>0</v>
      </c>
    </row>
    <row r="62" spans="1:72">
      <c r="A62" s="3304"/>
      <c r="B62" s="3305"/>
      <c r="C62" s="3305"/>
      <c r="D62" s="3306"/>
      <c r="E62" s="3307">
        <f t="shared" si="7"/>
        <v>0</v>
      </c>
      <c r="F62" s="3308"/>
      <c r="G62" s="3309">
        <f t="shared" si="8"/>
        <v>0</v>
      </c>
      <c r="H62" s="3310">
        <f t="shared" si="9"/>
        <v>0</v>
      </c>
      <c r="I62" s="3317"/>
      <c r="J62" s="3317"/>
      <c r="K62" s="3317"/>
      <c r="L62" s="3317"/>
      <c r="M62" s="3317"/>
      <c r="N62" s="3317"/>
      <c r="O62" s="3317"/>
      <c r="P62" s="3317"/>
      <c r="Q62" s="3317"/>
      <c r="R62" s="3317"/>
      <c r="S62" s="3317"/>
      <c r="T62" s="3317"/>
      <c r="U62" s="3317"/>
      <c r="V62" s="3317"/>
      <c r="W62" s="3317"/>
      <c r="X62" s="3317"/>
      <c r="Y62" s="3317"/>
      <c r="Z62" s="3317"/>
      <c r="AA62" s="3317"/>
      <c r="AB62" s="3317"/>
      <c r="AC62" s="3307">
        <f t="shared" si="10"/>
        <v>0</v>
      </c>
      <c r="AD62" s="3327"/>
      <c r="AE62" s="3327"/>
      <c r="AF62" s="3327"/>
      <c r="AG62" s="3327"/>
      <c r="AH62" s="3327"/>
      <c r="AI62" s="3327"/>
      <c r="AJ62" s="3327"/>
      <c r="AK62" s="3327"/>
      <c r="AL62" s="3327"/>
      <c r="AM62" s="3327"/>
      <c r="AN62" s="3327"/>
      <c r="AO62" s="3327"/>
      <c r="AP62" s="3327"/>
      <c r="AQ62" s="3327"/>
      <c r="AR62" s="3327"/>
      <c r="AS62" s="3327"/>
      <c r="AT62" s="3337"/>
      <c r="AU62" s="3338"/>
      <c r="AV62" s="1410">
        <f t="shared" si="11"/>
        <v>0</v>
      </c>
      <c r="AW62" s="1410">
        <f t="shared" si="12"/>
        <v>0</v>
      </c>
      <c r="AX62" s="1410">
        <f t="shared" si="13"/>
        <v>0</v>
      </c>
      <c r="AY62" s="3352">
        <f t="shared" si="14"/>
        <v>0</v>
      </c>
      <c r="AZ62" s="3307">
        <f t="shared" si="15"/>
        <v>0</v>
      </c>
      <c r="BA62" s="3307">
        <f t="shared" si="16"/>
        <v>0</v>
      </c>
      <c r="BB62" s="3307">
        <f t="shared" si="17"/>
        <v>0</v>
      </c>
      <c r="BC62" s="3307">
        <f t="shared" si="18"/>
        <v>0</v>
      </c>
      <c r="BD62" s="3307">
        <f t="shared" si="19"/>
        <v>0</v>
      </c>
      <c r="BE62" s="3307">
        <f t="shared" si="20"/>
        <v>0</v>
      </c>
      <c r="BF62" s="3307">
        <f t="shared" si="21"/>
        <v>0</v>
      </c>
      <c r="BG62" s="3307">
        <f t="shared" si="22"/>
        <v>0</v>
      </c>
      <c r="BH62" s="3307">
        <f t="shared" si="23"/>
        <v>0</v>
      </c>
      <c r="BI62" s="3307">
        <f t="shared" si="24"/>
        <v>0</v>
      </c>
      <c r="BJ62" s="3307">
        <f t="shared" si="25"/>
        <v>0</v>
      </c>
      <c r="BK62" s="3307">
        <f t="shared" si="26"/>
        <v>0</v>
      </c>
      <c r="BL62" s="3307">
        <f t="shared" si="27"/>
        <v>0</v>
      </c>
      <c r="BM62" s="3307">
        <f t="shared" si="28"/>
        <v>0</v>
      </c>
      <c r="BN62" s="3307">
        <f t="shared" si="29"/>
        <v>0</v>
      </c>
      <c r="BO62" s="3307">
        <f t="shared" si="30"/>
        <v>0</v>
      </c>
      <c r="BP62" s="3307">
        <f t="shared" si="31"/>
        <v>0</v>
      </c>
      <c r="BQ62" s="3307">
        <f t="shared" si="32"/>
        <v>0</v>
      </c>
      <c r="BR62" s="3307">
        <f t="shared" si="33"/>
        <v>0</v>
      </c>
      <c r="BS62" s="3307">
        <f t="shared" si="34"/>
        <v>0</v>
      </c>
      <c r="BT62" s="3359">
        <f t="shared" si="35"/>
        <v>0</v>
      </c>
    </row>
    <row r="63" spans="1:72">
      <c r="A63" s="3304"/>
      <c r="B63" s="3305"/>
      <c r="C63" s="3305"/>
      <c r="D63" s="3306"/>
      <c r="E63" s="3307">
        <f t="shared" si="7"/>
        <v>0</v>
      </c>
      <c r="F63" s="3308"/>
      <c r="G63" s="3309">
        <f t="shared" si="8"/>
        <v>0</v>
      </c>
      <c r="H63" s="3310">
        <f t="shared" si="9"/>
        <v>0</v>
      </c>
      <c r="I63" s="3317"/>
      <c r="J63" s="3317"/>
      <c r="K63" s="3317"/>
      <c r="L63" s="3317"/>
      <c r="M63" s="3317"/>
      <c r="N63" s="3317"/>
      <c r="O63" s="3317"/>
      <c r="P63" s="3317"/>
      <c r="Q63" s="3317"/>
      <c r="R63" s="3317"/>
      <c r="S63" s="3317"/>
      <c r="T63" s="3317"/>
      <c r="U63" s="3317"/>
      <c r="V63" s="3317"/>
      <c r="W63" s="3317"/>
      <c r="X63" s="3317"/>
      <c r="Y63" s="3317"/>
      <c r="Z63" s="3317"/>
      <c r="AA63" s="3317"/>
      <c r="AB63" s="3317"/>
      <c r="AC63" s="3307">
        <f t="shared" si="10"/>
        <v>0</v>
      </c>
      <c r="AD63" s="3327"/>
      <c r="AE63" s="3327"/>
      <c r="AF63" s="3327"/>
      <c r="AG63" s="3327"/>
      <c r="AH63" s="3327"/>
      <c r="AI63" s="3327"/>
      <c r="AJ63" s="3327"/>
      <c r="AK63" s="3327"/>
      <c r="AL63" s="3327"/>
      <c r="AM63" s="3327"/>
      <c r="AN63" s="3327"/>
      <c r="AO63" s="3327"/>
      <c r="AP63" s="3327"/>
      <c r="AQ63" s="3327"/>
      <c r="AR63" s="3327"/>
      <c r="AS63" s="3327"/>
      <c r="AT63" s="3337"/>
      <c r="AU63" s="3338"/>
      <c r="AV63" s="1410">
        <f t="shared" si="11"/>
        <v>0</v>
      </c>
      <c r="AW63" s="1410">
        <f t="shared" si="12"/>
        <v>0</v>
      </c>
      <c r="AX63" s="1410">
        <f t="shared" si="13"/>
        <v>0</v>
      </c>
      <c r="AY63" s="3352">
        <f t="shared" si="14"/>
        <v>0</v>
      </c>
      <c r="AZ63" s="3307">
        <f t="shared" si="15"/>
        <v>0</v>
      </c>
      <c r="BA63" s="3307">
        <f t="shared" si="16"/>
        <v>0</v>
      </c>
      <c r="BB63" s="3307">
        <f t="shared" si="17"/>
        <v>0</v>
      </c>
      <c r="BC63" s="3307">
        <f t="shared" si="18"/>
        <v>0</v>
      </c>
      <c r="BD63" s="3307">
        <f t="shared" si="19"/>
        <v>0</v>
      </c>
      <c r="BE63" s="3307">
        <f t="shared" si="20"/>
        <v>0</v>
      </c>
      <c r="BF63" s="3307">
        <f t="shared" si="21"/>
        <v>0</v>
      </c>
      <c r="BG63" s="3307">
        <f t="shared" si="22"/>
        <v>0</v>
      </c>
      <c r="BH63" s="3307">
        <f t="shared" si="23"/>
        <v>0</v>
      </c>
      <c r="BI63" s="3307">
        <f t="shared" si="24"/>
        <v>0</v>
      </c>
      <c r="BJ63" s="3307">
        <f t="shared" si="25"/>
        <v>0</v>
      </c>
      <c r="BK63" s="3307">
        <f t="shared" si="26"/>
        <v>0</v>
      </c>
      <c r="BL63" s="3307">
        <f t="shared" si="27"/>
        <v>0</v>
      </c>
      <c r="BM63" s="3307">
        <f t="shared" si="28"/>
        <v>0</v>
      </c>
      <c r="BN63" s="3307">
        <f t="shared" si="29"/>
        <v>0</v>
      </c>
      <c r="BO63" s="3307">
        <f t="shared" si="30"/>
        <v>0</v>
      </c>
      <c r="BP63" s="3307">
        <f t="shared" si="31"/>
        <v>0</v>
      </c>
      <c r="BQ63" s="3307">
        <f t="shared" si="32"/>
        <v>0</v>
      </c>
      <c r="BR63" s="3307">
        <f t="shared" si="33"/>
        <v>0</v>
      </c>
      <c r="BS63" s="3307">
        <f t="shared" si="34"/>
        <v>0</v>
      </c>
      <c r="BT63" s="3359">
        <f t="shared" si="35"/>
        <v>0</v>
      </c>
    </row>
    <row r="64" spans="1:72">
      <c r="A64" s="3304"/>
      <c r="B64" s="3305"/>
      <c r="C64" s="3305"/>
      <c r="D64" s="3306"/>
      <c r="E64" s="3307">
        <f t="shared" si="7"/>
        <v>0</v>
      </c>
      <c r="F64" s="3308"/>
      <c r="G64" s="3309">
        <f t="shared" si="8"/>
        <v>0</v>
      </c>
      <c r="H64" s="3310">
        <f t="shared" si="9"/>
        <v>0</v>
      </c>
      <c r="I64" s="3317"/>
      <c r="J64" s="3317"/>
      <c r="K64" s="3317"/>
      <c r="L64" s="3317"/>
      <c r="M64" s="3317"/>
      <c r="N64" s="3317"/>
      <c r="O64" s="3317"/>
      <c r="P64" s="3317"/>
      <c r="Q64" s="3317"/>
      <c r="R64" s="3317"/>
      <c r="S64" s="3317"/>
      <c r="T64" s="3317"/>
      <c r="U64" s="3317"/>
      <c r="V64" s="3317"/>
      <c r="W64" s="3317"/>
      <c r="X64" s="3317"/>
      <c r="Y64" s="3317"/>
      <c r="Z64" s="3317"/>
      <c r="AA64" s="3317"/>
      <c r="AB64" s="3317"/>
      <c r="AC64" s="3307">
        <f t="shared" si="10"/>
        <v>0</v>
      </c>
      <c r="AD64" s="3327"/>
      <c r="AE64" s="3327"/>
      <c r="AF64" s="3327"/>
      <c r="AG64" s="3327"/>
      <c r="AH64" s="3327"/>
      <c r="AI64" s="3327"/>
      <c r="AJ64" s="3327"/>
      <c r="AK64" s="3327"/>
      <c r="AL64" s="3327"/>
      <c r="AM64" s="3327"/>
      <c r="AN64" s="3327"/>
      <c r="AO64" s="3327"/>
      <c r="AP64" s="3327"/>
      <c r="AQ64" s="3327"/>
      <c r="AR64" s="3327"/>
      <c r="AS64" s="3327"/>
      <c r="AT64" s="3337"/>
      <c r="AU64" s="3338"/>
      <c r="AV64" s="1410">
        <f t="shared" si="11"/>
        <v>0</v>
      </c>
      <c r="AW64" s="1410">
        <f t="shared" si="12"/>
        <v>0</v>
      </c>
      <c r="AX64" s="1410">
        <f t="shared" si="13"/>
        <v>0</v>
      </c>
      <c r="AY64" s="3352">
        <f t="shared" si="14"/>
        <v>0</v>
      </c>
      <c r="AZ64" s="3307">
        <f t="shared" si="15"/>
        <v>0</v>
      </c>
      <c r="BA64" s="3307">
        <f t="shared" si="16"/>
        <v>0</v>
      </c>
      <c r="BB64" s="3307">
        <f t="shared" si="17"/>
        <v>0</v>
      </c>
      <c r="BC64" s="3307">
        <f t="shared" si="18"/>
        <v>0</v>
      </c>
      <c r="BD64" s="3307">
        <f t="shared" si="19"/>
        <v>0</v>
      </c>
      <c r="BE64" s="3307">
        <f t="shared" si="20"/>
        <v>0</v>
      </c>
      <c r="BF64" s="3307">
        <f t="shared" si="21"/>
        <v>0</v>
      </c>
      <c r="BG64" s="3307">
        <f t="shared" si="22"/>
        <v>0</v>
      </c>
      <c r="BH64" s="3307">
        <f t="shared" si="23"/>
        <v>0</v>
      </c>
      <c r="BI64" s="3307">
        <f t="shared" si="24"/>
        <v>0</v>
      </c>
      <c r="BJ64" s="3307">
        <f t="shared" si="25"/>
        <v>0</v>
      </c>
      <c r="BK64" s="3307">
        <f t="shared" si="26"/>
        <v>0</v>
      </c>
      <c r="BL64" s="3307">
        <f t="shared" si="27"/>
        <v>0</v>
      </c>
      <c r="BM64" s="3307">
        <f t="shared" si="28"/>
        <v>0</v>
      </c>
      <c r="BN64" s="3307">
        <f t="shared" si="29"/>
        <v>0</v>
      </c>
      <c r="BO64" s="3307">
        <f t="shared" si="30"/>
        <v>0</v>
      </c>
      <c r="BP64" s="3307">
        <f t="shared" si="31"/>
        <v>0</v>
      </c>
      <c r="BQ64" s="3307">
        <f t="shared" si="32"/>
        <v>0</v>
      </c>
      <c r="BR64" s="3307">
        <f t="shared" si="33"/>
        <v>0</v>
      </c>
      <c r="BS64" s="3307">
        <f t="shared" si="34"/>
        <v>0</v>
      </c>
      <c r="BT64" s="3359">
        <f t="shared" si="35"/>
        <v>0</v>
      </c>
    </row>
    <row r="65" spans="1:72">
      <c r="A65" s="3304"/>
      <c r="B65" s="3305"/>
      <c r="C65" s="3305"/>
      <c r="D65" s="3306"/>
      <c r="E65" s="3307">
        <f t="shared" si="7"/>
        <v>0</v>
      </c>
      <c r="F65" s="3308"/>
      <c r="G65" s="3309">
        <f t="shared" si="8"/>
        <v>0</v>
      </c>
      <c r="H65" s="3310">
        <f t="shared" si="9"/>
        <v>0</v>
      </c>
      <c r="I65" s="3317"/>
      <c r="J65" s="3317"/>
      <c r="K65" s="3317"/>
      <c r="L65" s="3317"/>
      <c r="M65" s="3317"/>
      <c r="N65" s="3317"/>
      <c r="O65" s="3317"/>
      <c r="P65" s="3317"/>
      <c r="Q65" s="3317"/>
      <c r="R65" s="3317"/>
      <c r="S65" s="3317"/>
      <c r="T65" s="3317"/>
      <c r="U65" s="3317"/>
      <c r="V65" s="3317"/>
      <c r="W65" s="3317"/>
      <c r="X65" s="3317"/>
      <c r="Y65" s="3317"/>
      <c r="Z65" s="3317"/>
      <c r="AA65" s="3317"/>
      <c r="AB65" s="3317"/>
      <c r="AC65" s="3307">
        <f t="shared" si="10"/>
        <v>0</v>
      </c>
      <c r="AD65" s="3327"/>
      <c r="AE65" s="3327"/>
      <c r="AF65" s="3327"/>
      <c r="AG65" s="3327"/>
      <c r="AH65" s="3327"/>
      <c r="AI65" s="3327"/>
      <c r="AJ65" s="3327"/>
      <c r="AK65" s="3327"/>
      <c r="AL65" s="3327"/>
      <c r="AM65" s="3327"/>
      <c r="AN65" s="3327"/>
      <c r="AO65" s="3327"/>
      <c r="AP65" s="3327"/>
      <c r="AQ65" s="3327"/>
      <c r="AR65" s="3327"/>
      <c r="AS65" s="3327"/>
      <c r="AT65" s="3337"/>
      <c r="AU65" s="3338"/>
      <c r="AV65" s="1410">
        <f t="shared" si="11"/>
        <v>0</v>
      </c>
      <c r="AW65" s="1410">
        <f t="shared" si="12"/>
        <v>0</v>
      </c>
      <c r="AX65" s="1410">
        <f t="shared" si="13"/>
        <v>0</v>
      </c>
      <c r="AY65" s="3352">
        <f t="shared" si="14"/>
        <v>0</v>
      </c>
      <c r="AZ65" s="3307">
        <f t="shared" si="15"/>
        <v>0</v>
      </c>
      <c r="BA65" s="3307">
        <f t="shared" si="16"/>
        <v>0</v>
      </c>
      <c r="BB65" s="3307">
        <f t="shared" si="17"/>
        <v>0</v>
      </c>
      <c r="BC65" s="3307">
        <f t="shared" si="18"/>
        <v>0</v>
      </c>
      <c r="BD65" s="3307">
        <f t="shared" si="19"/>
        <v>0</v>
      </c>
      <c r="BE65" s="3307">
        <f t="shared" si="20"/>
        <v>0</v>
      </c>
      <c r="BF65" s="3307">
        <f t="shared" si="21"/>
        <v>0</v>
      </c>
      <c r="BG65" s="3307">
        <f t="shared" si="22"/>
        <v>0</v>
      </c>
      <c r="BH65" s="3307">
        <f t="shared" si="23"/>
        <v>0</v>
      </c>
      <c r="BI65" s="3307">
        <f t="shared" si="24"/>
        <v>0</v>
      </c>
      <c r="BJ65" s="3307">
        <f t="shared" si="25"/>
        <v>0</v>
      </c>
      <c r="BK65" s="3307">
        <f t="shared" si="26"/>
        <v>0</v>
      </c>
      <c r="BL65" s="3307">
        <f t="shared" si="27"/>
        <v>0</v>
      </c>
      <c r="BM65" s="3307">
        <f t="shared" si="28"/>
        <v>0</v>
      </c>
      <c r="BN65" s="3307">
        <f t="shared" si="29"/>
        <v>0</v>
      </c>
      <c r="BO65" s="3307">
        <f t="shared" si="30"/>
        <v>0</v>
      </c>
      <c r="BP65" s="3307">
        <f t="shared" si="31"/>
        <v>0</v>
      </c>
      <c r="BQ65" s="3307">
        <f t="shared" si="32"/>
        <v>0</v>
      </c>
      <c r="BR65" s="3307">
        <f t="shared" si="33"/>
        <v>0</v>
      </c>
      <c r="BS65" s="3307">
        <f t="shared" si="34"/>
        <v>0</v>
      </c>
      <c r="BT65" s="3359">
        <f t="shared" si="35"/>
        <v>0</v>
      </c>
    </row>
    <row r="66" spans="1:72">
      <c r="A66" s="3304"/>
      <c r="B66" s="3305"/>
      <c r="C66" s="3305"/>
      <c r="D66" s="3306"/>
      <c r="E66" s="3307">
        <f t="shared" si="7"/>
        <v>0</v>
      </c>
      <c r="F66" s="3308"/>
      <c r="G66" s="3309">
        <f t="shared" si="8"/>
        <v>0</v>
      </c>
      <c r="H66" s="3310">
        <f t="shared" si="9"/>
        <v>0</v>
      </c>
      <c r="I66" s="3317"/>
      <c r="J66" s="3317"/>
      <c r="K66" s="3317"/>
      <c r="L66" s="3317"/>
      <c r="M66" s="3317"/>
      <c r="N66" s="3317"/>
      <c r="O66" s="3317"/>
      <c r="P66" s="3317"/>
      <c r="Q66" s="3317"/>
      <c r="R66" s="3317"/>
      <c r="S66" s="3317"/>
      <c r="T66" s="3317"/>
      <c r="U66" s="3317"/>
      <c r="V66" s="3317"/>
      <c r="W66" s="3317"/>
      <c r="X66" s="3317"/>
      <c r="Y66" s="3317"/>
      <c r="Z66" s="3317"/>
      <c r="AA66" s="3317"/>
      <c r="AB66" s="3317"/>
      <c r="AC66" s="3307">
        <f t="shared" si="10"/>
        <v>0</v>
      </c>
      <c r="AD66" s="3327"/>
      <c r="AE66" s="3327"/>
      <c r="AF66" s="3327"/>
      <c r="AG66" s="3327"/>
      <c r="AH66" s="3327"/>
      <c r="AI66" s="3327"/>
      <c r="AJ66" s="3327"/>
      <c r="AK66" s="3327"/>
      <c r="AL66" s="3327"/>
      <c r="AM66" s="3327"/>
      <c r="AN66" s="3327"/>
      <c r="AO66" s="3327"/>
      <c r="AP66" s="3327"/>
      <c r="AQ66" s="3327"/>
      <c r="AR66" s="3327"/>
      <c r="AS66" s="3327"/>
      <c r="AT66" s="3337"/>
      <c r="AU66" s="3338"/>
      <c r="AV66" s="1410">
        <f t="shared" si="11"/>
        <v>0</v>
      </c>
      <c r="AW66" s="1410">
        <f t="shared" si="12"/>
        <v>0</v>
      </c>
      <c r="AX66" s="1410">
        <f t="shared" si="13"/>
        <v>0</v>
      </c>
      <c r="AY66" s="3352">
        <f t="shared" si="14"/>
        <v>0</v>
      </c>
      <c r="AZ66" s="3307">
        <f t="shared" si="15"/>
        <v>0</v>
      </c>
      <c r="BA66" s="3307">
        <f t="shared" si="16"/>
        <v>0</v>
      </c>
      <c r="BB66" s="3307">
        <f t="shared" si="17"/>
        <v>0</v>
      </c>
      <c r="BC66" s="3307">
        <f t="shared" si="18"/>
        <v>0</v>
      </c>
      <c r="BD66" s="3307">
        <f t="shared" si="19"/>
        <v>0</v>
      </c>
      <c r="BE66" s="3307">
        <f t="shared" si="20"/>
        <v>0</v>
      </c>
      <c r="BF66" s="3307">
        <f t="shared" si="21"/>
        <v>0</v>
      </c>
      <c r="BG66" s="3307">
        <f t="shared" si="22"/>
        <v>0</v>
      </c>
      <c r="BH66" s="3307">
        <f t="shared" si="23"/>
        <v>0</v>
      </c>
      <c r="BI66" s="3307">
        <f t="shared" si="24"/>
        <v>0</v>
      </c>
      <c r="BJ66" s="3307">
        <f t="shared" si="25"/>
        <v>0</v>
      </c>
      <c r="BK66" s="3307">
        <f t="shared" si="26"/>
        <v>0</v>
      </c>
      <c r="BL66" s="3307">
        <f t="shared" si="27"/>
        <v>0</v>
      </c>
      <c r="BM66" s="3307">
        <f t="shared" si="28"/>
        <v>0</v>
      </c>
      <c r="BN66" s="3307">
        <f t="shared" si="29"/>
        <v>0</v>
      </c>
      <c r="BO66" s="3307">
        <f t="shared" si="30"/>
        <v>0</v>
      </c>
      <c r="BP66" s="3307">
        <f t="shared" si="31"/>
        <v>0</v>
      </c>
      <c r="BQ66" s="3307">
        <f t="shared" si="32"/>
        <v>0</v>
      </c>
      <c r="BR66" s="3307">
        <f t="shared" si="33"/>
        <v>0</v>
      </c>
      <c r="BS66" s="3307">
        <f t="shared" si="34"/>
        <v>0</v>
      </c>
      <c r="BT66" s="3359">
        <f t="shared" si="35"/>
        <v>0</v>
      </c>
    </row>
    <row r="67" spans="1:72">
      <c r="A67" s="3304"/>
      <c r="B67" s="3305"/>
      <c r="C67" s="3305"/>
      <c r="D67" s="3306"/>
      <c r="E67" s="3307">
        <f t="shared" si="7"/>
        <v>0</v>
      </c>
      <c r="F67" s="3308"/>
      <c r="G67" s="3309">
        <f t="shared" si="8"/>
        <v>0</v>
      </c>
      <c r="H67" s="3310">
        <f t="shared" si="9"/>
        <v>0</v>
      </c>
      <c r="I67" s="3317"/>
      <c r="J67" s="3317"/>
      <c r="K67" s="3317"/>
      <c r="L67" s="3317"/>
      <c r="M67" s="3317"/>
      <c r="N67" s="3317"/>
      <c r="O67" s="3317"/>
      <c r="P67" s="3317"/>
      <c r="Q67" s="3317"/>
      <c r="R67" s="3317"/>
      <c r="S67" s="3317"/>
      <c r="T67" s="3317"/>
      <c r="U67" s="3317"/>
      <c r="V67" s="3317"/>
      <c r="W67" s="3317"/>
      <c r="X67" s="3317"/>
      <c r="Y67" s="3317"/>
      <c r="Z67" s="3317"/>
      <c r="AA67" s="3317"/>
      <c r="AB67" s="3317"/>
      <c r="AC67" s="3307">
        <f t="shared" si="10"/>
        <v>0</v>
      </c>
      <c r="AD67" s="3327"/>
      <c r="AE67" s="3327"/>
      <c r="AF67" s="3327"/>
      <c r="AG67" s="3327"/>
      <c r="AH67" s="3327"/>
      <c r="AI67" s="3327"/>
      <c r="AJ67" s="3327"/>
      <c r="AK67" s="3327"/>
      <c r="AL67" s="3327"/>
      <c r="AM67" s="3327"/>
      <c r="AN67" s="3327"/>
      <c r="AO67" s="3327"/>
      <c r="AP67" s="3327"/>
      <c r="AQ67" s="3327"/>
      <c r="AR67" s="3327"/>
      <c r="AS67" s="3327"/>
      <c r="AT67" s="3337"/>
      <c r="AU67" s="3338"/>
      <c r="AV67" s="1410">
        <f t="shared" si="11"/>
        <v>0</v>
      </c>
      <c r="AW67" s="1410">
        <f t="shared" si="12"/>
        <v>0</v>
      </c>
      <c r="AX67" s="1410">
        <f t="shared" si="13"/>
        <v>0</v>
      </c>
      <c r="AY67" s="3352">
        <f t="shared" si="14"/>
        <v>0</v>
      </c>
      <c r="AZ67" s="3307">
        <f t="shared" si="15"/>
        <v>0</v>
      </c>
      <c r="BA67" s="3307">
        <f t="shared" si="16"/>
        <v>0</v>
      </c>
      <c r="BB67" s="3307">
        <f t="shared" si="17"/>
        <v>0</v>
      </c>
      <c r="BC67" s="3307">
        <f t="shared" si="18"/>
        <v>0</v>
      </c>
      <c r="BD67" s="3307">
        <f t="shared" si="19"/>
        <v>0</v>
      </c>
      <c r="BE67" s="3307">
        <f t="shared" si="20"/>
        <v>0</v>
      </c>
      <c r="BF67" s="3307">
        <f t="shared" si="21"/>
        <v>0</v>
      </c>
      <c r="BG67" s="3307">
        <f t="shared" si="22"/>
        <v>0</v>
      </c>
      <c r="BH67" s="3307">
        <f t="shared" si="23"/>
        <v>0</v>
      </c>
      <c r="BI67" s="3307">
        <f t="shared" si="24"/>
        <v>0</v>
      </c>
      <c r="BJ67" s="3307">
        <f t="shared" si="25"/>
        <v>0</v>
      </c>
      <c r="BK67" s="3307">
        <f t="shared" si="26"/>
        <v>0</v>
      </c>
      <c r="BL67" s="3307">
        <f t="shared" si="27"/>
        <v>0</v>
      </c>
      <c r="BM67" s="3307">
        <f t="shared" si="28"/>
        <v>0</v>
      </c>
      <c r="BN67" s="3307">
        <f t="shared" si="29"/>
        <v>0</v>
      </c>
      <c r="BO67" s="3307">
        <f t="shared" si="30"/>
        <v>0</v>
      </c>
      <c r="BP67" s="3307">
        <f t="shared" si="31"/>
        <v>0</v>
      </c>
      <c r="BQ67" s="3307">
        <f t="shared" si="32"/>
        <v>0</v>
      </c>
      <c r="BR67" s="3307">
        <f t="shared" si="33"/>
        <v>0</v>
      </c>
      <c r="BS67" s="3307">
        <f t="shared" si="34"/>
        <v>0</v>
      </c>
      <c r="BT67" s="3359">
        <f t="shared" si="35"/>
        <v>0</v>
      </c>
    </row>
    <row r="68" spans="1:72">
      <c r="A68" s="3304"/>
      <c r="B68" s="3305"/>
      <c r="C68" s="3305"/>
      <c r="D68" s="3306"/>
      <c r="E68" s="3307">
        <f t="shared" si="7"/>
        <v>0</v>
      </c>
      <c r="F68" s="3308"/>
      <c r="G68" s="3309">
        <f t="shared" si="8"/>
        <v>0</v>
      </c>
      <c r="H68" s="3310">
        <f t="shared" si="9"/>
        <v>0</v>
      </c>
      <c r="I68" s="3317"/>
      <c r="J68" s="3317"/>
      <c r="K68" s="3317"/>
      <c r="L68" s="3317"/>
      <c r="M68" s="3317"/>
      <c r="N68" s="3317"/>
      <c r="O68" s="3317"/>
      <c r="P68" s="3317"/>
      <c r="Q68" s="3317"/>
      <c r="R68" s="3317"/>
      <c r="S68" s="3317"/>
      <c r="T68" s="3317"/>
      <c r="U68" s="3317"/>
      <c r="V68" s="3317"/>
      <c r="W68" s="3317"/>
      <c r="X68" s="3317"/>
      <c r="Y68" s="3317"/>
      <c r="Z68" s="3317"/>
      <c r="AA68" s="3317"/>
      <c r="AB68" s="3317"/>
      <c r="AC68" s="3307">
        <f t="shared" si="10"/>
        <v>0</v>
      </c>
      <c r="AD68" s="3327"/>
      <c r="AE68" s="3327"/>
      <c r="AF68" s="3327"/>
      <c r="AG68" s="3327"/>
      <c r="AH68" s="3327"/>
      <c r="AI68" s="3327"/>
      <c r="AJ68" s="3327"/>
      <c r="AK68" s="3327"/>
      <c r="AL68" s="3327"/>
      <c r="AM68" s="3327"/>
      <c r="AN68" s="3327"/>
      <c r="AO68" s="3327"/>
      <c r="AP68" s="3327"/>
      <c r="AQ68" s="3327"/>
      <c r="AR68" s="3327"/>
      <c r="AS68" s="3327"/>
      <c r="AT68" s="3337"/>
      <c r="AU68" s="3338"/>
      <c r="AV68" s="1410">
        <f t="shared" si="11"/>
        <v>0</v>
      </c>
      <c r="AW68" s="1410">
        <f t="shared" si="12"/>
        <v>0</v>
      </c>
      <c r="AX68" s="1410">
        <f t="shared" si="13"/>
        <v>0</v>
      </c>
      <c r="AY68" s="3352">
        <f t="shared" si="14"/>
        <v>0</v>
      </c>
      <c r="AZ68" s="3307">
        <f t="shared" si="15"/>
        <v>0</v>
      </c>
      <c r="BA68" s="3307">
        <f t="shared" si="16"/>
        <v>0</v>
      </c>
      <c r="BB68" s="3307">
        <f t="shared" si="17"/>
        <v>0</v>
      </c>
      <c r="BC68" s="3307">
        <f t="shared" si="18"/>
        <v>0</v>
      </c>
      <c r="BD68" s="3307">
        <f t="shared" si="19"/>
        <v>0</v>
      </c>
      <c r="BE68" s="3307">
        <f t="shared" si="20"/>
        <v>0</v>
      </c>
      <c r="BF68" s="3307">
        <f t="shared" si="21"/>
        <v>0</v>
      </c>
      <c r="BG68" s="3307">
        <f t="shared" si="22"/>
        <v>0</v>
      </c>
      <c r="BH68" s="3307">
        <f t="shared" si="23"/>
        <v>0</v>
      </c>
      <c r="BI68" s="3307">
        <f t="shared" si="24"/>
        <v>0</v>
      </c>
      <c r="BJ68" s="3307">
        <f t="shared" si="25"/>
        <v>0</v>
      </c>
      <c r="BK68" s="3307">
        <f t="shared" si="26"/>
        <v>0</v>
      </c>
      <c r="BL68" s="3307">
        <f t="shared" si="27"/>
        <v>0</v>
      </c>
      <c r="BM68" s="3307">
        <f t="shared" si="28"/>
        <v>0</v>
      </c>
      <c r="BN68" s="3307">
        <f t="shared" si="29"/>
        <v>0</v>
      </c>
      <c r="BO68" s="3307">
        <f t="shared" si="30"/>
        <v>0</v>
      </c>
      <c r="BP68" s="3307">
        <f t="shared" si="31"/>
        <v>0</v>
      </c>
      <c r="BQ68" s="3307">
        <f t="shared" si="32"/>
        <v>0</v>
      </c>
      <c r="BR68" s="3307">
        <f t="shared" si="33"/>
        <v>0</v>
      </c>
      <c r="BS68" s="3307">
        <f t="shared" si="34"/>
        <v>0</v>
      </c>
      <c r="BT68" s="3359">
        <f t="shared" si="35"/>
        <v>0</v>
      </c>
    </row>
    <row r="69" spans="1:72">
      <c r="A69" s="3304"/>
      <c r="B69" s="3305"/>
      <c r="C69" s="3305"/>
      <c r="D69" s="3306"/>
      <c r="E69" s="3307">
        <f t="shared" si="7"/>
        <v>0</v>
      </c>
      <c r="F69" s="3308"/>
      <c r="G69" s="3309">
        <f t="shared" si="8"/>
        <v>0</v>
      </c>
      <c r="H69" s="3310">
        <f t="shared" si="9"/>
        <v>0</v>
      </c>
      <c r="I69" s="3317"/>
      <c r="J69" s="3317"/>
      <c r="K69" s="3317"/>
      <c r="L69" s="3317"/>
      <c r="M69" s="3317"/>
      <c r="N69" s="3317"/>
      <c r="O69" s="3317"/>
      <c r="P69" s="3317"/>
      <c r="Q69" s="3317"/>
      <c r="R69" s="3317"/>
      <c r="S69" s="3317"/>
      <c r="T69" s="3317"/>
      <c r="U69" s="3317"/>
      <c r="V69" s="3317"/>
      <c r="W69" s="3317"/>
      <c r="X69" s="3317"/>
      <c r="Y69" s="3317"/>
      <c r="Z69" s="3317"/>
      <c r="AA69" s="3317"/>
      <c r="AB69" s="3317"/>
      <c r="AC69" s="3307">
        <f t="shared" si="10"/>
        <v>0</v>
      </c>
      <c r="AD69" s="3327"/>
      <c r="AE69" s="3327"/>
      <c r="AF69" s="3327"/>
      <c r="AG69" s="3327"/>
      <c r="AH69" s="3327"/>
      <c r="AI69" s="3327"/>
      <c r="AJ69" s="3327"/>
      <c r="AK69" s="3327"/>
      <c r="AL69" s="3327"/>
      <c r="AM69" s="3327"/>
      <c r="AN69" s="3327"/>
      <c r="AO69" s="3327"/>
      <c r="AP69" s="3327"/>
      <c r="AQ69" s="3327"/>
      <c r="AR69" s="3327"/>
      <c r="AS69" s="3327"/>
      <c r="AT69" s="3337"/>
      <c r="AU69" s="3338"/>
      <c r="AV69" s="1410">
        <f t="shared" si="11"/>
        <v>0</v>
      </c>
      <c r="AW69" s="1410">
        <f t="shared" si="12"/>
        <v>0</v>
      </c>
      <c r="AX69" s="1410">
        <f t="shared" si="13"/>
        <v>0</v>
      </c>
      <c r="AY69" s="3352">
        <f t="shared" si="14"/>
        <v>0</v>
      </c>
      <c r="AZ69" s="3307">
        <f t="shared" si="15"/>
        <v>0</v>
      </c>
      <c r="BA69" s="3307">
        <f t="shared" si="16"/>
        <v>0</v>
      </c>
      <c r="BB69" s="3307">
        <f t="shared" si="17"/>
        <v>0</v>
      </c>
      <c r="BC69" s="3307">
        <f t="shared" si="18"/>
        <v>0</v>
      </c>
      <c r="BD69" s="3307">
        <f t="shared" si="19"/>
        <v>0</v>
      </c>
      <c r="BE69" s="3307">
        <f t="shared" si="20"/>
        <v>0</v>
      </c>
      <c r="BF69" s="3307">
        <f t="shared" si="21"/>
        <v>0</v>
      </c>
      <c r="BG69" s="3307">
        <f t="shared" si="22"/>
        <v>0</v>
      </c>
      <c r="BH69" s="3307">
        <f t="shared" si="23"/>
        <v>0</v>
      </c>
      <c r="BI69" s="3307">
        <f t="shared" si="24"/>
        <v>0</v>
      </c>
      <c r="BJ69" s="3307">
        <f t="shared" si="25"/>
        <v>0</v>
      </c>
      <c r="BK69" s="3307">
        <f t="shared" si="26"/>
        <v>0</v>
      </c>
      <c r="BL69" s="3307">
        <f t="shared" si="27"/>
        <v>0</v>
      </c>
      <c r="BM69" s="3307">
        <f t="shared" si="28"/>
        <v>0</v>
      </c>
      <c r="BN69" s="3307">
        <f t="shared" si="29"/>
        <v>0</v>
      </c>
      <c r="BO69" s="3307">
        <f t="shared" si="30"/>
        <v>0</v>
      </c>
      <c r="BP69" s="3307">
        <f t="shared" si="31"/>
        <v>0</v>
      </c>
      <c r="BQ69" s="3307">
        <f t="shared" si="32"/>
        <v>0</v>
      </c>
      <c r="BR69" s="3307">
        <f t="shared" si="33"/>
        <v>0</v>
      </c>
      <c r="BS69" s="3307">
        <f t="shared" si="34"/>
        <v>0</v>
      </c>
      <c r="BT69" s="3359">
        <f t="shared" si="35"/>
        <v>0</v>
      </c>
    </row>
    <row r="70" spans="1:72">
      <c r="A70" s="3304"/>
      <c r="B70" s="3305"/>
      <c r="C70" s="3305"/>
      <c r="D70" s="3306"/>
      <c r="E70" s="3307">
        <f t="shared" si="7"/>
        <v>0</v>
      </c>
      <c r="F70" s="3308"/>
      <c r="G70" s="3309">
        <f t="shared" si="8"/>
        <v>0</v>
      </c>
      <c r="H70" s="3310">
        <f t="shared" si="9"/>
        <v>0</v>
      </c>
      <c r="I70" s="3317"/>
      <c r="J70" s="3317"/>
      <c r="K70" s="3317"/>
      <c r="L70" s="3317"/>
      <c r="M70" s="3317"/>
      <c r="N70" s="3317"/>
      <c r="O70" s="3317"/>
      <c r="P70" s="3317"/>
      <c r="Q70" s="3317"/>
      <c r="R70" s="3317"/>
      <c r="S70" s="3317"/>
      <c r="T70" s="3317"/>
      <c r="U70" s="3317"/>
      <c r="V70" s="3317"/>
      <c r="W70" s="3317"/>
      <c r="X70" s="3317"/>
      <c r="Y70" s="3317"/>
      <c r="Z70" s="3317"/>
      <c r="AA70" s="3317"/>
      <c r="AB70" s="3317"/>
      <c r="AC70" s="3307">
        <f t="shared" si="10"/>
        <v>0</v>
      </c>
      <c r="AD70" s="3327"/>
      <c r="AE70" s="3327"/>
      <c r="AF70" s="3327"/>
      <c r="AG70" s="3327"/>
      <c r="AH70" s="3327"/>
      <c r="AI70" s="3327"/>
      <c r="AJ70" s="3327"/>
      <c r="AK70" s="3327"/>
      <c r="AL70" s="3327"/>
      <c r="AM70" s="3327"/>
      <c r="AN70" s="3327"/>
      <c r="AO70" s="3327"/>
      <c r="AP70" s="3327"/>
      <c r="AQ70" s="3327"/>
      <c r="AR70" s="3327"/>
      <c r="AS70" s="3327"/>
      <c r="AT70" s="3337"/>
      <c r="AU70" s="3338"/>
      <c r="AV70" s="1410">
        <f t="shared" si="11"/>
        <v>0</v>
      </c>
      <c r="AW70" s="1410">
        <f t="shared" si="12"/>
        <v>0</v>
      </c>
      <c r="AX70" s="1410">
        <f t="shared" si="13"/>
        <v>0</v>
      </c>
      <c r="AY70" s="3352">
        <f t="shared" si="14"/>
        <v>0</v>
      </c>
      <c r="AZ70" s="3307">
        <f t="shared" si="15"/>
        <v>0</v>
      </c>
      <c r="BA70" s="3307">
        <f t="shared" si="16"/>
        <v>0</v>
      </c>
      <c r="BB70" s="3307">
        <f t="shared" si="17"/>
        <v>0</v>
      </c>
      <c r="BC70" s="3307">
        <f t="shared" si="18"/>
        <v>0</v>
      </c>
      <c r="BD70" s="3307">
        <f t="shared" si="19"/>
        <v>0</v>
      </c>
      <c r="BE70" s="3307">
        <f t="shared" si="20"/>
        <v>0</v>
      </c>
      <c r="BF70" s="3307">
        <f t="shared" si="21"/>
        <v>0</v>
      </c>
      <c r="BG70" s="3307">
        <f t="shared" si="22"/>
        <v>0</v>
      </c>
      <c r="BH70" s="3307">
        <f t="shared" si="23"/>
        <v>0</v>
      </c>
      <c r="BI70" s="3307">
        <f t="shared" si="24"/>
        <v>0</v>
      </c>
      <c r="BJ70" s="3307">
        <f t="shared" si="25"/>
        <v>0</v>
      </c>
      <c r="BK70" s="3307">
        <f t="shared" si="26"/>
        <v>0</v>
      </c>
      <c r="BL70" s="3307">
        <f t="shared" si="27"/>
        <v>0</v>
      </c>
      <c r="BM70" s="3307">
        <f t="shared" si="28"/>
        <v>0</v>
      </c>
      <c r="BN70" s="3307">
        <f t="shared" si="29"/>
        <v>0</v>
      </c>
      <c r="BO70" s="3307">
        <f t="shared" si="30"/>
        <v>0</v>
      </c>
      <c r="BP70" s="3307">
        <f t="shared" si="31"/>
        <v>0</v>
      </c>
      <c r="BQ70" s="3307">
        <f t="shared" si="32"/>
        <v>0</v>
      </c>
      <c r="BR70" s="3307">
        <f t="shared" si="33"/>
        <v>0</v>
      </c>
      <c r="BS70" s="3307">
        <f t="shared" si="34"/>
        <v>0</v>
      </c>
      <c r="BT70" s="3359">
        <f t="shared" si="35"/>
        <v>0</v>
      </c>
    </row>
    <row r="71" spans="1:72">
      <c r="A71" s="3304"/>
      <c r="B71" s="3305"/>
      <c r="C71" s="3305"/>
      <c r="D71" s="3306"/>
      <c r="E71" s="3307">
        <f t="shared" si="7"/>
        <v>0</v>
      </c>
      <c r="F71" s="3308"/>
      <c r="G71" s="3309">
        <f t="shared" si="8"/>
        <v>0</v>
      </c>
      <c r="H71" s="3310">
        <f t="shared" si="9"/>
        <v>0</v>
      </c>
      <c r="I71" s="3317"/>
      <c r="J71" s="3317"/>
      <c r="K71" s="3317"/>
      <c r="L71" s="3317"/>
      <c r="M71" s="3317"/>
      <c r="N71" s="3317"/>
      <c r="O71" s="3317"/>
      <c r="P71" s="3317"/>
      <c r="Q71" s="3317"/>
      <c r="R71" s="3317"/>
      <c r="S71" s="3317"/>
      <c r="T71" s="3317"/>
      <c r="U71" s="3317"/>
      <c r="V71" s="3317"/>
      <c r="W71" s="3317"/>
      <c r="X71" s="3317"/>
      <c r="Y71" s="3317"/>
      <c r="Z71" s="3317"/>
      <c r="AA71" s="3317"/>
      <c r="AB71" s="3317"/>
      <c r="AC71" s="3307">
        <f t="shared" si="10"/>
        <v>0</v>
      </c>
      <c r="AD71" s="3327"/>
      <c r="AE71" s="3327"/>
      <c r="AF71" s="3327"/>
      <c r="AG71" s="3327"/>
      <c r="AH71" s="3327"/>
      <c r="AI71" s="3327"/>
      <c r="AJ71" s="3327"/>
      <c r="AK71" s="3327"/>
      <c r="AL71" s="3327"/>
      <c r="AM71" s="3327"/>
      <c r="AN71" s="3327"/>
      <c r="AO71" s="3327"/>
      <c r="AP71" s="3327"/>
      <c r="AQ71" s="3327"/>
      <c r="AR71" s="3327"/>
      <c r="AS71" s="3327"/>
      <c r="AT71" s="3337"/>
      <c r="AU71" s="3338"/>
      <c r="AV71" s="1410">
        <f t="shared" si="11"/>
        <v>0</v>
      </c>
      <c r="AW71" s="1410">
        <f t="shared" si="12"/>
        <v>0</v>
      </c>
      <c r="AX71" s="1410">
        <f t="shared" si="13"/>
        <v>0</v>
      </c>
      <c r="AY71" s="3352">
        <f t="shared" si="14"/>
        <v>0</v>
      </c>
      <c r="AZ71" s="3307">
        <f t="shared" si="15"/>
        <v>0</v>
      </c>
      <c r="BA71" s="3307">
        <f t="shared" si="16"/>
        <v>0</v>
      </c>
      <c r="BB71" s="3307">
        <f t="shared" si="17"/>
        <v>0</v>
      </c>
      <c r="BC71" s="3307">
        <f t="shared" si="18"/>
        <v>0</v>
      </c>
      <c r="BD71" s="3307">
        <f t="shared" si="19"/>
        <v>0</v>
      </c>
      <c r="BE71" s="3307">
        <f t="shared" si="20"/>
        <v>0</v>
      </c>
      <c r="BF71" s="3307">
        <f t="shared" si="21"/>
        <v>0</v>
      </c>
      <c r="BG71" s="3307">
        <f t="shared" si="22"/>
        <v>0</v>
      </c>
      <c r="BH71" s="3307">
        <f t="shared" si="23"/>
        <v>0</v>
      </c>
      <c r="BI71" s="3307">
        <f t="shared" si="24"/>
        <v>0</v>
      </c>
      <c r="BJ71" s="3307">
        <f t="shared" si="25"/>
        <v>0</v>
      </c>
      <c r="BK71" s="3307">
        <f t="shared" si="26"/>
        <v>0</v>
      </c>
      <c r="BL71" s="3307">
        <f t="shared" si="27"/>
        <v>0</v>
      </c>
      <c r="BM71" s="3307">
        <f t="shared" si="28"/>
        <v>0</v>
      </c>
      <c r="BN71" s="3307">
        <f t="shared" si="29"/>
        <v>0</v>
      </c>
      <c r="BO71" s="3307">
        <f t="shared" si="30"/>
        <v>0</v>
      </c>
      <c r="BP71" s="3307">
        <f t="shared" si="31"/>
        <v>0</v>
      </c>
      <c r="BQ71" s="3307">
        <f t="shared" si="32"/>
        <v>0</v>
      </c>
      <c r="BR71" s="3307">
        <f t="shared" si="33"/>
        <v>0</v>
      </c>
      <c r="BS71" s="3307">
        <f t="shared" si="34"/>
        <v>0</v>
      </c>
      <c r="BT71" s="3359">
        <f t="shared" si="35"/>
        <v>0</v>
      </c>
    </row>
    <row r="72" spans="1:72">
      <c r="A72" s="3304"/>
      <c r="B72" s="3305"/>
      <c r="C72" s="3305"/>
      <c r="D72" s="3306"/>
      <c r="E72" s="3307">
        <f t="shared" si="7"/>
        <v>0</v>
      </c>
      <c r="F72" s="3308"/>
      <c r="G72" s="3309">
        <f t="shared" si="8"/>
        <v>0</v>
      </c>
      <c r="H72" s="3310">
        <f t="shared" si="9"/>
        <v>0</v>
      </c>
      <c r="I72" s="3317"/>
      <c r="J72" s="3317"/>
      <c r="K72" s="3317"/>
      <c r="L72" s="3317"/>
      <c r="M72" s="3317"/>
      <c r="N72" s="3317"/>
      <c r="O72" s="3317"/>
      <c r="P72" s="3317"/>
      <c r="Q72" s="3317"/>
      <c r="R72" s="3317"/>
      <c r="S72" s="3317"/>
      <c r="T72" s="3317"/>
      <c r="U72" s="3317"/>
      <c r="V72" s="3317"/>
      <c r="W72" s="3317"/>
      <c r="X72" s="3317"/>
      <c r="Y72" s="3317"/>
      <c r="Z72" s="3317"/>
      <c r="AA72" s="3317"/>
      <c r="AB72" s="3317"/>
      <c r="AC72" s="3307">
        <f t="shared" si="10"/>
        <v>0</v>
      </c>
      <c r="AD72" s="3327"/>
      <c r="AE72" s="3327"/>
      <c r="AF72" s="3327"/>
      <c r="AG72" s="3327"/>
      <c r="AH72" s="3327"/>
      <c r="AI72" s="3327"/>
      <c r="AJ72" s="3327"/>
      <c r="AK72" s="3327"/>
      <c r="AL72" s="3327"/>
      <c r="AM72" s="3327"/>
      <c r="AN72" s="3327"/>
      <c r="AO72" s="3327"/>
      <c r="AP72" s="3327"/>
      <c r="AQ72" s="3327"/>
      <c r="AR72" s="3327"/>
      <c r="AS72" s="3327"/>
      <c r="AT72" s="3337"/>
      <c r="AU72" s="3338"/>
      <c r="AV72" s="1410">
        <f t="shared" si="11"/>
        <v>0</v>
      </c>
      <c r="AW72" s="1410">
        <f t="shared" si="12"/>
        <v>0</v>
      </c>
      <c r="AX72" s="1410">
        <f t="shared" si="13"/>
        <v>0</v>
      </c>
      <c r="AY72" s="3352">
        <f t="shared" si="14"/>
        <v>0</v>
      </c>
      <c r="AZ72" s="3307">
        <f t="shared" si="15"/>
        <v>0</v>
      </c>
      <c r="BA72" s="3307">
        <f t="shared" si="16"/>
        <v>0</v>
      </c>
      <c r="BB72" s="3307">
        <f t="shared" si="17"/>
        <v>0</v>
      </c>
      <c r="BC72" s="3307">
        <f t="shared" si="18"/>
        <v>0</v>
      </c>
      <c r="BD72" s="3307">
        <f t="shared" si="19"/>
        <v>0</v>
      </c>
      <c r="BE72" s="3307">
        <f t="shared" si="20"/>
        <v>0</v>
      </c>
      <c r="BF72" s="3307">
        <f t="shared" si="21"/>
        <v>0</v>
      </c>
      <c r="BG72" s="3307">
        <f t="shared" si="22"/>
        <v>0</v>
      </c>
      <c r="BH72" s="3307">
        <f t="shared" si="23"/>
        <v>0</v>
      </c>
      <c r="BI72" s="3307">
        <f t="shared" si="24"/>
        <v>0</v>
      </c>
      <c r="BJ72" s="3307">
        <f t="shared" si="25"/>
        <v>0</v>
      </c>
      <c r="BK72" s="3307">
        <f t="shared" si="26"/>
        <v>0</v>
      </c>
      <c r="BL72" s="3307">
        <f t="shared" si="27"/>
        <v>0</v>
      </c>
      <c r="BM72" s="3307">
        <f t="shared" si="28"/>
        <v>0</v>
      </c>
      <c r="BN72" s="3307">
        <f t="shared" si="29"/>
        <v>0</v>
      </c>
      <c r="BO72" s="3307">
        <f t="shared" si="30"/>
        <v>0</v>
      </c>
      <c r="BP72" s="3307">
        <f t="shared" si="31"/>
        <v>0</v>
      </c>
      <c r="BQ72" s="3307">
        <f t="shared" si="32"/>
        <v>0</v>
      </c>
      <c r="BR72" s="3307">
        <f t="shared" si="33"/>
        <v>0</v>
      </c>
      <c r="BS72" s="3307">
        <f t="shared" si="34"/>
        <v>0</v>
      </c>
      <c r="BT72" s="3359">
        <f t="shared" si="35"/>
        <v>0</v>
      </c>
    </row>
    <row r="73" spans="1:72">
      <c r="A73" s="3304"/>
      <c r="B73" s="3305"/>
      <c r="C73" s="3305"/>
      <c r="D73" s="3306"/>
      <c r="E73" s="3307">
        <f t="shared" si="7"/>
        <v>0</v>
      </c>
      <c r="F73" s="3308"/>
      <c r="G73" s="3309">
        <f t="shared" si="8"/>
        <v>0</v>
      </c>
      <c r="H73" s="3310">
        <f t="shared" si="9"/>
        <v>0</v>
      </c>
      <c r="I73" s="3317"/>
      <c r="J73" s="3317"/>
      <c r="K73" s="3317"/>
      <c r="L73" s="3317"/>
      <c r="M73" s="3317"/>
      <c r="N73" s="3317"/>
      <c r="O73" s="3317"/>
      <c r="P73" s="3317"/>
      <c r="Q73" s="3317"/>
      <c r="R73" s="3317"/>
      <c r="S73" s="3317"/>
      <c r="T73" s="3317"/>
      <c r="U73" s="3317"/>
      <c r="V73" s="3317"/>
      <c r="W73" s="3317"/>
      <c r="X73" s="3317"/>
      <c r="Y73" s="3317"/>
      <c r="Z73" s="3317"/>
      <c r="AA73" s="3317"/>
      <c r="AB73" s="3317"/>
      <c r="AC73" s="3307">
        <f t="shared" si="10"/>
        <v>0</v>
      </c>
      <c r="AD73" s="3327"/>
      <c r="AE73" s="3327"/>
      <c r="AF73" s="3327"/>
      <c r="AG73" s="3327"/>
      <c r="AH73" s="3327"/>
      <c r="AI73" s="3327"/>
      <c r="AJ73" s="3327"/>
      <c r="AK73" s="3327"/>
      <c r="AL73" s="3327"/>
      <c r="AM73" s="3327"/>
      <c r="AN73" s="3327"/>
      <c r="AO73" s="3327"/>
      <c r="AP73" s="3327"/>
      <c r="AQ73" s="3327"/>
      <c r="AR73" s="3327"/>
      <c r="AS73" s="3327"/>
      <c r="AT73" s="3337"/>
      <c r="AU73" s="3338"/>
      <c r="AV73" s="1410">
        <f t="shared" si="11"/>
        <v>0</v>
      </c>
      <c r="AW73" s="1410">
        <f t="shared" si="12"/>
        <v>0</v>
      </c>
      <c r="AX73" s="1410">
        <f t="shared" si="13"/>
        <v>0</v>
      </c>
      <c r="AY73" s="3352">
        <f t="shared" si="14"/>
        <v>0</v>
      </c>
      <c r="AZ73" s="3307">
        <f t="shared" si="15"/>
        <v>0</v>
      </c>
      <c r="BA73" s="3307">
        <f t="shared" si="16"/>
        <v>0</v>
      </c>
      <c r="BB73" s="3307">
        <f t="shared" si="17"/>
        <v>0</v>
      </c>
      <c r="BC73" s="3307">
        <f t="shared" si="18"/>
        <v>0</v>
      </c>
      <c r="BD73" s="3307">
        <f t="shared" si="19"/>
        <v>0</v>
      </c>
      <c r="BE73" s="3307">
        <f t="shared" si="20"/>
        <v>0</v>
      </c>
      <c r="BF73" s="3307">
        <f t="shared" si="21"/>
        <v>0</v>
      </c>
      <c r="BG73" s="3307">
        <f t="shared" si="22"/>
        <v>0</v>
      </c>
      <c r="BH73" s="3307">
        <f t="shared" si="23"/>
        <v>0</v>
      </c>
      <c r="BI73" s="3307">
        <f t="shared" si="24"/>
        <v>0</v>
      </c>
      <c r="BJ73" s="3307">
        <f t="shared" si="25"/>
        <v>0</v>
      </c>
      <c r="BK73" s="3307">
        <f t="shared" si="26"/>
        <v>0</v>
      </c>
      <c r="BL73" s="3307">
        <f t="shared" si="27"/>
        <v>0</v>
      </c>
      <c r="BM73" s="3307">
        <f t="shared" si="28"/>
        <v>0</v>
      </c>
      <c r="BN73" s="3307">
        <f t="shared" si="29"/>
        <v>0</v>
      </c>
      <c r="BO73" s="3307">
        <f t="shared" si="30"/>
        <v>0</v>
      </c>
      <c r="BP73" s="3307">
        <f t="shared" si="31"/>
        <v>0</v>
      </c>
      <c r="BQ73" s="3307">
        <f t="shared" si="32"/>
        <v>0</v>
      </c>
      <c r="BR73" s="3307">
        <f t="shared" si="33"/>
        <v>0</v>
      </c>
      <c r="BS73" s="3307">
        <f t="shared" si="34"/>
        <v>0</v>
      </c>
      <c r="BT73" s="3359">
        <f t="shared" si="35"/>
        <v>0</v>
      </c>
    </row>
    <row r="74" spans="1:72">
      <c r="A74" s="3304"/>
      <c r="B74" s="3305"/>
      <c r="C74" s="3305"/>
      <c r="D74" s="3306"/>
      <c r="E74" s="3307">
        <f t="shared" si="7"/>
        <v>0</v>
      </c>
      <c r="F74" s="3308"/>
      <c r="G74" s="3309">
        <f t="shared" si="8"/>
        <v>0</v>
      </c>
      <c r="H74" s="3310">
        <f t="shared" si="9"/>
        <v>0</v>
      </c>
      <c r="I74" s="3317"/>
      <c r="J74" s="3317"/>
      <c r="K74" s="3317"/>
      <c r="L74" s="3317"/>
      <c r="M74" s="3317"/>
      <c r="N74" s="3317"/>
      <c r="O74" s="3317"/>
      <c r="P74" s="3317"/>
      <c r="Q74" s="3317"/>
      <c r="R74" s="3317"/>
      <c r="S74" s="3317"/>
      <c r="T74" s="3317"/>
      <c r="U74" s="3317"/>
      <c r="V74" s="3317"/>
      <c r="W74" s="3317"/>
      <c r="X74" s="3317"/>
      <c r="Y74" s="3317"/>
      <c r="Z74" s="3317"/>
      <c r="AA74" s="3317"/>
      <c r="AB74" s="3317"/>
      <c r="AC74" s="3307">
        <f t="shared" si="10"/>
        <v>0</v>
      </c>
      <c r="AD74" s="3327"/>
      <c r="AE74" s="3327"/>
      <c r="AF74" s="3327"/>
      <c r="AG74" s="3327"/>
      <c r="AH74" s="3327"/>
      <c r="AI74" s="3327"/>
      <c r="AJ74" s="3327"/>
      <c r="AK74" s="3327"/>
      <c r="AL74" s="3327"/>
      <c r="AM74" s="3327"/>
      <c r="AN74" s="3327"/>
      <c r="AO74" s="3327"/>
      <c r="AP74" s="3327"/>
      <c r="AQ74" s="3327"/>
      <c r="AR74" s="3327"/>
      <c r="AS74" s="3327"/>
      <c r="AT74" s="3337"/>
      <c r="AU74" s="3338"/>
      <c r="AV74" s="1410">
        <f t="shared" si="11"/>
        <v>0</v>
      </c>
      <c r="AW74" s="1410">
        <f t="shared" si="12"/>
        <v>0</v>
      </c>
      <c r="AX74" s="1410">
        <f t="shared" si="13"/>
        <v>0</v>
      </c>
      <c r="AY74" s="3352">
        <f t="shared" si="14"/>
        <v>0</v>
      </c>
      <c r="AZ74" s="3307">
        <f t="shared" si="15"/>
        <v>0</v>
      </c>
      <c r="BA74" s="3307">
        <f t="shared" si="16"/>
        <v>0</v>
      </c>
      <c r="BB74" s="3307">
        <f t="shared" si="17"/>
        <v>0</v>
      </c>
      <c r="BC74" s="3307">
        <f t="shared" si="18"/>
        <v>0</v>
      </c>
      <c r="BD74" s="3307">
        <f t="shared" si="19"/>
        <v>0</v>
      </c>
      <c r="BE74" s="3307">
        <f t="shared" si="20"/>
        <v>0</v>
      </c>
      <c r="BF74" s="3307">
        <f t="shared" si="21"/>
        <v>0</v>
      </c>
      <c r="BG74" s="3307">
        <f t="shared" si="22"/>
        <v>0</v>
      </c>
      <c r="BH74" s="3307">
        <f t="shared" si="23"/>
        <v>0</v>
      </c>
      <c r="BI74" s="3307">
        <f t="shared" si="24"/>
        <v>0</v>
      </c>
      <c r="BJ74" s="3307">
        <f t="shared" si="25"/>
        <v>0</v>
      </c>
      <c r="BK74" s="3307">
        <f t="shared" si="26"/>
        <v>0</v>
      </c>
      <c r="BL74" s="3307">
        <f t="shared" si="27"/>
        <v>0</v>
      </c>
      <c r="BM74" s="3307">
        <f t="shared" si="28"/>
        <v>0</v>
      </c>
      <c r="BN74" s="3307">
        <f t="shared" si="29"/>
        <v>0</v>
      </c>
      <c r="BO74" s="3307">
        <f t="shared" si="30"/>
        <v>0</v>
      </c>
      <c r="BP74" s="3307">
        <f t="shared" si="31"/>
        <v>0</v>
      </c>
      <c r="BQ74" s="3307">
        <f t="shared" si="32"/>
        <v>0</v>
      </c>
      <c r="BR74" s="3307">
        <f t="shared" si="33"/>
        <v>0</v>
      </c>
      <c r="BS74" s="3307">
        <f t="shared" si="34"/>
        <v>0</v>
      </c>
      <c r="BT74" s="3359">
        <f t="shared" si="35"/>
        <v>0</v>
      </c>
    </row>
    <row r="75" spans="1:72">
      <c r="A75" s="3304"/>
      <c r="B75" s="3305"/>
      <c r="C75" s="3305"/>
      <c r="D75" s="3306"/>
      <c r="E75" s="3307">
        <f t="shared" si="7"/>
        <v>0</v>
      </c>
      <c r="F75" s="3308"/>
      <c r="G75" s="3309">
        <f t="shared" si="8"/>
        <v>0</v>
      </c>
      <c r="H75" s="3310">
        <f t="shared" si="9"/>
        <v>0</v>
      </c>
      <c r="I75" s="3317"/>
      <c r="J75" s="3317"/>
      <c r="K75" s="3317"/>
      <c r="L75" s="3317"/>
      <c r="M75" s="3317"/>
      <c r="N75" s="3317"/>
      <c r="O75" s="3317"/>
      <c r="P75" s="3317"/>
      <c r="Q75" s="3317"/>
      <c r="R75" s="3317"/>
      <c r="S75" s="3317"/>
      <c r="T75" s="3317"/>
      <c r="U75" s="3317"/>
      <c r="V75" s="3317"/>
      <c r="W75" s="3317"/>
      <c r="X75" s="3317"/>
      <c r="Y75" s="3317"/>
      <c r="Z75" s="3317"/>
      <c r="AA75" s="3317"/>
      <c r="AB75" s="3317"/>
      <c r="AC75" s="3307">
        <f t="shared" si="10"/>
        <v>0</v>
      </c>
      <c r="AD75" s="3327"/>
      <c r="AE75" s="3327"/>
      <c r="AF75" s="3327"/>
      <c r="AG75" s="3327"/>
      <c r="AH75" s="3327"/>
      <c r="AI75" s="3327"/>
      <c r="AJ75" s="3327"/>
      <c r="AK75" s="3327"/>
      <c r="AL75" s="3327"/>
      <c r="AM75" s="3327"/>
      <c r="AN75" s="3327"/>
      <c r="AO75" s="3327"/>
      <c r="AP75" s="3327"/>
      <c r="AQ75" s="3327"/>
      <c r="AR75" s="3327"/>
      <c r="AS75" s="3327"/>
      <c r="AT75" s="3337"/>
      <c r="AU75" s="3338"/>
      <c r="AV75" s="1410">
        <f t="shared" si="11"/>
        <v>0</v>
      </c>
      <c r="AW75" s="1410">
        <f t="shared" si="12"/>
        <v>0</v>
      </c>
      <c r="AX75" s="1410">
        <f t="shared" si="13"/>
        <v>0</v>
      </c>
      <c r="AY75" s="3352">
        <f t="shared" si="14"/>
        <v>0</v>
      </c>
      <c r="AZ75" s="3307">
        <f t="shared" si="15"/>
        <v>0</v>
      </c>
      <c r="BA75" s="3307">
        <f t="shared" si="16"/>
        <v>0</v>
      </c>
      <c r="BB75" s="3307">
        <f t="shared" si="17"/>
        <v>0</v>
      </c>
      <c r="BC75" s="3307">
        <f t="shared" si="18"/>
        <v>0</v>
      </c>
      <c r="BD75" s="3307">
        <f t="shared" si="19"/>
        <v>0</v>
      </c>
      <c r="BE75" s="3307">
        <f t="shared" si="20"/>
        <v>0</v>
      </c>
      <c r="BF75" s="3307">
        <f t="shared" si="21"/>
        <v>0</v>
      </c>
      <c r="BG75" s="3307">
        <f t="shared" si="22"/>
        <v>0</v>
      </c>
      <c r="BH75" s="3307">
        <f t="shared" si="23"/>
        <v>0</v>
      </c>
      <c r="BI75" s="3307">
        <f t="shared" si="24"/>
        <v>0</v>
      </c>
      <c r="BJ75" s="3307">
        <f t="shared" si="25"/>
        <v>0</v>
      </c>
      <c r="BK75" s="3307">
        <f t="shared" si="26"/>
        <v>0</v>
      </c>
      <c r="BL75" s="3307">
        <f t="shared" si="27"/>
        <v>0</v>
      </c>
      <c r="BM75" s="3307">
        <f t="shared" si="28"/>
        <v>0</v>
      </c>
      <c r="BN75" s="3307">
        <f t="shared" si="29"/>
        <v>0</v>
      </c>
      <c r="BO75" s="3307">
        <f t="shared" si="30"/>
        <v>0</v>
      </c>
      <c r="BP75" s="3307">
        <f t="shared" si="31"/>
        <v>0</v>
      </c>
      <c r="BQ75" s="3307">
        <f t="shared" si="32"/>
        <v>0</v>
      </c>
      <c r="BR75" s="3307">
        <f t="shared" si="33"/>
        <v>0</v>
      </c>
      <c r="BS75" s="3307">
        <f t="shared" si="34"/>
        <v>0</v>
      </c>
      <c r="BT75" s="3359">
        <f t="shared" si="35"/>
        <v>0</v>
      </c>
    </row>
    <row r="76" spans="1:72">
      <c r="A76" s="3304"/>
      <c r="B76" s="3305"/>
      <c r="C76" s="3305"/>
      <c r="D76" s="3306"/>
      <c r="E76" s="3307">
        <f t="shared" si="7"/>
        <v>0</v>
      </c>
      <c r="F76" s="3308"/>
      <c r="G76" s="3309">
        <f t="shared" si="8"/>
        <v>0</v>
      </c>
      <c r="H76" s="3310">
        <f t="shared" si="9"/>
        <v>0</v>
      </c>
      <c r="I76" s="3317"/>
      <c r="J76" s="3317"/>
      <c r="K76" s="3317"/>
      <c r="L76" s="3317"/>
      <c r="M76" s="3317"/>
      <c r="N76" s="3317"/>
      <c r="O76" s="3317"/>
      <c r="P76" s="3317"/>
      <c r="Q76" s="3317"/>
      <c r="R76" s="3317"/>
      <c r="S76" s="3317"/>
      <c r="T76" s="3317"/>
      <c r="U76" s="3317"/>
      <c r="V76" s="3317"/>
      <c r="W76" s="3317"/>
      <c r="X76" s="3317"/>
      <c r="Y76" s="3317"/>
      <c r="Z76" s="3317"/>
      <c r="AA76" s="3317"/>
      <c r="AB76" s="3317"/>
      <c r="AC76" s="3307">
        <f t="shared" si="10"/>
        <v>0</v>
      </c>
      <c r="AD76" s="3327"/>
      <c r="AE76" s="3327"/>
      <c r="AF76" s="3327"/>
      <c r="AG76" s="3327"/>
      <c r="AH76" s="3327"/>
      <c r="AI76" s="3327"/>
      <c r="AJ76" s="3327"/>
      <c r="AK76" s="3327"/>
      <c r="AL76" s="3327"/>
      <c r="AM76" s="3327"/>
      <c r="AN76" s="3327"/>
      <c r="AO76" s="3327"/>
      <c r="AP76" s="3327"/>
      <c r="AQ76" s="3327"/>
      <c r="AR76" s="3327"/>
      <c r="AS76" s="3327"/>
      <c r="AT76" s="3337"/>
      <c r="AU76" s="3338"/>
      <c r="AV76" s="1410">
        <f t="shared" si="11"/>
        <v>0</v>
      </c>
      <c r="AW76" s="1410">
        <f t="shared" si="12"/>
        <v>0</v>
      </c>
      <c r="AX76" s="1410">
        <f t="shared" si="13"/>
        <v>0</v>
      </c>
      <c r="AY76" s="3352">
        <f t="shared" si="14"/>
        <v>0</v>
      </c>
      <c r="AZ76" s="3307">
        <f t="shared" si="15"/>
        <v>0</v>
      </c>
      <c r="BA76" s="3307">
        <f t="shared" si="16"/>
        <v>0</v>
      </c>
      <c r="BB76" s="3307">
        <f t="shared" si="17"/>
        <v>0</v>
      </c>
      <c r="BC76" s="3307">
        <f t="shared" si="18"/>
        <v>0</v>
      </c>
      <c r="BD76" s="3307">
        <f t="shared" si="19"/>
        <v>0</v>
      </c>
      <c r="BE76" s="3307">
        <f t="shared" si="20"/>
        <v>0</v>
      </c>
      <c r="BF76" s="3307">
        <f t="shared" si="21"/>
        <v>0</v>
      </c>
      <c r="BG76" s="3307">
        <f t="shared" si="22"/>
        <v>0</v>
      </c>
      <c r="BH76" s="3307">
        <f t="shared" si="23"/>
        <v>0</v>
      </c>
      <c r="BI76" s="3307">
        <f t="shared" si="24"/>
        <v>0</v>
      </c>
      <c r="BJ76" s="3307">
        <f t="shared" si="25"/>
        <v>0</v>
      </c>
      <c r="BK76" s="3307">
        <f t="shared" si="26"/>
        <v>0</v>
      </c>
      <c r="BL76" s="3307">
        <f t="shared" si="27"/>
        <v>0</v>
      </c>
      <c r="BM76" s="3307">
        <f t="shared" si="28"/>
        <v>0</v>
      </c>
      <c r="BN76" s="3307">
        <f t="shared" si="29"/>
        <v>0</v>
      </c>
      <c r="BO76" s="3307">
        <f t="shared" si="30"/>
        <v>0</v>
      </c>
      <c r="BP76" s="3307">
        <f t="shared" si="31"/>
        <v>0</v>
      </c>
      <c r="BQ76" s="3307">
        <f t="shared" si="32"/>
        <v>0</v>
      </c>
      <c r="BR76" s="3307">
        <f t="shared" si="33"/>
        <v>0</v>
      </c>
      <c r="BS76" s="3307">
        <f t="shared" si="34"/>
        <v>0</v>
      </c>
      <c r="BT76" s="3359">
        <f t="shared" si="35"/>
        <v>0</v>
      </c>
    </row>
    <row r="77" spans="1:72">
      <c r="A77" s="3304"/>
      <c r="B77" s="3305"/>
      <c r="C77" s="3305"/>
      <c r="D77" s="3306"/>
      <c r="E77" s="3307">
        <f t="shared" si="7"/>
        <v>0</v>
      </c>
      <c r="F77" s="3308"/>
      <c r="G77" s="3309">
        <f t="shared" si="8"/>
        <v>0</v>
      </c>
      <c r="H77" s="3310">
        <f t="shared" si="9"/>
        <v>0</v>
      </c>
      <c r="I77" s="3317"/>
      <c r="J77" s="3317"/>
      <c r="K77" s="3317"/>
      <c r="L77" s="3317"/>
      <c r="M77" s="3317"/>
      <c r="N77" s="3317"/>
      <c r="O77" s="3317"/>
      <c r="P77" s="3317"/>
      <c r="Q77" s="3317"/>
      <c r="R77" s="3317"/>
      <c r="S77" s="3317"/>
      <c r="T77" s="3317"/>
      <c r="U77" s="3317"/>
      <c r="V77" s="3317"/>
      <c r="W77" s="3317"/>
      <c r="X77" s="3317"/>
      <c r="Y77" s="3317"/>
      <c r="Z77" s="3317"/>
      <c r="AA77" s="3317"/>
      <c r="AB77" s="3317"/>
      <c r="AC77" s="3307">
        <f t="shared" si="10"/>
        <v>0</v>
      </c>
      <c r="AD77" s="3327"/>
      <c r="AE77" s="3327"/>
      <c r="AF77" s="3327"/>
      <c r="AG77" s="3327"/>
      <c r="AH77" s="3327"/>
      <c r="AI77" s="3327"/>
      <c r="AJ77" s="3327"/>
      <c r="AK77" s="3327"/>
      <c r="AL77" s="3327"/>
      <c r="AM77" s="3327"/>
      <c r="AN77" s="3327"/>
      <c r="AO77" s="3327"/>
      <c r="AP77" s="3327"/>
      <c r="AQ77" s="3327"/>
      <c r="AR77" s="3327"/>
      <c r="AS77" s="3327"/>
      <c r="AT77" s="3337"/>
      <c r="AU77" s="3338"/>
      <c r="AV77" s="1410">
        <f t="shared" si="11"/>
        <v>0</v>
      </c>
      <c r="AW77" s="1410">
        <f t="shared" si="12"/>
        <v>0</v>
      </c>
      <c r="AX77" s="1410">
        <f t="shared" si="13"/>
        <v>0</v>
      </c>
      <c r="AY77" s="3352">
        <f t="shared" si="14"/>
        <v>0</v>
      </c>
      <c r="AZ77" s="3307">
        <f t="shared" si="15"/>
        <v>0</v>
      </c>
      <c r="BA77" s="3307">
        <f t="shared" si="16"/>
        <v>0</v>
      </c>
      <c r="BB77" s="3307">
        <f t="shared" si="17"/>
        <v>0</v>
      </c>
      <c r="BC77" s="3307">
        <f t="shared" si="18"/>
        <v>0</v>
      </c>
      <c r="BD77" s="3307">
        <f t="shared" si="19"/>
        <v>0</v>
      </c>
      <c r="BE77" s="3307">
        <f t="shared" si="20"/>
        <v>0</v>
      </c>
      <c r="BF77" s="3307">
        <f t="shared" si="21"/>
        <v>0</v>
      </c>
      <c r="BG77" s="3307">
        <f t="shared" si="22"/>
        <v>0</v>
      </c>
      <c r="BH77" s="3307">
        <f t="shared" si="23"/>
        <v>0</v>
      </c>
      <c r="BI77" s="3307">
        <f t="shared" si="24"/>
        <v>0</v>
      </c>
      <c r="BJ77" s="3307">
        <f t="shared" si="25"/>
        <v>0</v>
      </c>
      <c r="BK77" s="3307">
        <f t="shared" si="26"/>
        <v>0</v>
      </c>
      <c r="BL77" s="3307">
        <f t="shared" si="27"/>
        <v>0</v>
      </c>
      <c r="BM77" s="3307">
        <f t="shared" si="28"/>
        <v>0</v>
      </c>
      <c r="BN77" s="3307">
        <f t="shared" si="29"/>
        <v>0</v>
      </c>
      <c r="BO77" s="3307">
        <f t="shared" si="30"/>
        <v>0</v>
      </c>
      <c r="BP77" s="3307">
        <f t="shared" si="31"/>
        <v>0</v>
      </c>
      <c r="BQ77" s="3307">
        <f t="shared" si="32"/>
        <v>0</v>
      </c>
      <c r="BR77" s="3307">
        <f t="shared" si="33"/>
        <v>0</v>
      </c>
      <c r="BS77" s="3307">
        <f t="shared" si="34"/>
        <v>0</v>
      </c>
      <c r="BT77" s="3359">
        <f t="shared" si="35"/>
        <v>0</v>
      </c>
    </row>
    <row r="78" spans="1:72">
      <c r="A78" s="3304"/>
      <c r="B78" s="3305"/>
      <c r="C78" s="3305"/>
      <c r="D78" s="3306"/>
      <c r="E78" s="3307">
        <f t="shared" si="7"/>
        <v>0</v>
      </c>
      <c r="F78" s="3308"/>
      <c r="G78" s="3309">
        <f t="shared" si="8"/>
        <v>0</v>
      </c>
      <c r="H78" s="3310">
        <f t="shared" si="9"/>
        <v>0</v>
      </c>
      <c r="I78" s="3317"/>
      <c r="J78" s="3317"/>
      <c r="K78" s="3317"/>
      <c r="L78" s="3317"/>
      <c r="M78" s="3317"/>
      <c r="N78" s="3317"/>
      <c r="O78" s="3317"/>
      <c r="P78" s="3317"/>
      <c r="Q78" s="3317"/>
      <c r="R78" s="3317"/>
      <c r="S78" s="3317"/>
      <c r="T78" s="3317"/>
      <c r="U78" s="3317"/>
      <c r="V78" s="3317"/>
      <c r="W78" s="3317"/>
      <c r="X78" s="3317"/>
      <c r="Y78" s="3317"/>
      <c r="Z78" s="3317"/>
      <c r="AA78" s="3317"/>
      <c r="AB78" s="3317"/>
      <c r="AC78" s="3307">
        <f t="shared" si="10"/>
        <v>0</v>
      </c>
      <c r="AD78" s="3327"/>
      <c r="AE78" s="3327"/>
      <c r="AF78" s="3327"/>
      <c r="AG78" s="3327"/>
      <c r="AH78" s="3327"/>
      <c r="AI78" s="3327"/>
      <c r="AJ78" s="3327"/>
      <c r="AK78" s="3327"/>
      <c r="AL78" s="3327"/>
      <c r="AM78" s="3327"/>
      <c r="AN78" s="3327"/>
      <c r="AO78" s="3327"/>
      <c r="AP78" s="3327"/>
      <c r="AQ78" s="3327"/>
      <c r="AR78" s="3327"/>
      <c r="AS78" s="3327"/>
      <c r="AT78" s="3337"/>
      <c r="AU78" s="3338"/>
      <c r="AV78" s="1410">
        <f t="shared" si="11"/>
        <v>0</v>
      </c>
      <c r="AW78" s="1410">
        <f t="shared" si="12"/>
        <v>0</v>
      </c>
      <c r="AX78" s="1410">
        <f t="shared" si="13"/>
        <v>0</v>
      </c>
      <c r="AY78" s="3352">
        <f t="shared" si="14"/>
        <v>0</v>
      </c>
      <c r="AZ78" s="3307">
        <f t="shared" si="15"/>
        <v>0</v>
      </c>
      <c r="BA78" s="3307">
        <f t="shared" si="16"/>
        <v>0</v>
      </c>
      <c r="BB78" s="3307">
        <f t="shared" si="17"/>
        <v>0</v>
      </c>
      <c r="BC78" s="3307">
        <f t="shared" si="18"/>
        <v>0</v>
      </c>
      <c r="BD78" s="3307">
        <f t="shared" si="19"/>
        <v>0</v>
      </c>
      <c r="BE78" s="3307">
        <f t="shared" si="20"/>
        <v>0</v>
      </c>
      <c r="BF78" s="3307">
        <f t="shared" si="21"/>
        <v>0</v>
      </c>
      <c r="BG78" s="3307">
        <f t="shared" si="22"/>
        <v>0</v>
      </c>
      <c r="BH78" s="3307">
        <f t="shared" si="23"/>
        <v>0</v>
      </c>
      <c r="BI78" s="3307">
        <f t="shared" si="24"/>
        <v>0</v>
      </c>
      <c r="BJ78" s="3307">
        <f t="shared" si="25"/>
        <v>0</v>
      </c>
      <c r="BK78" s="3307">
        <f t="shared" si="26"/>
        <v>0</v>
      </c>
      <c r="BL78" s="3307">
        <f t="shared" si="27"/>
        <v>0</v>
      </c>
      <c r="BM78" s="3307">
        <f t="shared" si="28"/>
        <v>0</v>
      </c>
      <c r="BN78" s="3307">
        <f t="shared" si="29"/>
        <v>0</v>
      </c>
      <c r="BO78" s="3307">
        <f t="shared" si="30"/>
        <v>0</v>
      </c>
      <c r="BP78" s="3307">
        <f t="shared" si="31"/>
        <v>0</v>
      </c>
      <c r="BQ78" s="3307">
        <f t="shared" si="32"/>
        <v>0</v>
      </c>
      <c r="BR78" s="3307">
        <f t="shared" si="33"/>
        <v>0</v>
      </c>
      <c r="BS78" s="3307">
        <f t="shared" si="34"/>
        <v>0</v>
      </c>
      <c r="BT78" s="3359">
        <f t="shared" si="35"/>
        <v>0</v>
      </c>
    </row>
    <row r="79" spans="1:72">
      <c r="A79" s="3304"/>
      <c r="B79" s="3305"/>
      <c r="C79" s="3305"/>
      <c r="D79" s="3306"/>
      <c r="E79" s="3307">
        <f t="shared" si="7"/>
        <v>0</v>
      </c>
      <c r="F79" s="3308"/>
      <c r="G79" s="3309">
        <f t="shared" si="8"/>
        <v>0</v>
      </c>
      <c r="H79" s="3310">
        <f t="shared" si="9"/>
        <v>0</v>
      </c>
      <c r="I79" s="3317"/>
      <c r="J79" s="3317"/>
      <c r="K79" s="3317"/>
      <c r="L79" s="3317"/>
      <c r="M79" s="3317"/>
      <c r="N79" s="3317"/>
      <c r="O79" s="3317"/>
      <c r="P79" s="3317"/>
      <c r="Q79" s="3317"/>
      <c r="R79" s="3317"/>
      <c r="S79" s="3317"/>
      <c r="T79" s="3317"/>
      <c r="U79" s="3317"/>
      <c r="V79" s="3317"/>
      <c r="W79" s="3317"/>
      <c r="X79" s="3317"/>
      <c r="Y79" s="3317"/>
      <c r="Z79" s="3317"/>
      <c r="AA79" s="3317"/>
      <c r="AB79" s="3317"/>
      <c r="AC79" s="3307">
        <f t="shared" si="10"/>
        <v>0</v>
      </c>
      <c r="AD79" s="3327"/>
      <c r="AE79" s="3327"/>
      <c r="AF79" s="3327"/>
      <c r="AG79" s="3327"/>
      <c r="AH79" s="3327"/>
      <c r="AI79" s="3327"/>
      <c r="AJ79" s="3327"/>
      <c r="AK79" s="3327"/>
      <c r="AL79" s="3327"/>
      <c r="AM79" s="3327"/>
      <c r="AN79" s="3327"/>
      <c r="AO79" s="3327"/>
      <c r="AP79" s="3327"/>
      <c r="AQ79" s="3327"/>
      <c r="AR79" s="3327"/>
      <c r="AS79" s="3327"/>
      <c r="AT79" s="3337"/>
      <c r="AU79" s="3338"/>
      <c r="AV79" s="1410">
        <f t="shared" si="11"/>
        <v>0</v>
      </c>
      <c r="AW79" s="1410">
        <f t="shared" si="12"/>
        <v>0</v>
      </c>
      <c r="AX79" s="1410">
        <f t="shared" si="13"/>
        <v>0</v>
      </c>
      <c r="AY79" s="3352">
        <f t="shared" si="14"/>
        <v>0</v>
      </c>
      <c r="AZ79" s="3307">
        <f t="shared" si="15"/>
        <v>0</v>
      </c>
      <c r="BA79" s="3307">
        <f t="shared" si="16"/>
        <v>0</v>
      </c>
      <c r="BB79" s="3307">
        <f t="shared" si="17"/>
        <v>0</v>
      </c>
      <c r="BC79" s="3307">
        <f t="shared" si="18"/>
        <v>0</v>
      </c>
      <c r="BD79" s="3307">
        <f t="shared" si="19"/>
        <v>0</v>
      </c>
      <c r="BE79" s="3307">
        <f t="shared" si="20"/>
        <v>0</v>
      </c>
      <c r="BF79" s="3307">
        <f t="shared" si="21"/>
        <v>0</v>
      </c>
      <c r="BG79" s="3307">
        <f t="shared" si="22"/>
        <v>0</v>
      </c>
      <c r="BH79" s="3307">
        <f t="shared" si="23"/>
        <v>0</v>
      </c>
      <c r="BI79" s="3307">
        <f t="shared" si="24"/>
        <v>0</v>
      </c>
      <c r="BJ79" s="3307">
        <f t="shared" si="25"/>
        <v>0</v>
      </c>
      <c r="BK79" s="3307">
        <f t="shared" si="26"/>
        <v>0</v>
      </c>
      <c r="BL79" s="3307">
        <f t="shared" si="27"/>
        <v>0</v>
      </c>
      <c r="BM79" s="3307">
        <f t="shared" si="28"/>
        <v>0</v>
      </c>
      <c r="BN79" s="3307">
        <f t="shared" si="29"/>
        <v>0</v>
      </c>
      <c r="BO79" s="3307">
        <f t="shared" si="30"/>
        <v>0</v>
      </c>
      <c r="BP79" s="3307">
        <f t="shared" si="31"/>
        <v>0</v>
      </c>
      <c r="BQ79" s="3307">
        <f t="shared" si="32"/>
        <v>0</v>
      </c>
      <c r="BR79" s="3307">
        <f t="shared" si="33"/>
        <v>0</v>
      </c>
      <c r="BS79" s="3307">
        <f t="shared" si="34"/>
        <v>0</v>
      </c>
      <c r="BT79" s="3359">
        <f t="shared" si="35"/>
        <v>0</v>
      </c>
    </row>
    <row r="80" spans="1:72">
      <c r="A80" s="3304"/>
      <c r="B80" s="3305"/>
      <c r="C80" s="3305"/>
      <c r="D80" s="3306"/>
      <c r="E80" s="3307">
        <f t="shared" si="7"/>
        <v>0</v>
      </c>
      <c r="F80" s="3308"/>
      <c r="G80" s="3309">
        <f t="shared" si="8"/>
        <v>0</v>
      </c>
      <c r="H80" s="3310">
        <f t="shared" si="9"/>
        <v>0</v>
      </c>
      <c r="I80" s="3317"/>
      <c r="J80" s="3317"/>
      <c r="K80" s="3317"/>
      <c r="L80" s="3317"/>
      <c r="M80" s="3317"/>
      <c r="N80" s="3317"/>
      <c r="O80" s="3317"/>
      <c r="P80" s="3317"/>
      <c r="Q80" s="3317"/>
      <c r="R80" s="3317"/>
      <c r="S80" s="3317"/>
      <c r="T80" s="3317"/>
      <c r="U80" s="3317"/>
      <c r="V80" s="3317"/>
      <c r="W80" s="3317"/>
      <c r="X80" s="3317"/>
      <c r="Y80" s="3317"/>
      <c r="Z80" s="3317"/>
      <c r="AA80" s="3317"/>
      <c r="AB80" s="3317"/>
      <c r="AC80" s="3307">
        <f t="shared" si="10"/>
        <v>0</v>
      </c>
      <c r="AD80" s="3327"/>
      <c r="AE80" s="3327"/>
      <c r="AF80" s="3327"/>
      <c r="AG80" s="3327"/>
      <c r="AH80" s="3327"/>
      <c r="AI80" s="3327"/>
      <c r="AJ80" s="3327"/>
      <c r="AK80" s="3327"/>
      <c r="AL80" s="3327"/>
      <c r="AM80" s="3327"/>
      <c r="AN80" s="3327"/>
      <c r="AO80" s="3327"/>
      <c r="AP80" s="3327"/>
      <c r="AQ80" s="3327"/>
      <c r="AR80" s="3327"/>
      <c r="AS80" s="3327"/>
      <c r="AT80" s="3337"/>
      <c r="AU80" s="3338"/>
      <c r="AV80" s="1410">
        <f t="shared" si="11"/>
        <v>0</v>
      </c>
      <c r="AW80" s="1410">
        <f t="shared" si="12"/>
        <v>0</v>
      </c>
      <c r="AX80" s="1410">
        <f t="shared" si="13"/>
        <v>0</v>
      </c>
      <c r="AY80" s="3352">
        <f t="shared" si="14"/>
        <v>0</v>
      </c>
      <c r="AZ80" s="3307">
        <f t="shared" si="15"/>
        <v>0</v>
      </c>
      <c r="BA80" s="3307">
        <f t="shared" si="16"/>
        <v>0</v>
      </c>
      <c r="BB80" s="3307">
        <f t="shared" si="17"/>
        <v>0</v>
      </c>
      <c r="BC80" s="3307">
        <f t="shared" si="18"/>
        <v>0</v>
      </c>
      <c r="BD80" s="3307">
        <f t="shared" si="19"/>
        <v>0</v>
      </c>
      <c r="BE80" s="3307">
        <f t="shared" si="20"/>
        <v>0</v>
      </c>
      <c r="BF80" s="3307">
        <f t="shared" si="21"/>
        <v>0</v>
      </c>
      <c r="BG80" s="3307">
        <f t="shared" si="22"/>
        <v>0</v>
      </c>
      <c r="BH80" s="3307">
        <f t="shared" si="23"/>
        <v>0</v>
      </c>
      <c r="BI80" s="3307">
        <f t="shared" si="24"/>
        <v>0</v>
      </c>
      <c r="BJ80" s="3307">
        <f t="shared" si="25"/>
        <v>0</v>
      </c>
      <c r="BK80" s="3307">
        <f t="shared" si="26"/>
        <v>0</v>
      </c>
      <c r="BL80" s="3307">
        <f t="shared" si="27"/>
        <v>0</v>
      </c>
      <c r="BM80" s="3307">
        <f t="shared" si="28"/>
        <v>0</v>
      </c>
      <c r="BN80" s="3307">
        <f t="shared" si="29"/>
        <v>0</v>
      </c>
      <c r="BO80" s="3307">
        <f t="shared" si="30"/>
        <v>0</v>
      </c>
      <c r="BP80" s="3307">
        <f t="shared" si="31"/>
        <v>0</v>
      </c>
      <c r="BQ80" s="3307">
        <f t="shared" si="32"/>
        <v>0</v>
      </c>
      <c r="BR80" s="3307">
        <f t="shared" si="33"/>
        <v>0</v>
      </c>
      <c r="BS80" s="3307">
        <f t="shared" si="34"/>
        <v>0</v>
      </c>
      <c r="BT80" s="3359">
        <f t="shared" si="35"/>
        <v>0</v>
      </c>
    </row>
    <row r="81" spans="1:72">
      <c r="A81" s="3304"/>
      <c r="B81" s="3305"/>
      <c r="C81" s="3305"/>
      <c r="D81" s="3306"/>
      <c r="E81" s="3307">
        <f t="shared" si="7"/>
        <v>0</v>
      </c>
      <c r="F81" s="3308"/>
      <c r="G81" s="3309">
        <f t="shared" si="8"/>
        <v>0</v>
      </c>
      <c r="H81" s="3310">
        <f t="shared" si="9"/>
        <v>0</v>
      </c>
      <c r="I81" s="3317"/>
      <c r="J81" s="3317"/>
      <c r="K81" s="3317"/>
      <c r="L81" s="3317"/>
      <c r="M81" s="3317"/>
      <c r="N81" s="3317"/>
      <c r="O81" s="3317"/>
      <c r="P81" s="3317"/>
      <c r="Q81" s="3317"/>
      <c r="R81" s="3317"/>
      <c r="S81" s="3317"/>
      <c r="T81" s="3317"/>
      <c r="U81" s="3317"/>
      <c r="V81" s="3317"/>
      <c r="W81" s="3317"/>
      <c r="X81" s="3317"/>
      <c r="Y81" s="3317"/>
      <c r="Z81" s="3317"/>
      <c r="AA81" s="3317"/>
      <c r="AB81" s="3317"/>
      <c r="AC81" s="3307">
        <f t="shared" si="10"/>
        <v>0</v>
      </c>
      <c r="AD81" s="3327"/>
      <c r="AE81" s="3327"/>
      <c r="AF81" s="3327"/>
      <c r="AG81" s="3327"/>
      <c r="AH81" s="3327"/>
      <c r="AI81" s="3327"/>
      <c r="AJ81" s="3327"/>
      <c r="AK81" s="3327"/>
      <c r="AL81" s="3327"/>
      <c r="AM81" s="3327"/>
      <c r="AN81" s="3327"/>
      <c r="AO81" s="3327"/>
      <c r="AP81" s="3327"/>
      <c r="AQ81" s="3327"/>
      <c r="AR81" s="3327"/>
      <c r="AS81" s="3327"/>
      <c r="AT81" s="3337"/>
      <c r="AU81" s="3338"/>
      <c r="AV81" s="1410">
        <f t="shared" si="11"/>
        <v>0</v>
      </c>
      <c r="AW81" s="1410">
        <f t="shared" si="12"/>
        <v>0</v>
      </c>
      <c r="AX81" s="1410">
        <f t="shared" si="13"/>
        <v>0</v>
      </c>
      <c r="AY81" s="3352">
        <f t="shared" si="14"/>
        <v>0</v>
      </c>
      <c r="AZ81" s="3307">
        <f t="shared" si="15"/>
        <v>0</v>
      </c>
      <c r="BA81" s="3307">
        <f t="shared" si="16"/>
        <v>0</v>
      </c>
      <c r="BB81" s="3307">
        <f t="shared" si="17"/>
        <v>0</v>
      </c>
      <c r="BC81" s="3307">
        <f t="shared" si="18"/>
        <v>0</v>
      </c>
      <c r="BD81" s="3307">
        <f t="shared" si="19"/>
        <v>0</v>
      </c>
      <c r="BE81" s="3307">
        <f t="shared" si="20"/>
        <v>0</v>
      </c>
      <c r="BF81" s="3307">
        <f t="shared" si="21"/>
        <v>0</v>
      </c>
      <c r="BG81" s="3307">
        <f t="shared" si="22"/>
        <v>0</v>
      </c>
      <c r="BH81" s="3307">
        <f t="shared" si="23"/>
        <v>0</v>
      </c>
      <c r="BI81" s="3307">
        <f t="shared" si="24"/>
        <v>0</v>
      </c>
      <c r="BJ81" s="3307">
        <f t="shared" si="25"/>
        <v>0</v>
      </c>
      <c r="BK81" s="3307">
        <f t="shared" si="26"/>
        <v>0</v>
      </c>
      <c r="BL81" s="3307">
        <f t="shared" si="27"/>
        <v>0</v>
      </c>
      <c r="BM81" s="3307">
        <f t="shared" si="28"/>
        <v>0</v>
      </c>
      <c r="BN81" s="3307">
        <f t="shared" si="29"/>
        <v>0</v>
      </c>
      <c r="BO81" s="3307">
        <f t="shared" si="30"/>
        <v>0</v>
      </c>
      <c r="BP81" s="3307">
        <f t="shared" si="31"/>
        <v>0</v>
      </c>
      <c r="BQ81" s="3307">
        <f t="shared" si="32"/>
        <v>0</v>
      </c>
      <c r="BR81" s="3307">
        <f t="shared" si="33"/>
        <v>0</v>
      </c>
      <c r="BS81" s="3307">
        <f t="shared" si="34"/>
        <v>0</v>
      </c>
      <c r="BT81" s="3359">
        <f t="shared" si="35"/>
        <v>0</v>
      </c>
    </row>
    <row r="82" spans="1:72">
      <c r="A82" s="3304"/>
      <c r="B82" s="3305"/>
      <c r="C82" s="3305"/>
      <c r="D82" s="3306"/>
      <c r="E82" s="3307">
        <f t="shared" si="7"/>
        <v>0</v>
      </c>
      <c r="F82" s="3308"/>
      <c r="G82" s="3309">
        <f t="shared" si="8"/>
        <v>0</v>
      </c>
      <c r="H82" s="3310">
        <f t="shared" si="9"/>
        <v>0</v>
      </c>
      <c r="I82" s="3317"/>
      <c r="J82" s="3317"/>
      <c r="K82" s="3317"/>
      <c r="L82" s="3317"/>
      <c r="M82" s="3317"/>
      <c r="N82" s="3317"/>
      <c r="O82" s="3317"/>
      <c r="P82" s="3317"/>
      <c r="Q82" s="3317"/>
      <c r="R82" s="3317"/>
      <c r="S82" s="3317"/>
      <c r="T82" s="3317"/>
      <c r="U82" s="3317"/>
      <c r="V82" s="3317"/>
      <c r="W82" s="3317"/>
      <c r="X82" s="3317"/>
      <c r="Y82" s="3317"/>
      <c r="Z82" s="3317"/>
      <c r="AA82" s="3317"/>
      <c r="AB82" s="3317"/>
      <c r="AC82" s="3307">
        <f t="shared" si="10"/>
        <v>0</v>
      </c>
      <c r="AD82" s="3327"/>
      <c r="AE82" s="3327"/>
      <c r="AF82" s="3327"/>
      <c r="AG82" s="3327"/>
      <c r="AH82" s="3327"/>
      <c r="AI82" s="3327"/>
      <c r="AJ82" s="3327"/>
      <c r="AK82" s="3327"/>
      <c r="AL82" s="3327"/>
      <c r="AM82" s="3327"/>
      <c r="AN82" s="3327"/>
      <c r="AO82" s="3327"/>
      <c r="AP82" s="3327"/>
      <c r="AQ82" s="3327"/>
      <c r="AR82" s="3327"/>
      <c r="AS82" s="3327"/>
      <c r="AT82" s="3337"/>
      <c r="AU82" s="3338"/>
      <c r="AV82" s="1410">
        <f t="shared" si="11"/>
        <v>0</v>
      </c>
      <c r="AW82" s="1410">
        <f t="shared" si="12"/>
        <v>0</v>
      </c>
      <c r="AX82" s="1410">
        <f t="shared" si="13"/>
        <v>0</v>
      </c>
      <c r="AY82" s="3352">
        <f t="shared" si="14"/>
        <v>0</v>
      </c>
      <c r="AZ82" s="3307">
        <f t="shared" si="15"/>
        <v>0</v>
      </c>
      <c r="BA82" s="3307">
        <f t="shared" si="16"/>
        <v>0</v>
      </c>
      <c r="BB82" s="3307">
        <f t="shared" si="17"/>
        <v>0</v>
      </c>
      <c r="BC82" s="3307">
        <f t="shared" si="18"/>
        <v>0</v>
      </c>
      <c r="BD82" s="3307">
        <f t="shared" si="19"/>
        <v>0</v>
      </c>
      <c r="BE82" s="3307">
        <f t="shared" si="20"/>
        <v>0</v>
      </c>
      <c r="BF82" s="3307">
        <f t="shared" si="21"/>
        <v>0</v>
      </c>
      <c r="BG82" s="3307">
        <f t="shared" si="22"/>
        <v>0</v>
      </c>
      <c r="BH82" s="3307">
        <f t="shared" si="23"/>
        <v>0</v>
      </c>
      <c r="BI82" s="3307">
        <f t="shared" si="24"/>
        <v>0</v>
      </c>
      <c r="BJ82" s="3307">
        <f t="shared" si="25"/>
        <v>0</v>
      </c>
      <c r="BK82" s="3307">
        <f t="shared" si="26"/>
        <v>0</v>
      </c>
      <c r="BL82" s="3307">
        <f t="shared" si="27"/>
        <v>0</v>
      </c>
      <c r="BM82" s="3307">
        <f t="shared" si="28"/>
        <v>0</v>
      </c>
      <c r="BN82" s="3307">
        <f t="shared" si="29"/>
        <v>0</v>
      </c>
      <c r="BO82" s="3307">
        <f t="shared" si="30"/>
        <v>0</v>
      </c>
      <c r="BP82" s="3307">
        <f t="shared" si="31"/>
        <v>0</v>
      </c>
      <c r="BQ82" s="3307">
        <f t="shared" si="32"/>
        <v>0</v>
      </c>
      <c r="BR82" s="3307">
        <f t="shared" si="33"/>
        <v>0</v>
      </c>
      <c r="BS82" s="3307">
        <f t="shared" si="34"/>
        <v>0</v>
      </c>
      <c r="BT82" s="3359">
        <f t="shared" si="35"/>
        <v>0</v>
      </c>
    </row>
    <row r="83" spans="1:72">
      <c r="A83" s="3304"/>
      <c r="B83" s="3305"/>
      <c r="C83" s="3305"/>
      <c r="D83" s="3306"/>
      <c r="E83" s="3307">
        <f t="shared" si="7"/>
        <v>0</v>
      </c>
      <c r="F83" s="3308"/>
      <c r="G83" s="3309">
        <f t="shared" si="8"/>
        <v>0</v>
      </c>
      <c r="H83" s="3310">
        <f t="shared" si="9"/>
        <v>0</v>
      </c>
      <c r="I83" s="3317"/>
      <c r="J83" s="3317"/>
      <c r="K83" s="3317"/>
      <c r="L83" s="3317"/>
      <c r="M83" s="3317"/>
      <c r="N83" s="3317"/>
      <c r="O83" s="3317"/>
      <c r="P83" s="3317"/>
      <c r="Q83" s="3317"/>
      <c r="R83" s="3317"/>
      <c r="S83" s="3317"/>
      <c r="T83" s="3317"/>
      <c r="U83" s="3317"/>
      <c r="V83" s="3317"/>
      <c r="W83" s="3317"/>
      <c r="X83" s="3317"/>
      <c r="Y83" s="3317"/>
      <c r="Z83" s="3317"/>
      <c r="AA83" s="3317"/>
      <c r="AB83" s="3317"/>
      <c r="AC83" s="3307">
        <f t="shared" si="10"/>
        <v>0</v>
      </c>
      <c r="AD83" s="3327"/>
      <c r="AE83" s="3327"/>
      <c r="AF83" s="3327"/>
      <c r="AG83" s="3327"/>
      <c r="AH83" s="3327"/>
      <c r="AI83" s="3327"/>
      <c r="AJ83" s="3327"/>
      <c r="AK83" s="3327"/>
      <c r="AL83" s="3327"/>
      <c r="AM83" s="3327"/>
      <c r="AN83" s="3327"/>
      <c r="AO83" s="3327"/>
      <c r="AP83" s="3327"/>
      <c r="AQ83" s="3327"/>
      <c r="AR83" s="3327"/>
      <c r="AS83" s="3327"/>
      <c r="AT83" s="3337"/>
      <c r="AU83" s="3338"/>
      <c r="AV83" s="1410">
        <f t="shared" si="11"/>
        <v>0</v>
      </c>
      <c r="AW83" s="1410">
        <f t="shared" si="12"/>
        <v>0</v>
      </c>
      <c r="AX83" s="1410">
        <f t="shared" si="13"/>
        <v>0</v>
      </c>
      <c r="AY83" s="3352">
        <f t="shared" si="14"/>
        <v>0</v>
      </c>
      <c r="AZ83" s="3307">
        <f t="shared" si="15"/>
        <v>0</v>
      </c>
      <c r="BA83" s="3307">
        <f t="shared" si="16"/>
        <v>0</v>
      </c>
      <c r="BB83" s="3307">
        <f t="shared" si="17"/>
        <v>0</v>
      </c>
      <c r="BC83" s="3307">
        <f t="shared" si="18"/>
        <v>0</v>
      </c>
      <c r="BD83" s="3307">
        <f t="shared" si="19"/>
        <v>0</v>
      </c>
      <c r="BE83" s="3307">
        <f t="shared" si="20"/>
        <v>0</v>
      </c>
      <c r="BF83" s="3307">
        <f t="shared" si="21"/>
        <v>0</v>
      </c>
      <c r="BG83" s="3307">
        <f t="shared" si="22"/>
        <v>0</v>
      </c>
      <c r="BH83" s="3307">
        <f t="shared" si="23"/>
        <v>0</v>
      </c>
      <c r="BI83" s="3307">
        <f t="shared" si="24"/>
        <v>0</v>
      </c>
      <c r="BJ83" s="3307">
        <f t="shared" si="25"/>
        <v>0</v>
      </c>
      <c r="BK83" s="3307">
        <f t="shared" si="26"/>
        <v>0</v>
      </c>
      <c r="BL83" s="3307">
        <f t="shared" si="27"/>
        <v>0</v>
      </c>
      <c r="BM83" s="3307">
        <f t="shared" si="28"/>
        <v>0</v>
      </c>
      <c r="BN83" s="3307">
        <f t="shared" si="29"/>
        <v>0</v>
      </c>
      <c r="BO83" s="3307">
        <f t="shared" si="30"/>
        <v>0</v>
      </c>
      <c r="BP83" s="3307">
        <f t="shared" si="31"/>
        <v>0</v>
      </c>
      <c r="BQ83" s="3307">
        <f t="shared" si="32"/>
        <v>0</v>
      </c>
      <c r="BR83" s="3307">
        <f t="shared" si="33"/>
        <v>0</v>
      </c>
      <c r="BS83" s="3307">
        <f t="shared" si="34"/>
        <v>0</v>
      </c>
      <c r="BT83" s="3359">
        <f t="shared" si="35"/>
        <v>0</v>
      </c>
    </row>
    <row r="84" spans="1:72">
      <c r="A84" s="3304"/>
      <c r="B84" s="3305"/>
      <c r="C84" s="3305"/>
      <c r="D84" s="3306"/>
      <c r="E84" s="3307">
        <f t="shared" si="7"/>
        <v>0</v>
      </c>
      <c r="F84" s="3308"/>
      <c r="G84" s="3309">
        <f t="shared" si="8"/>
        <v>0</v>
      </c>
      <c r="H84" s="3310">
        <f t="shared" si="9"/>
        <v>0</v>
      </c>
      <c r="I84" s="3317"/>
      <c r="J84" s="3317"/>
      <c r="K84" s="3317"/>
      <c r="L84" s="3317"/>
      <c r="M84" s="3317"/>
      <c r="N84" s="3317"/>
      <c r="O84" s="3317"/>
      <c r="P84" s="3317"/>
      <c r="Q84" s="3317"/>
      <c r="R84" s="3317"/>
      <c r="S84" s="3317"/>
      <c r="T84" s="3317"/>
      <c r="U84" s="3317"/>
      <c r="V84" s="3317"/>
      <c r="W84" s="3317"/>
      <c r="X84" s="3317"/>
      <c r="Y84" s="3317"/>
      <c r="Z84" s="3317"/>
      <c r="AA84" s="3317"/>
      <c r="AB84" s="3317"/>
      <c r="AC84" s="3307">
        <f t="shared" si="10"/>
        <v>0</v>
      </c>
      <c r="AD84" s="3327"/>
      <c r="AE84" s="3327"/>
      <c r="AF84" s="3327"/>
      <c r="AG84" s="3327"/>
      <c r="AH84" s="3327"/>
      <c r="AI84" s="3327"/>
      <c r="AJ84" s="3327"/>
      <c r="AK84" s="3327"/>
      <c r="AL84" s="3327"/>
      <c r="AM84" s="3327"/>
      <c r="AN84" s="3327"/>
      <c r="AO84" s="3327"/>
      <c r="AP84" s="3327"/>
      <c r="AQ84" s="3327"/>
      <c r="AR84" s="3327"/>
      <c r="AS84" s="3327"/>
      <c r="AT84" s="3337"/>
      <c r="AU84" s="3338"/>
      <c r="AV84" s="1410">
        <f t="shared" si="11"/>
        <v>0</v>
      </c>
      <c r="AW84" s="1410">
        <f t="shared" si="12"/>
        <v>0</v>
      </c>
      <c r="AX84" s="1410">
        <f t="shared" si="13"/>
        <v>0</v>
      </c>
      <c r="AY84" s="3352">
        <f t="shared" si="14"/>
        <v>0</v>
      </c>
      <c r="AZ84" s="3307">
        <f t="shared" si="15"/>
        <v>0</v>
      </c>
      <c r="BA84" s="3307">
        <f t="shared" si="16"/>
        <v>0</v>
      </c>
      <c r="BB84" s="3307">
        <f t="shared" si="17"/>
        <v>0</v>
      </c>
      <c r="BC84" s="3307">
        <f t="shared" si="18"/>
        <v>0</v>
      </c>
      <c r="BD84" s="3307">
        <f t="shared" si="19"/>
        <v>0</v>
      </c>
      <c r="BE84" s="3307">
        <f t="shared" si="20"/>
        <v>0</v>
      </c>
      <c r="BF84" s="3307">
        <f t="shared" si="21"/>
        <v>0</v>
      </c>
      <c r="BG84" s="3307">
        <f t="shared" si="22"/>
        <v>0</v>
      </c>
      <c r="BH84" s="3307">
        <f t="shared" si="23"/>
        <v>0</v>
      </c>
      <c r="BI84" s="3307">
        <f t="shared" si="24"/>
        <v>0</v>
      </c>
      <c r="BJ84" s="3307">
        <f t="shared" si="25"/>
        <v>0</v>
      </c>
      <c r="BK84" s="3307">
        <f t="shared" si="26"/>
        <v>0</v>
      </c>
      <c r="BL84" s="3307">
        <f t="shared" si="27"/>
        <v>0</v>
      </c>
      <c r="BM84" s="3307">
        <f t="shared" si="28"/>
        <v>0</v>
      </c>
      <c r="BN84" s="3307">
        <f t="shared" si="29"/>
        <v>0</v>
      </c>
      <c r="BO84" s="3307">
        <f t="shared" si="30"/>
        <v>0</v>
      </c>
      <c r="BP84" s="3307">
        <f t="shared" si="31"/>
        <v>0</v>
      </c>
      <c r="BQ84" s="3307">
        <f t="shared" si="32"/>
        <v>0</v>
      </c>
      <c r="BR84" s="3307">
        <f t="shared" si="33"/>
        <v>0</v>
      </c>
      <c r="BS84" s="3307">
        <f t="shared" si="34"/>
        <v>0</v>
      </c>
      <c r="BT84" s="3359">
        <f t="shared" si="35"/>
        <v>0</v>
      </c>
    </row>
    <row r="85" spans="1:72">
      <c r="A85" s="3304"/>
      <c r="B85" s="3305"/>
      <c r="C85" s="3305"/>
      <c r="D85" s="3306"/>
      <c r="E85" s="3307">
        <f t="shared" si="7"/>
        <v>0</v>
      </c>
      <c r="F85" s="3308"/>
      <c r="G85" s="3309">
        <f t="shared" si="8"/>
        <v>0</v>
      </c>
      <c r="H85" s="3310">
        <f t="shared" si="9"/>
        <v>0</v>
      </c>
      <c r="I85" s="3317"/>
      <c r="J85" s="3317"/>
      <c r="K85" s="3317"/>
      <c r="L85" s="3317"/>
      <c r="M85" s="3317"/>
      <c r="N85" s="3317"/>
      <c r="O85" s="3317"/>
      <c r="P85" s="3317"/>
      <c r="Q85" s="3317"/>
      <c r="R85" s="3317"/>
      <c r="S85" s="3317"/>
      <c r="T85" s="3317"/>
      <c r="U85" s="3317"/>
      <c r="V85" s="3317"/>
      <c r="W85" s="3317"/>
      <c r="X85" s="3317"/>
      <c r="Y85" s="3317"/>
      <c r="Z85" s="3317"/>
      <c r="AA85" s="3317"/>
      <c r="AB85" s="3317"/>
      <c r="AC85" s="3307">
        <f t="shared" si="10"/>
        <v>0</v>
      </c>
      <c r="AD85" s="3327"/>
      <c r="AE85" s="3327"/>
      <c r="AF85" s="3327"/>
      <c r="AG85" s="3327"/>
      <c r="AH85" s="3327"/>
      <c r="AI85" s="3327"/>
      <c r="AJ85" s="3327"/>
      <c r="AK85" s="3327"/>
      <c r="AL85" s="3327"/>
      <c r="AM85" s="3327"/>
      <c r="AN85" s="3327"/>
      <c r="AO85" s="3327"/>
      <c r="AP85" s="3327"/>
      <c r="AQ85" s="3327"/>
      <c r="AR85" s="3327"/>
      <c r="AS85" s="3327"/>
      <c r="AT85" s="3337"/>
      <c r="AU85" s="3338"/>
      <c r="AV85" s="1410">
        <f t="shared" si="11"/>
        <v>0</v>
      </c>
      <c r="AW85" s="1410">
        <f t="shared" si="12"/>
        <v>0</v>
      </c>
      <c r="AX85" s="1410">
        <f t="shared" si="13"/>
        <v>0</v>
      </c>
      <c r="AY85" s="3352">
        <f t="shared" si="14"/>
        <v>0</v>
      </c>
      <c r="AZ85" s="3307">
        <f t="shared" si="15"/>
        <v>0</v>
      </c>
      <c r="BA85" s="3307">
        <f t="shared" si="16"/>
        <v>0</v>
      </c>
      <c r="BB85" s="3307">
        <f t="shared" si="17"/>
        <v>0</v>
      </c>
      <c r="BC85" s="3307">
        <f t="shared" si="18"/>
        <v>0</v>
      </c>
      <c r="BD85" s="3307">
        <f t="shared" si="19"/>
        <v>0</v>
      </c>
      <c r="BE85" s="3307">
        <f t="shared" si="20"/>
        <v>0</v>
      </c>
      <c r="BF85" s="3307">
        <f t="shared" si="21"/>
        <v>0</v>
      </c>
      <c r="BG85" s="3307">
        <f t="shared" si="22"/>
        <v>0</v>
      </c>
      <c r="BH85" s="3307">
        <f t="shared" si="23"/>
        <v>0</v>
      </c>
      <c r="BI85" s="3307">
        <f t="shared" si="24"/>
        <v>0</v>
      </c>
      <c r="BJ85" s="3307">
        <f t="shared" si="25"/>
        <v>0</v>
      </c>
      <c r="BK85" s="3307">
        <f t="shared" si="26"/>
        <v>0</v>
      </c>
      <c r="BL85" s="3307">
        <f t="shared" si="27"/>
        <v>0</v>
      </c>
      <c r="BM85" s="3307">
        <f t="shared" si="28"/>
        <v>0</v>
      </c>
      <c r="BN85" s="3307">
        <f t="shared" si="29"/>
        <v>0</v>
      </c>
      <c r="BO85" s="3307">
        <f t="shared" si="30"/>
        <v>0</v>
      </c>
      <c r="BP85" s="3307">
        <f t="shared" si="31"/>
        <v>0</v>
      </c>
      <c r="BQ85" s="3307">
        <f t="shared" si="32"/>
        <v>0</v>
      </c>
      <c r="BR85" s="3307">
        <f t="shared" si="33"/>
        <v>0</v>
      </c>
      <c r="BS85" s="3307">
        <f t="shared" si="34"/>
        <v>0</v>
      </c>
      <c r="BT85" s="3359">
        <f t="shared" si="35"/>
        <v>0</v>
      </c>
    </row>
    <row r="86" spans="1:72">
      <c r="A86" s="3304"/>
      <c r="B86" s="3305"/>
      <c r="C86" s="3305"/>
      <c r="D86" s="3306"/>
      <c r="E86" s="3307">
        <f t="shared" si="7"/>
        <v>0</v>
      </c>
      <c r="F86" s="3308"/>
      <c r="G86" s="3309">
        <f t="shared" si="8"/>
        <v>0</v>
      </c>
      <c r="H86" s="3310">
        <f t="shared" si="9"/>
        <v>0</v>
      </c>
      <c r="I86" s="3317"/>
      <c r="J86" s="3317"/>
      <c r="K86" s="3317"/>
      <c r="L86" s="3317"/>
      <c r="M86" s="3317"/>
      <c r="N86" s="3317"/>
      <c r="O86" s="3317"/>
      <c r="P86" s="3317"/>
      <c r="Q86" s="3317"/>
      <c r="R86" s="3317"/>
      <c r="S86" s="3317"/>
      <c r="T86" s="3317"/>
      <c r="U86" s="3317"/>
      <c r="V86" s="3317"/>
      <c r="W86" s="3317"/>
      <c r="X86" s="3317"/>
      <c r="Y86" s="3317"/>
      <c r="Z86" s="3317"/>
      <c r="AA86" s="3317"/>
      <c r="AB86" s="3317"/>
      <c r="AC86" s="3307">
        <f t="shared" si="10"/>
        <v>0</v>
      </c>
      <c r="AD86" s="3327"/>
      <c r="AE86" s="3327"/>
      <c r="AF86" s="3327"/>
      <c r="AG86" s="3327"/>
      <c r="AH86" s="3327"/>
      <c r="AI86" s="3327"/>
      <c r="AJ86" s="3327"/>
      <c r="AK86" s="3327"/>
      <c r="AL86" s="3327"/>
      <c r="AM86" s="3327"/>
      <c r="AN86" s="3327"/>
      <c r="AO86" s="3327"/>
      <c r="AP86" s="3327"/>
      <c r="AQ86" s="3327"/>
      <c r="AR86" s="3327"/>
      <c r="AS86" s="3327"/>
      <c r="AT86" s="3337"/>
      <c r="AU86" s="3338"/>
      <c r="AV86" s="1410">
        <f t="shared" si="11"/>
        <v>0</v>
      </c>
      <c r="AW86" s="1410">
        <f t="shared" si="12"/>
        <v>0</v>
      </c>
      <c r="AX86" s="1410">
        <f t="shared" si="13"/>
        <v>0</v>
      </c>
      <c r="AY86" s="3352">
        <f t="shared" si="14"/>
        <v>0</v>
      </c>
      <c r="AZ86" s="3307">
        <f t="shared" si="15"/>
        <v>0</v>
      </c>
      <c r="BA86" s="3307">
        <f t="shared" si="16"/>
        <v>0</v>
      </c>
      <c r="BB86" s="3307">
        <f t="shared" si="17"/>
        <v>0</v>
      </c>
      <c r="BC86" s="3307">
        <f t="shared" si="18"/>
        <v>0</v>
      </c>
      <c r="BD86" s="3307">
        <f t="shared" si="19"/>
        <v>0</v>
      </c>
      <c r="BE86" s="3307">
        <f t="shared" si="20"/>
        <v>0</v>
      </c>
      <c r="BF86" s="3307">
        <f t="shared" si="21"/>
        <v>0</v>
      </c>
      <c r="BG86" s="3307">
        <f t="shared" si="22"/>
        <v>0</v>
      </c>
      <c r="BH86" s="3307">
        <f t="shared" si="23"/>
        <v>0</v>
      </c>
      <c r="BI86" s="3307">
        <f t="shared" si="24"/>
        <v>0</v>
      </c>
      <c r="BJ86" s="3307">
        <f t="shared" si="25"/>
        <v>0</v>
      </c>
      <c r="BK86" s="3307">
        <f t="shared" si="26"/>
        <v>0</v>
      </c>
      <c r="BL86" s="3307">
        <f t="shared" si="27"/>
        <v>0</v>
      </c>
      <c r="BM86" s="3307">
        <f t="shared" si="28"/>
        <v>0</v>
      </c>
      <c r="BN86" s="3307">
        <f t="shared" si="29"/>
        <v>0</v>
      </c>
      <c r="BO86" s="3307">
        <f t="shared" si="30"/>
        <v>0</v>
      </c>
      <c r="BP86" s="3307">
        <f t="shared" si="31"/>
        <v>0</v>
      </c>
      <c r="BQ86" s="3307">
        <f t="shared" si="32"/>
        <v>0</v>
      </c>
      <c r="BR86" s="3307">
        <f t="shared" si="33"/>
        <v>0</v>
      </c>
      <c r="BS86" s="3307">
        <f t="shared" si="34"/>
        <v>0</v>
      </c>
      <c r="BT86" s="3359">
        <f t="shared" si="35"/>
        <v>0</v>
      </c>
    </row>
    <row r="87" spans="1:72">
      <c r="A87" s="3304"/>
      <c r="B87" s="3305"/>
      <c r="C87" s="3305"/>
      <c r="D87" s="3306"/>
      <c r="E87" s="3307">
        <f t="shared" si="7"/>
        <v>0</v>
      </c>
      <c r="F87" s="3308"/>
      <c r="G87" s="3309">
        <f t="shared" si="8"/>
        <v>0</v>
      </c>
      <c r="H87" s="3310">
        <f t="shared" si="9"/>
        <v>0</v>
      </c>
      <c r="I87" s="3317"/>
      <c r="J87" s="3317"/>
      <c r="K87" s="3317"/>
      <c r="L87" s="3317"/>
      <c r="M87" s="3317"/>
      <c r="N87" s="3317"/>
      <c r="O87" s="3317"/>
      <c r="P87" s="3317"/>
      <c r="Q87" s="3317"/>
      <c r="R87" s="3317"/>
      <c r="S87" s="3317"/>
      <c r="T87" s="3317"/>
      <c r="U87" s="3317"/>
      <c r="V87" s="3317"/>
      <c r="W87" s="3317"/>
      <c r="X87" s="3317"/>
      <c r="Y87" s="3317"/>
      <c r="Z87" s="3317"/>
      <c r="AA87" s="3317"/>
      <c r="AB87" s="3317"/>
      <c r="AC87" s="3307">
        <f t="shared" si="10"/>
        <v>0</v>
      </c>
      <c r="AD87" s="3327"/>
      <c r="AE87" s="3327"/>
      <c r="AF87" s="3327"/>
      <c r="AG87" s="3327"/>
      <c r="AH87" s="3327"/>
      <c r="AI87" s="3327"/>
      <c r="AJ87" s="3327"/>
      <c r="AK87" s="3327"/>
      <c r="AL87" s="3327"/>
      <c r="AM87" s="3327"/>
      <c r="AN87" s="3327"/>
      <c r="AO87" s="3327"/>
      <c r="AP87" s="3327"/>
      <c r="AQ87" s="3327"/>
      <c r="AR87" s="3327"/>
      <c r="AS87" s="3327"/>
      <c r="AT87" s="3337"/>
      <c r="AU87" s="3338"/>
      <c r="AV87" s="1410">
        <f t="shared" si="11"/>
        <v>0</v>
      </c>
      <c r="AW87" s="1410">
        <f t="shared" si="12"/>
        <v>0</v>
      </c>
      <c r="AX87" s="1410">
        <f t="shared" si="13"/>
        <v>0</v>
      </c>
      <c r="AY87" s="3352">
        <f t="shared" si="14"/>
        <v>0</v>
      </c>
      <c r="AZ87" s="3307">
        <f t="shared" si="15"/>
        <v>0</v>
      </c>
      <c r="BA87" s="3307">
        <f t="shared" si="16"/>
        <v>0</v>
      </c>
      <c r="BB87" s="3307">
        <f t="shared" si="17"/>
        <v>0</v>
      </c>
      <c r="BC87" s="3307">
        <f t="shared" si="18"/>
        <v>0</v>
      </c>
      <c r="BD87" s="3307">
        <f t="shared" si="19"/>
        <v>0</v>
      </c>
      <c r="BE87" s="3307">
        <f t="shared" si="20"/>
        <v>0</v>
      </c>
      <c r="BF87" s="3307">
        <f t="shared" si="21"/>
        <v>0</v>
      </c>
      <c r="BG87" s="3307">
        <f t="shared" si="22"/>
        <v>0</v>
      </c>
      <c r="BH87" s="3307">
        <f t="shared" si="23"/>
        <v>0</v>
      </c>
      <c r="BI87" s="3307">
        <f t="shared" si="24"/>
        <v>0</v>
      </c>
      <c r="BJ87" s="3307">
        <f t="shared" si="25"/>
        <v>0</v>
      </c>
      <c r="BK87" s="3307">
        <f t="shared" si="26"/>
        <v>0</v>
      </c>
      <c r="BL87" s="3307">
        <f t="shared" si="27"/>
        <v>0</v>
      </c>
      <c r="BM87" s="3307">
        <f t="shared" si="28"/>
        <v>0</v>
      </c>
      <c r="BN87" s="3307">
        <f t="shared" si="29"/>
        <v>0</v>
      </c>
      <c r="BO87" s="3307">
        <f t="shared" si="30"/>
        <v>0</v>
      </c>
      <c r="BP87" s="3307">
        <f t="shared" si="31"/>
        <v>0</v>
      </c>
      <c r="BQ87" s="3307">
        <f t="shared" si="32"/>
        <v>0</v>
      </c>
      <c r="BR87" s="3307">
        <f t="shared" si="33"/>
        <v>0</v>
      </c>
      <c r="BS87" s="3307">
        <f t="shared" si="34"/>
        <v>0</v>
      </c>
      <c r="BT87" s="3359">
        <f t="shared" si="35"/>
        <v>0</v>
      </c>
    </row>
    <row r="88" spans="1:72">
      <c r="A88" s="3304"/>
      <c r="B88" s="3305"/>
      <c r="C88" s="3305"/>
      <c r="D88" s="3306"/>
      <c r="E88" s="3307">
        <f t="shared" si="7"/>
        <v>0</v>
      </c>
      <c r="F88" s="3308"/>
      <c r="G88" s="3309">
        <f t="shared" si="8"/>
        <v>0</v>
      </c>
      <c r="H88" s="3310">
        <f t="shared" si="9"/>
        <v>0</v>
      </c>
      <c r="I88" s="3317"/>
      <c r="J88" s="3317"/>
      <c r="K88" s="3317"/>
      <c r="L88" s="3317"/>
      <c r="M88" s="3317"/>
      <c r="N88" s="3317"/>
      <c r="O88" s="3317"/>
      <c r="P88" s="3317"/>
      <c r="Q88" s="3317"/>
      <c r="R88" s="3317"/>
      <c r="S88" s="3317"/>
      <c r="T88" s="3317"/>
      <c r="U88" s="3317"/>
      <c r="V88" s="3317"/>
      <c r="W88" s="3317"/>
      <c r="X88" s="3317"/>
      <c r="Y88" s="3317"/>
      <c r="Z88" s="3317"/>
      <c r="AA88" s="3317"/>
      <c r="AB88" s="3317"/>
      <c r="AC88" s="3307">
        <f t="shared" si="10"/>
        <v>0</v>
      </c>
      <c r="AD88" s="3327"/>
      <c r="AE88" s="3327"/>
      <c r="AF88" s="3327"/>
      <c r="AG88" s="3327"/>
      <c r="AH88" s="3327"/>
      <c r="AI88" s="3327"/>
      <c r="AJ88" s="3327"/>
      <c r="AK88" s="3327"/>
      <c r="AL88" s="3327"/>
      <c r="AM88" s="3327"/>
      <c r="AN88" s="3327"/>
      <c r="AO88" s="3327"/>
      <c r="AP88" s="3327"/>
      <c r="AQ88" s="3327"/>
      <c r="AR88" s="3327"/>
      <c r="AS88" s="3327"/>
      <c r="AT88" s="3337"/>
      <c r="AU88" s="3338"/>
      <c r="AV88" s="1410">
        <f t="shared" si="11"/>
        <v>0</v>
      </c>
      <c r="AW88" s="1410">
        <f t="shared" si="12"/>
        <v>0</v>
      </c>
      <c r="AX88" s="1410">
        <f t="shared" si="13"/>
        <v>0</v>
      </c>
      <c r="AY88" s="3352">
        <f t="shared" si="14"/>
        <v>0</v>
      </c>
      <c r="AZ88" s="3307">
        <f t="shared" si="15"/>
        <v>0</v>
      </c>
      <c r="BA88" s="3307">
        <f t="shared" si="16"/>
        <v>0</v>
      </c>
      <c r="BB88" s="3307">
        <f t="shared" si="17"/>
        <v>0</v>
      </c>
      <c r="BC88" s="3307">
        <f t="shared" si="18"/>
        <v>0</v>
      </c>
      <c r="BD88" s="3307">
        <f t="shared" si="19"/>
        <v>0</v>
      </c>
      <c r="BE88" s="3307">
        <f t="shared" si="20"/>
        <v>0</v>
      </c>
      <c r="BF88" s="3307">
        <f t="shared" si="21"/>
        <v>0</v>
      </c>
      <c r="BG88" s="3307">
        <f t="shared" si="22"/>
        <v>0</v>
      </c>
      <c r="BH88" s="3307">
        <f t="shared" si="23"/>
        <v>0</v>
      </c>
      <c r="BI88" s="3307">
        <f t="shared" si="24"/>
        <v>0</v>
      </c>
      <c r="BJ88" s="3307">
        <f t="shared" si="25"/>
        <v>0</v>
      </c>
      <c r="BK88" s="3307">
        <f t="shared" si="26"/>
        <v>0</v>
      </c>
      <c r="BL88" s="3307">
        <f t="shared" si="27"/>
        <v>0</v>
      </c>
      <c r="BM88" s="3307">
        <f t="shared" si="28"/>
        <v>0</v>
      </c>
      <c r="BN88" s="3307">
        <f t="shared" si="29"/>
        <v>0</v>
      </c>
      <c r="BO88" s="3307">
        <f t="shared" si="30"/>
        <v>0</v>
      </c>
      <c r="BP88" s="3307">
        <f t="shared" si="31"/>
        <v>0</v>
      </c>
      <c r="BQ88" s="3307">
        <f t="shared" si="32"/>
        <v>0</v>
      </c>
      <c r="BR88" s="3307">
        <f t="shared" si="33"/>
        <v>0</v>
      </c>
      <c r="BS88" s="3307">
        <f t="shared" si="34"/>
        <v>0</v>
      </c>
      <c r="BT88" s="3359">
        <f t="shared" si="35"/>
        <v>0</v>
      </c>
    </row>
    <row r="89" spans="1:72">
      <c r="A89" s="3304"/>
      <c r="B89" s="3305"/>
      <c r="C89" s="3305"/>
      <c r="D89" s="3306"/>
      <c r="E89" s="3307">
        <f t="shared" si="7"/>
        <v>0</v>
      </c>
      <c r="F89" s="3308"/>
      <c r="G89" s="3309">
        <f t="shared" si="8"/>
        <v>0</v>
      </c>
      <c r="H89" s="3310">
        <f t="shared" si="9"/>
        <v>0</v>
      </c>
      <c r="I89" s="3317"/>
      <c r="J89" s="3317"/>
      <c r="K89" s="3317"/>
      <c r="L89" s="3317"/>
      <c r="M89" s="3317"/>
      <c r="N89" s="3317"/>
      <c r="O89" s="3317"/>
      <c r="P89" s="3317"/>
      <c r="Q89" s="3317"/>
      <c r="R89" s="3317"/>
      <c r="S89" s="3317"/>
      <c r="T89" s="3317"/>
      <c r="U89" s="3317"/>
      <c r="V89" s="3317"/>
      <c r="W89" s="3317"/>
      <c r="X89" s="3317"/>
      <c r="Y89" s="3317"/>
      <c r="Z89" s="3317"/>
      <c r="AA89" s="3317"/>
      <c r="AB89" s="3317"/>
      <c r="AC89" s="3307">
        <f t="shared" si="10"/>
        <v>0</v>
      </c>
      <c r="AD89" s="3327"/>
      <c r="AE89" s="3327"/>
      <c r="AF89" s="3327"/>
      <c r="AG89" s="3327"/>
      <c r="AH89" s="3327"/>
      <c r="AI89" s="3327"/>
      <c r="AJ89" s="3327"/>
      <c r="AK89" s="3327"/>
      <c r="AL89" s="3327"/>
      <c r="AM89" s="3327"/>
      <c r="AN89" s="3327"/>
      <c r="AO89" s="3327"/>
      <c r="AP89" s="3327"/>
      <c r="AQ89" s="3327"/>
      <c r="AR89" s="3327"/>
      <c r="AS89" s="3327"/>
      <c r="AT89" s="3337"/>
      <c r="AU89" s="3338"/>
      <c r="AV89" s="1410">
        <f t="shared" si="11"/>
        <v>0</v>
      </c>
      <c r="AW89" s="1410">
        <f t="shared" si="12"/>
        <v>0</v>
      </c>
      <c r="AX89" s="1410">
        <f t="shared" si="13"/>
        <v>0</v>
      </c>
      <c r="AY89" s="3352">
        <f t="shared" si="14"/>
        <v>0</v>
      </c>
      <c r="AZ89" s="3307">
        <f t="shared" si="15"/>
        <v>0</v>
      </c>
      <c r="BA89" s="3307">
        <f t="shared" si="16"/>
        <v>0</v>
      </c>
      <c r="BB89" s="3307">
        <f t="shared" si="17"/>
        <v>0</v>
      </c>
      <c r="BC89" s="3307">
        <f t="shared" si="18"/>
        <v>0</v>
      </c>
      <c r="BD89" s="3307">
        <f t="shared" si="19"/>
        <v>0</v>
      </c>
      <c r="BE89" s="3307">
        <f t="shared" si="20"/>
        <v>0</v>
      </c>
      <c r="BF89" s="3307">
        <f t="shared" si="21"/>
        <v>0</v>
      </c>
      <c r="BG89" s="3307">
        <f t="shared" si="22"/>
        <v>0</v>
      </c>
      <c r="BH89" s="3307">
        <f t="shared" si="23"/>
        <v>0</v>
      </c>
      <c r="BI89" s="3307">
        <f t="shared" si="24"/>
        <v>0</v>
      </c>
      <c r="BJ89" s="3307">
        <f t="shared" si="25"/>
        <v>0</v>
      </c>
      <c r="BK89" s="3307">
        <f t="shared" si="26"/>
        <v>0</v>
      </c>
      <c r="BL89" s="3307">
        <f t="shared" si="27"/>
        <v>0</v>
      </c>
      <c r="BM89" s="3307">
        <f t="shared" si="28"/>
        <v>0</v>
      </c>
      <c r="BN89" s="3307">
        <f t="shared" si="29"/>
        <v>0</v>
      </c>
      <c r="BO89" s="3307">
        <f t="shared" si="30"/>
        <v>0</v>
      </c>
      <c r="BP89" s="3307">
        <f t="shared" si="31"/>
        <v>0</v>
      </c>
      <c r="BQ89" s="3307">
        <f t="shared" si="32"/>
        <v>0</v>
      </c>
      <c r="BR89" s="3307">
        <f t="shared" si="33"/>
        <v>0</v>
      </c>
      <c r="BS89" s="3307">
        <f t="shared" si="34"/>
        <v>0</v>
      </c>
      <c r="BT89" s="3359">
        <f t="shared" si="35"/>
        <v>0</v>
      </c>
    </row>
    <row r="90" spans="1:72">
      <c r="A90" s="3304"/>
      <c r="B90" s="3305"/>
      <c r="C90" s="3305"/>
      <c r="D90" s="3306"/>
      <c r="E90" s="3307">
        <f t="shared" si="7"/>
        <v>0</v>
      </c>
      <c r="F90" s="3308"/>
      <c r="G90" s="3309">
        <f t="shared" si="8"/>
        <v>0</v>
      </c>
      <c r="H90" s="3310">
        <f t="shared" si="9"/>
        <v>0</v>
      </c>
      <c r="I90" s="3317"/>
      <c r="J90" s="3317"/>
      <c r="K90" s="3317"/>
      <c r="L90" s="3317"/>
      <c r="M90" s="3317"/>
      <c r="N90" s="3317"/>
      <c r="O90" s="3317"/>
      <c r="P90" s="3317"/>
      <c r="Q90" s="3317"/>
      <c r="R90" s="3317"/>
      <c r="S90" s="3317"/>
      <c r="T90" s="3317"/>
      <c r="U90" s="3317"/>
      <c r="V90" s="3317"/>
      <c r="W90" s="3317"/>
      <c r="X90" s="3317"/>
      <c r="Y90" s="3317"/>
      <c r="Z90" s="3317"/>
      <c r="AA90" s="3317"/>
      <c r="AB90" s="3317"/>
      <c r="AC90" s="3307">
        <f t="shared" si="10"/>
        <v>0</v>
      </c>
      <c r="AD90" s="3327"/>
      <c r="AE90" s="3327"/>
      <c r="AF90" s="3327"/>
      <c r="AG90" s="3327"/>
      <c r="AH90" s="3327"/>
      <c r="AI90" s="3327"/>
      <c r="AJ90" s="3327"/>
      <c r="AK90" s="3327"/>
      <c r="AL90" s="3327"/>
      <c r="AM90" s="3327"/>
      <c r="AN90" s="3327"/>
      <c r="AO90" s="3327"/>
      <c r="AP90" s="3327"/>
      <c r="AQ90" s="3327"/>
      <c r="AR90" s="3327"/>
      <c r="AS90" s="3327"/>
      <c r="AT90" s="3337"/>
      <c r="AU90" s="3338"/>
      <c r="AV90" s="1410">
        <f t="shared" si="11"/>
        <v>0</v>
      </c>
      <c r="AW90" s="1410">
        <f t="shared" si="12"/>
        <v>0</v>
      </c>
      <c r="AX90" s="1410">
        <f t="shared" si="13"/>
        <v>0</v>
      </c>
      <c r="AY90" s="3352">
        <f t="shared" si="14"/>
        <v>0</v>
      </c>
      <c r="AZ90" s="3307">
        <f t="shared" si="15"/>
        <v>0</v>
      </c>
      <c r="BA90" s="3307">
        <f t="shared" si="16"/>
        <v>0</v>
      </c>
      <c r="BB90" s="3307">
        <f t="shared" si="17"/>
        <v>0</v>
      </c>
      <c r="BC90" s="3307">
        <f t="shared" si="18"/>
        <v>0</v>
      </c>
      <c r="BD90" s="3307">
        <f t="shared" si="19"/>
        <v>0</v>
      </c>
      <c r="BE90" s="3307">
        <f t="shared" si="20"/>
        <v>0</v>
      </c>
      <c r="BF90" s="3307">
        <f t="shared" si="21"/>
        <v>0</v>
      </c>
      <c r="BG90" s="3307">
        <f t="shared" si="22"/>
        <v>0</v>
      </c>
      <c r="BH90" s="3307">
        <f t="shared" si="23"/>
        <v>0</v>
      </c>
      <c r="BI90" s="3307">
        <f t="shared" si="24"/>
        <v>0</v>
      </c>
      <c r="BJ90" s="3307">
        <f t="shared" si="25"/>
        <v>0</v>
      </c>
      <c r="BK90" s="3307">
        <f t="shared" si="26"/>
        <v>0</v>
      </c>
      <c r="BL90" s="3307">
        <f t="shared" si="27"/>
        <v>0</v>
      </c>
      <c r="BM90" s="3307">
        <f t="shared" si="28"/>
        <v>0</v>
      </c>
      <c r="BN90" s="3307">
        <f t="shared" si="29"/>
        <v>0</v>
      </c>
      <c r="BO90" s="3307">
        <f t="shared" si="30"/>
        <v>0</v>
      </c>
      <c r="BP90" s="3307">
        <f t="shared" si="31"/>
        <v>0</v>
      </c>
      <c r="BQ90" s="3307">
        <f t="shared" si="32"/>
        <v>0</v>
      </c>
      <c r="BR90" s="3307">
        <f t="shared" si="33"/>
        <v>0</v>
      </c>
      <c r="BS90" s="3307">
        <f t="shared" si="34"/>
        <v>0</v>
      </c>
      <c r="BT90" s="3359">
        <f t="shared" si="35"/>
        <v>0</v>
      </c>
    </row>
    <row r="91" spans="1:72">
      <c r="A91" s="3304"/>
      <c r="B91" s="3305"/>
      <c r="C91" s="3305"/>
      <c r="D91" s="3306"/>
      <c r="E91" s="3307">
        <f t="shared" si="7"/>
        <v>0</v>
      </c>
      <c r="F91" s="3308"/>
      <c r="G91" s="3309">
        <f t="shared" si="8"/>
        <v>0</v>
      </c>
      <c r="H91" s="3310">
        <f t="shared" si="9"/>
        <v>0</v>
      </c>
      <c r="I91" s="3317"/>
      <c r="J91" s="3317"/>
      <c r="K91" s="3317"/>
      <c r="L91" s="3317"/>
      <c r="M91" s="3317"/>
      <c r="N91" s="3317"/>
      <c r="O91" s="3317"/>
      <c r="P91" s="3317"/>
      <c r="Q91" s="3317"/>
      <c r="R91" s="3317"/>
      <c r="S91" s="3317"/>
      <c r="T91" s="3317"/>
      <c r="U91" s="3317"/>
      <c r="V91" s="3317"/>
      <c r="W91" s="3317"/>
      <c r="X91" s="3317"/>
      <c r="Y91" s="3317"/>
      <c r="Z91" s="3317"/>
      <c r="AA91" s="3317"/>
      <c r="AB91" s="3317"/>
      <c r="AC91" s="3307">
        <f t="shared" si="10"/>
        <v>0</v>
      </c>
      <c r="AD91" s="3327"/>
      <c r="AE91" s="3327"/>
      <c r="AF91" s="3327"/>
      <c r="AG91" s="3327"/>
      <c r="AH91" s="3327"/>
      <c r="AI91" s="3327"/>
      <c r="AJ91" s="3327"/>
      <c r="AK91" s="3327"/>
      <c r="AL91" s="3327"/>
      <c r="AM91" s="3327"/>
      <c r="AN91" s="3327"/>
      <c r="AO91" s="3327"/>
      <c r="AP91" s="3327"/>
      <c r="AQ91" s="3327"/>
      <c r="AR91" s="3327"/>
      <c r="AS91" s="3327"/>
      <c r="AT91" s="3337"/>
      <c r="AU91" s="3338"/>
      <c r="AV91" s="1410">
        <f t="shared" si="11"/>
        <v>0</v>
      </c>
      <c r="AW91" s="1410">
        <f t="shared" si="12"/>
        <v>0</v>
      </c>
      <c r="AX91" s="1410">
        <f t="shared" si="13"/>
        <v>0</v>
      </c>
      <c r="AY91" s="3352">
        <f t="shared" si="14"/>
        <v>0</v>
      </c>
      <c r="AZ91" s="3307">
        <f t="shared" si="15"/>
        <v>0</v>
      </c>
      <c r="BA91" s="3307">
        <f t="shared" si="16"/>
        <v>0</v>
      </c>
      <c r="BB91" s="3307">
        <f t="shared" si="17"/>
        <v>0</v>
      </c>
      <c r="BC91" s="3307">
        <f t="shared" si="18"/>
        <v>0</v>
      </c>
      <c r="BD91" s="3307">
        <f t="shared" si="19"/>
        <v>0</v>
      </c>
      <c r="BE91" s="3307">
        <f t="shared" si="20"/>
        <v>0</v>
      </c>
      <c r="BF91" s="3307">
        <f t="shared" si="21"/>
        <v>0</v>
      </c>
      <c r="BG91" s="3307">
        <f t="shared" si="22"/>
        <v>0</v>
      </c>
      <c r="BH91" s="3307">
        <f t="shared" si="23"/>
        <v>0</v>
      </c>
      <c r="BI91" s="3307">
        <f t="shared" si="24"/>
        <v>0</v>
      </c>
      <c r="BJ91" s="3307">
        <f t="shared" si="25"/>
        <v>0</v>
      </c>
      <c r="BK91" s="3307">
        <f t="shared" si="26"/>
        <v>0</v>
      </c>
      <c r="BL91" s="3307">
        <f t="shared" si="27"/>
        <v>0</v>
      </c>
      <c r="BM91" s="3307">
        <f t="shared" si="28"/>
        <v>0</v>
      </c>
      <c r="BN91" s="3307">
        <f t="shared" si="29"/>
        <v>0</v>
      </c>
      <c r="BO91" s="3307">
        <f t="shared" si="30"/>
        <v>0</v>
      </c>
      <c r="BP91" s="3307">
        <f t="shared" si="31"/>
        <v>0</v>
      </c>
      <c r="BQ91" s="3307">
        <f t="shared" si="32"/>
        <v>0</v>
      </c>
      <c r="BR91" s="3307">
        <f t="shared" si="33"/>
        <v>0</v>
      </c>
      <c r="BS91" s="3307">
        <f t="shared" si="34"/>
        <v>0</v>
      </c>
      <c r="BT91" s="3359">
        <f t="shared" si="35"/>
        <v>0</v>
      </c>
    </row>
    <row r="92" spans="1:72">
      <c r="A92" s="3304"/>
      <c r="B92" s="3305"/>
      <c r="C92" s="3305"/>
      <c r="D92" s="3306"/>
      <c r="E92" s="3307">
        <f t="shared" si="7"/>
        <v>0</v>
      </c>
      <c r="F92" s="3308"/>
      <c r="G92" s="3309">
        <f t="shared" si="8"/>
        <v>0</v>
      </c>
      <c r="H92" s="3310">
        <f t="shared" si="9"/>
        <v>0</v>
      </c>
      <c r="I92" s="3317"/>
      <c r="J92" s="3317"/>
      <c r="K92" s="3317"/>
      <c r="L92" s="3317"/>
      <c r="M92" s="3317"/>
      <c r="N92" s="3317"/>
      <c r="O92" s="3317"/>
      <c r="P92" s="3317"/>
      <c r="Q92" s="3317"/>
      <c r="R92" s="3317"/>
      <c r="S92" s="3317"/>
      <c r="T92" s="3317"/>
      <c r="U92" s="3317"/>
      <c r="V92" s="3317"/>
      <c r="W92" s="3317"/>
      <c r="X92" s="3317"/>
      <c r="Y92" s="3317"/>
      <c r="Z92" s="3317"/>
      <c r="AA92" s="3317"/>
      <c r="AB92" s="3317"/>
      <c r="AC92" s="3307">
        <f t="shared" si="10"/>
        <v>0</v>
      </c>
      <c r="AD92" s="3327"/>
      <c r="AE92" s="3327"/>
      <c r="AF92" s="3327"/>
      <c r="AG92" s="3327"/>
      <c r="AH92" s="3327"/>
      <c r="AI92" s="3327"/>
      <c r="AJ92" s="3327"/>
      <c r="AK92" s="3327"/>
      <c r="AL92" s="3327"/>
      <c r="AM92" s="3327"/>
      <c r="AN92" s="3327"/>
      <c r="AO92" s="3327"/>
      <c r="AP92" s="3327"/>
      <c r="AQ92" s="3327"/>
      <c r="AR92" s="3327"/>
      <c r="AS92" s="3327"/>
      <c r="AT92" s="3337"/>
      <c r="AU92" s="3338"/>
      <c r="AV92" s="1410">
        <f t="shared" si="11"/>
        <v>0</v>
      </c>
      <c r="AW92" s="1410">
        <f t="shared" si="12"/>
        <v>0</v>
      </c>
      <c r="AX92" s="1410">
        <f t="shared" si="13"/>
        <v>0</v>
      </c>
      <c r="AY92" s="3352">
        <f t="shared" si="14"/>
        <v>0</v>
      </c>
      <c r="AZ92" s="3307">
        <f t="shared" si="15"/>
        <v>0</v>
      </c>
      <c r="BA92" s="3307">
        <f t="shared" si="16"/>
        <v>0</v>
      </c>
      <c r="BB92" s="3307">
        <f t="shared" si="17"/>
        <v>0</v>
      </c>
      <c r="BC92" s="3307">
        <f t="shared" si="18"/>
        <v>0</v>
      </c>
      <c r="BD92" s="3307">
        <f t="shared" si="19"/>
        <v>0</v>
      </c>
      <c r="BE92" s="3307">
        <f t="shared" si="20"/>
        <v>0</v>
      </c>
      <c r="BF92" s="3307">
        <f t="shared" si="21"/>
        <v>0</v>
      </c>
      <c r="BG92" s="3307">
        <f t="shared" si="22"/>
        <v>0</v>
      </c>
      <c r="BH92" s="3307">
        <f t="shared" si="23"/>
        <v>0</v>
      </c>
      <c r="BI92" s="3307">
        <f t="shared" si="24"/>
        <v>0</v>
      </c>
      <c r="BJ92" s="3307">
        <f t="shared" si="25"/>
        <v>0</v>
      </c>
      <c r="BK92" s="3307">
        <f t="shared" si="26"/>
        <v>0</v>
      </c>
      <c r="BL92" s="3307">
        <f t="shared" si="27"/>
        <v>0</v>
      </c>
      <c r="BM92" s="3307">
        <f t="shared" si="28"/>
        <v>0</v>
      </c>
      <c r="BN92" s="3307">
        <f t="shared" si="29"/>
        <v>0</v>
      </c>
      <c r="BO92" s="3307">
        <f t="shared" si="30"/>
        <v>0</v>
      </c>
      <c r="BP92" s="3307">
        <f t="shared" si="31"/>
        <v>0</v>
      </c>
      <c r="BQ92" s="3307">
        <f t="shared" si="32"/>
        <v>0</v>
      </c>
      <c r="BR92" s="3307">
        <f t="shared" si="33"/>
        <v>0</v>
      </c>
      <c r="BS92" s="3307">
        <f t="shared" si="34"/>
        <v>0</v>
      </c>
      <c r="BT92" s="3359">
        <f t="shared" si="35"/>
        <v>0</v>
      </c>
    </row>
    <row r="93" spans="1:72">
      <c r="A93" s="3304"/>
      <c r="B93" s="3305"/>
      <c r="C93" s="3305"/>
      <c r="D93" s="3306"/>
      <c r="E93" s="3307">
        <f t="shared" si="7"/>
        <v>0</v>
      </c>
      <c r="F93" s="3308"/>
      <c r="G93" s="3309">
        <f t="shared" si="8"/>
        <v>0</v>
      </c>
      <c r="H93" s="3310">
        <f t="shared" si="9"/>
        <v>0</v>
      </c>
      <c r="I93" s="3317"/>
      <c r="J93" s="3317"/>
      <c r="K93" s="3317"/>
      <c r="L93" s="3317"/>
      <c r="M93" s="3317"/>
      <c r="N93" s="3317"/>
      <c r="O93" s="3317"/>
      <c r="P93" s="3317"/>
      <c r="Q93" s="3317"/>
      <c r="R93" s="3317"/>
      <c r="S93" s="3317"/>
      <c r="T93" s="3317"/>
      <c r="U93" s="3317"/>
      <c r="V93" s="3317"/>
      <c r="W93" s="3317"/>
      <c r="X93" s="3317"/>
      <c r="Y93" s="3317"/>
      <c r="Z93" s="3317"/>
      <c r="AA93" s="3317"/>
      <c r="AB93" s="3317"/>
      <c r="AC93" s="3307">
        <f t="shared" si="10"/>
        <v>0</v>
      </c>
      <c r="AD93" s="3327"/>
      <c r="AE93" s="3327"/>
      <c r="AF93" s="3327"/>
      <c r="AG93" s="3327"/>
      <c r="AH93" s="3327"/>
      <c r="AI93" s="3327"/>
      <c r="AJ93" s="3327"/>
      <c r="AK93" s="3327"/>
      <c r="AL93" s="3327"/>
      <c r="AM93" s="3327"/>
      <c r="AN93" s="3327"/>
      <c r="AO93" s="3327"/>
      <c r="AP93" s="3327"/>
      <c r="AQ93" s="3327"/>
      <c r="AR93" s="3327"/>
      <c r="AS93" s="3327"/>
      <c r="AT93" s="3337"/>
      <c r="AU93" s="3338"/>
      <c r="AV93" s="1410">
        <f t="shared" si="11"/>
        <v>0</v>
      </c>
      <c r="AW93" s="1410">
        <f t="shared" si="12"/>
        <v>0</v>
      </c>
      <c r="AX93" s="1410">
        <f t="shared" si="13"/>
        <v>0</v>
      </c>
      <c r="AY93" s="3352">
        <f t="shared" si="14"/>
        <v>0</v>
      </c>
      <c r="AZ93" s="3307">
        <f t="shared" si="15"/>
        <v>0</v>
      </c>
      <c r="BA93" s="3307">
        <f t="shared" si="16"/>
        <v>0</v>
      </c>
      <c r="BB93" s="3307">
        <f t="shared" si="17"/>
        <v>0</v>
      </c>
      <c r="BC93" s="3307">
        <f t="shared" si="18"/>
        <v>0</v>
      </c>
      <c r="BD93" s="3307">
        <f t="shared" si="19"/>
        <v>0</v>
      </c>
      <c r="BE93" s="3307">
        <f t="shared" si="20"/>
        <v>0</v>
      </c>
      <c r="BF93" s="3307">
        <f t="shared" si="21"/>
        <v>0</v>
      </c>
      <c r="BG93" s="3307">
        <f t="shared" si="22"/>
        <v>0</v>
      </c>
      <c r="BH93" s="3307">
        <f t="shared" si="23"/>
        <v>0</v>
      </c>
      <c r="BI93" s="3307">
        <f t="shared" si="24"/>
        <v>0</v>
      </c>
      <c r="BJ93" s="3307">
        <f t="shared" si="25"/>
        <v>0</v>
      </c>
      <c r="BK93" s="3307">
        <f t="shared" si="26"/>
        <v>0</v>
      </c>
      <c r="BL93" s="3307">
        <f t="shared" si="27"/>
        <v>0</v>
      </c>
      <c r="BM93" s="3307">
        <f t="shared" si="28"/>
        <v>0</v>
      </c>
      <c r="BN93" s="3307">
        <f t="shared" si="29"/>
        <v>0</v>
      </c>
      <c r="BO93" s="3307">
        <f t="shared" si="30"/>
        <v>0</v>
      </c>
      <c r="BP93" s="3307">
        <f t="shared" si="31"/>
        <v>0</v>
      </c>
      <c r="BQ93" s="3307">
        <f t="shared" si="32"/>
        <v>0</v>
      </c>
      <c r="BR93" s="3307">
        <f t="shared" si="33"/>
        <v>0</v>
      </c>
      <c r="BS93" s="3307">
        <f t="shared" si="34"/>
        <v>0</v>
      </c>
      <c r="BT93" s="3359">
        <f t="shared" si="35"/>
        <v>0</v>
      </c>
    </row>
    <row r="94" spans="1:72">
      <c r="A94" s="3304"/>
      <c r="B94" s="3305"/>
      <c r="C94" s="3305"/>
      <c r="D94" s="3306"/>
      <c r="E94" s="3307">
        <f t="shared" si="7"/>
        <v>0</v>
      </c>
      <c r="F94" s="3308"/>
      <c r="G94" s="3309">
        <f t="shared" si="8"/>
        <v>0</v>
      </c>
      <c r="H94" s="3310">
        <f t="shared" si="9"/>
        <v>0</v>
      </c>
      <c r="I94" s="3317"/>
      <c r="J94" s="3317"/>
      <c r="K94" s="3317"/>
      <c r="L94" s="3317"/>
      <c r="M94" s="3317"/>
      <c r="N94" s="3317"/>
      <c r="O94" s="3317"/>
      <c r="P94" s="3317"/>
      <c r="Q94" s="3317"/>
      <c r="R94" s="3317"/>
      <c r="S94" s="3317"/>
      <c r="T94" s="3317"/>
      <c r="U94" s="3317"/>
      <c r="V94" s="3317"/>
      <c r="W94" s="3317"/>
      <c r="X94" s="3317"/>
      <c r="Y94" s="3317"/>
      <c r="Z94" s="3317"/>
      <c r="AA94" s="3317"/>
      <c r="AB94" s="3317"/>
      <c r="AC94" s="3307">
        <f t="shared" si="10"/>
        <v>0</v>
      </c>
      <c r="AD94" s="3327"/>
      <c r="AE94" s="3327"/>
      <c r="AF94" s="3327"/>
      <c r="AG94" s="3327"/>
      <c r="AH94" s="3327"/>
      <c r="AI94" s="3327"/>
      <c r="AJ94" s="3327"/>
      <c r="AK94" s="3327"/>
      <c r="AL94" s="3327"/>
      <c r="AM94" s="3327"/>
      <c r="AN94" s="3327"/>
      <c r="AO94" s="3327"/>
      <c r="AP94" s="3327"/>
      <c r="AQ94" s="3327"/>
      <c r="AR94" s="3327"/>
      <c r="AS94" s="3327"/>
      <c r="AT94" s="3337"/>
      <c r="AU94" s="3338"/>
      <c r="AV94" s="1410">
        <f t="shared" si="11"/>
        <v>0</v>
      </c>
      <c r="AW94" s="1410">
        <f t="shared" si="12"/>
        <v>0</v>
      </c>
      <c r="AX94" s="1410">
        <f t="shared" si="13"/>
        <v>0</v>
      </c>
      <c r="AY94" s="3352">
        <f t="shared" si="14"/>
        <v>0</v>
      </c>
      <c r="AZ94" s="3307">
        <f t="shared" si="15"/>
        <v>0</v>
      </c>
      <c r="BA94" s="3307">
        <f t="shared" si="16"/>
        <v>0</v>
      </c>
      <c r="BB94" s="3307">
        <f t="shared" si="17"/>
        <v>0</v>
      </c>
      <c r="BC94" s="3307">
        <f t="shared" si="18"/>
        <v>0</v>
      </c>
      <c r="BD94" s="3307">
        <f t="shared" si="19"/>
        <v>0</v>
      </c>
      <c r="BE94" s="3307">
        <f t="shared" si="20"/>
        <v>0</v>
      </c>
      <c r="BF94" s="3307">
        <f t="shared" si="21"/>
        <v>0</v>
      </c>
      <c r="BG94" s="3307">
        <f t="shared" si="22"/>
        <v>0</v>
      </c>
      <c r="BH94" s="3307">
        <f t="shared" si="23"/>
        <v>0</v>
      </c>
      <c r="BI94" s="3307">
        <f t="shared" si="24"/>
        <v>0</v>
      </c>
      <c r="BJ94" s="3307">
        <f t="shared" si="25"/>
        <v>0</v>
      </c>
      <c r="BK94" s="3307">
        <f t="shared" si="26"/>
        <v>0</v>
      </c>
      <c r="BL94" s="3307">
        <f t="shared" si="27"/>
        <v>0</v>
      </c>
      <c r="BM94" s="3307">
        <f t="shared" si="28"/>
        <v>0</v>
      </c>
      <c r="BN94" s="3307">
        <f t="shared" si="29"/>
        <v>0</v>
      </c>
      <c r="BO94" s="3307">
        <f t="shared" si="30"/>
        <v>0</v>
      </c>
      <c r="BP94" s="3307">
        <f t="shared" si="31"/>
        <v>0</v>
      </c>
      <c r="BQ94" s="3307">
        <f t="shared" si="32"/>
        <v>0</v>
      </c>
      <c r="BR94" s="3307">
        <f t="shared" si="33"/>
        <v>0</v>
      </c>
      <c r="BS94" s="3307">
        <f t="shared" si="34"/>
        <v>0</v>
      </c>
      <c r="BT94" s="3359">
        <f t="shared" si="35"/>
        <v>0</v>
      </c>
    </row>
    <row r="95" spans="1:72">
      <c r="A95" s="3304"/>
      <c r="B95" s="3305"/>
      <c r="C95" s="3305"/>
      <c r="D95" s="3306"/>
      <c r="E95" s="3307">
        <f t="shared" si="7"/>
        <v>0</v>
      </c>
      <c r="F95" s="3308"/>
      <c r="G95" s="3309">
        <f t="shared" si="8"/>
        <v>0</v>
      </c>
      <c r="H95" s="3310">
        <f t="shared" si="9"/>
        <v>0</v>
      </c>
      <c r="I95" s="3317"/>
      <c r="J95" s="3317"/>
      <c r="K95" s="3317"/>
      <c r="L95" s="3317"/>
      <c r="M95" s="3317"/>
      <c r="N95" s="3317"/>
      <c r="O95" s="3317"/>
      <c r="P95" s="3317"/>
      <c r="Q95" s="3317"/>
      <c r="R95" s="3317"/>
      <c r="S95" s="3317"/>
      <c r="T95" s="3317"/>
      <c r="U95" s="3317"/>
      <c r="V95" s="3317"/>
      <c r="W95" s="3317"/>
      <c r="X95" s="3317"/>
      <c r="Y95" s="3317"/>
      <c r="Z95" s="3317"/>
      <c r="AA95" s="3317"/>
      <c r="AB95" s="3317"/>
      <c r="AC95" s="3307">
        <f t="shared" si="10"/>
        <v>0</v>
      </c>
      <c r="AD95" s="3327"/>
      <c r="AE95" s="3327"/>
      <c r="AF95" s="3327"/>
      <c r="AG95" s="3327"/>
      <c r="AH95" s="3327"/>
      <c r="AI95" s="3327"/>
      <c r="AJ95" s="3327"/>
      <c r="AK95" s="3327"/>
      <c r="AL95" s="3327"/>
      <c r="AM95" s="3327"/>
      <c r="AN95" s="3327"/>
      <c r="AO95" s="3327"/>
      <c r="AP95" s="3327"/>
      <c r="AQ95" s="3327"/>
      <c r="AR95" s="3327"/>
      <c r="AS95" s="3327"/>
      <c r="AT95" s="3337"/>
      <c r="AU95" s="3338"/>
      <c r="AV95" s="1410">
        <f t="shared" si="11"/>
        <v>0</v>
      </c>
      <c r="AW95" s="1410">
        <f t="shared" si="12"/>
        <v>0</v>
      </c>
      <c r="AX95" s="1410">
        <f t="shared" si="13"/>
        <v>0</v>
      </c>
      <c r="AY95" s="3352">
        <f t="shared" si="14"/>
        <v>0</v>
      </c>
      <c r="AZ95" s="3307">
        <f t="shared" si="15"/>
        <v>0</v>
      </c>
      <c r="BA95" s="3307">
        <f t="shared" si="16"/>
        <v>0</v>
      </c>
      <c r="BB95" s="3307">
        <f t="shared" si="17"/>
        <v>0</v>
      </c>
      <c r="BC95" s="3307">
        <f t="shared" si="18"/>
        <v>0</v>
      </c>
      <c r="BD95" s="3307">
        <f t="shared" si="19"/>
        <v>0</v>
      </c>
      <c r="BE95" s="3307">
        <f t="shared" si="20"/>
        <v>0</v>
      </c>
      <c r="BF95" s="3307">
        <f t="shared" si="21"/>
        <v>0</v>
      </c>
      <c r="BG95" s="3307">
        <f t="shared" si="22"/>
        <v>0</v>
      </c>
      <c r="BH95" s="3307">
        <f t="shared" si="23"/>
        <v>0</v>
      </c>
      <c r="BI95" s="3307">
        <f t="shared" si="24"/>
        <v>0</v>
      </c>
      <c r="BJ95" s="3307">
        <f t="shared" si="25"/>
        <v>0</v>
      </c>
      <c r="BK95" s="3307">
        <f t="shared" si="26"/>
        <v>0</v>
      </c>
      <c r="BL95" s="3307">
        <f t="shared" si="27"/>
        <v>0</v>
      </c>
      <c r="BM95" s="3307">
        <f t="shared" si="28"/>
        <v>0</v>
      </c>
      <c r="BN95" s="3307">
        <f t="shared" si="29"/>
        <v>0</v>
      </c>
      <c r="BO95" s="3307">
        <f t="shared" si="30"/>
        <v>0</v>
      </c>
      <c r="BP95" s="3307">
        <f t="shared" si="31"/>
        <v>0</v>
      </c>
      <c r="BQ95" s="3307">
        <f t="shared" si="32"/>
        <v>0</v>
      </c>
      <c r="BR95" s="3307">
        <f t="shared" si="33"/>
        <v>0</v>
      </c>
      <c r="BS95" s="3307">
        <f t="shared" si="34"/>
        <v>0</v>
      </c>
      <c r="BT95" s="3359">
        <f t="shared" si="35"/>
        <v>0</v>
      </c>
    </row>
    <row r="96" spans="1:72">
      <c r="A96" s="3304"/>
      <c r="B96" s="3305"/>
      <c r="C96" s="3305"/>
      <c r="D96" s="3306"/>
      <c r="E96" s="3307">
        <f t="shared" si="7"/>
        <v>0</v>
      </c>
      <c r="F96" s="3308"/>
      <c r="G96" s="3309">
        <f t="shared" si="8"/>
        <v>0</v>
      </c>
      <c r="H96" s="3310">
        <f t="shared" si="9"/>
        <v>0</v>
      </c>
      <c r="I96" s="3317"/>
      <c r="J96" s="3317"/>
      <c r="K96" s="3317"/>
      <c r="L96" s="3317"/>
      <c r="M96" s="3317"/>
      <c r="N96" s="3317"/>
      <c r="O96" s="3317"/>
      <c r="P96" s="3317"/>
      <c r="Q96" s="3317"/>
      <c r="R96" s="3317"/>
      <c r="S96" s="3317"/>
      <c r="T96" s="3317"/>
      <c r="U96" s="3317"/>
      <c r="V96" s="3317"/>
      <c r="W96" s="3317"/>
      <c r="X96" s="3317"/>
      <c r="Y96" s="3317"/>
      <c r="Z96" s="3317"/>
      <c r="AA96" s="3317"/>
      <c r="AB96" s="3317"/>
      <c r="AC96" s="3307">
        <f t="shared" si="10"/>
        <v>0</v>
      </c>
      <c r="AD96" s="3327"/>
      <c r="AE96" s="3327"/>
      <c r="AF96" s="3327"/>
      <c r="AG96" s="3327"/>
      <c r="AH96" s="3327"/>
      <c r="AI96" s="3327"/>
      <c r="AJ96" s="3327"/>
      <c r="AK96" s="3327"/>
      <c r="AL96" s="3327"/>
      <c r="AM96" s="3327"/>
      <c r="AN96" s="3327"/>
      <c r="AO96" s="3327"/>
      <c r="AP96" s="3327"/>
      <c r="AQ96" s="3327"/>
      <c r="AR96" s="3327"/>
      <c r="AS96" s="3327"/>
      <c r="AT96" s="3337"/>
      <c r="AU96" s="3338"/>
      <c r="AV96" s="1410">
        <f t="shared" si="11"/>
        <v>0</v>
      </c>
      <c r="AW96" s="1410">
        <f t="shared" si="12"/>
        <v>0</v>
      </c>
      <c r="AX96" s="1410">
        <f t="shared" si="13"/>
        <v>0</v>
      </c>
      <c r="AY96" s="3352">
        <f t="shared" si="14"/>
        <v>0</v>
      </c>
      <c r="AZ96" s="3307">
        <f t="shared" si="15"/>
        <v>0</v>
      </c>
      <c r="BA96" s="3307">
        <f t="shared" si="16"/>
        <v>0</v>
      </c>
      <c r="BB96" s="3307">
        <f t="shared" si="17"/>
        <v>0</v>
      </c>
      <c r="BC96" s="3307">
        <f t="shared" si="18"/>
        <v>0</v>
      </c>
      <c r="BD96" s="3307">
        <f t="shared" si="19"/>
        <v>0</v>
      </c>
      <c r="BE96" s="3307">
        <f t="shared" si="20"/>
        <v>0</v>
      </c>
      <c r="BF96" s="3307">
        <f t="shared" si="21"/>
        <v>0</v>
      </c>
      <c r="BG96" s="3307">
        <f t="shared" si="22"/>
        <v>0</v>
      </c>
      <c r="BH96" s="3307">
        <f t="shared" si="23"/>
        <v>0</v>
      </c>
      <c r="BI96" s="3307">
        <f t="shared" si="24"/>
        <v>0</v>
      </c>
      <c r="BJ96" s="3307">
        <f t="shared" si="25"/>
        <v>0</v>
      </c>
      <c r="BK96" s="3307">
        <f t="shared" si="26"/>
        <v>0</v>
      </c>
      <c r="BL96" s="3307">
        <f t="shared" si="27"/>
        <v>0</v>
      </c>
      <c r="BM96" s="3307">
        <f t="shared" si="28"/>
        <v>0</v>
      </c>
      <c r="BN96" s="3307">
        <f t="shared" si="29"/>
        <v>0</v>
      </c>
      <c r="BO96" s="3307">
        <f t="shared" si="30"/>
        <v>0</v>
      </c>
      <c r="BP96" s="3307">
        <f t="shared" si="31"/>
        <v>0</v>
      </c>
      <c r="BQ96" s="3307">
        <f t="shared" si="32"/>
        <v>0</v>
      </c>
      <c r="BR96" s="3307">
        <f t="shared" si="33"/>
        <v>0</v>
      </c>
      <c r="BS96" s="3307">
        <f t="shared" si="34"/>
        <v>0</v>
      </c>
      <c r="BT96" s="3359">
        <f t="shared" si="35"/>
        <v>0</v>
      </c>
    </row>
    <row r="97" spans="1:72">
      <c r="A97" s="3304"/>
      <c r="B97" s="3305"/>
      <c r="C97" s="3305"/>
      <c r="D97" s="3306"/>
      <c r="E97" s="3307">
        <f t="shared" si="7"/>
        <v>0</v>
      </c>
      <c r="F97" s="3308"/>
      <c r="G97" s="3309">
        <f t="shared" si="8"/>
        <v>0</v>
      </c>
      <c r="H97" s="3310">
        <f t="shared" si="9"/>
        <v>0</v>
      </c>
      <c r="I97" s="3317"/>
      <c r="J97" s="3317"/>
      <c r="K97" s="3317"/>
      <c r="L97" s="3317"/>
      <c r="M97" s="3317"/>
      <c r="N97" s="3317"/>
      <c r="O97" s="3317"/>
      <c r="P97" s="3317"/>
      <c r="Q97" s="3317"/>
      <c r="R97" s="3317"/>
      <c r="S97" s="3317"/>
      <c r="T97" s="3317"/>
      <c r="U97" s="3317"/>
      <c r="V97" s="3317"/>
      <c r="W97" s="3317"/>
      <c r="X97" s="3317"/>
      <c r="Y97" s="3317"/>
      <c r="Z97" s="3317"/>
      <c r="AA97" s="3317"/>
      <c r="AB97" s="3317"/>
      <c r="AC97" s="3307">
        <f t="shared" si="10"/>
        <v>0</v>
      </c>
      <c r="AD97" s="3327"/>
      <c r="AE97" s="3327"/>
      <c r="AF97" s="3327"/>
      <c r="AG97" s="3327"/>
      <c r="AH97" s="3327"/>
      <c r="AI97" s="3327"/>
      <c r="AJ97" s="3327"/>
      <c r="AK97" s="3327"/>
      <c r="AL97" s="3327"/>
      <c r="AM97" s="3327"/>
      <c r="AN97" s="3327"/>
      <c r="AO97" s="3327"/>
      <c r="AP97" s="3327"/>
      <c r="AQ97" s="3327"/>
      <c r="AR97" s="3327"/>
      <c r="AS97" s="3327"/>
      <c r="AT97" s="3337"/>
      <c r="AU97" s="3338"/>
      <c r="AV97" s="1410">
        <f t="shared" si="11"/>
        <v>0</v>
      </c>
      <c r="AW97" s="1410">
        <f t="shared" si="12"/>
        <v>0</v>
      </c>
      <c r="AX97" s="1410">
        <f t="shared" si="13"/>
        <v>0</v>
      </c>
      <c r="AY97" s="3352">
        <f t="shared" si="14"/>
        <v>0</v>
      </c>
      <c r="AZ97" s="3307">
        <f t="shared" si="15"/>
        <v>0</v>
      </c>
      <c r="BA97" s="3307">
        <f t="shared" si="16"/>
        <v>0</v>
      </c>
      <c r="BB97" s="3307">
        <f t="shared" si="17"/>
        <v>0</v>
      </c>
      <c r="BC97" s="3307">
        <f t="shared" si="18"/>
        <v>0</v>
      </c>
      <c r="BD97" s="3307">
        <f t="shared" si="19"/>
        <v>0</v>
      </c>
      <c r="BE97" s="3307">
        <f t="shared" si="20"/>
        <v>0</v>
      </c>
      <c r="BF97" s="3307">
        <f t="shared" si="21"/>
        <v>0</v>
      </c>
      <c r="BG97" s="3307">
        <f t="shared" si="22"/>
        <v>0</v>
      </c>
      <c r="BH97" s="3307">
        <f t="shared" si="23"/>
        <v>0</v>
      </c>
      <c r="BI97" s="3307">
        <f t="shared" si="24"/>
        <v>0</v>
      </c>
      <c r="BJ97" s="3307">
        <f t="shared" si="25"/>
        <v>0</v>
      </c>
      <c r="BK97" s="3307">
        <f t="shared" si="26"/>
        <v>0</v>
      </c>
      <c r="BL97" s="3307">
        <f t="shared" si="27"/>
        <v>0</v>
      </c>
      <c r="BM97" s="3307">
        <f t="shared" si="28"/>
        <v>0</v>
      </c>
      <c r="BN97" s="3307">
        <f t="shared" si="29"/>
        <v>0</v>
      </c>
      <c r="BO97" s="3307">
        <f t="shared" si="30"/>
        <v>0</v>
      </c>
      <c r="BP97" s="3307">
        <f t="shared" si="31"/>
        <v>0</v>
      </c>
      <c r="BQ97" s="3307">
        <f t="shared" si="32"/>
        <v>0</v>
      </c>
      <c r="BR97" s="3307">
        <f t="shared" si="33"/>
        <v>0</v>
      </c>
      <c r="BS97" s="3307">
        <f t="shared" si="34"/>
        <v>0</v>
      </c>
      <c r="BT97" s="3359">
        <f t="shared" si="35"/>
        <v>0</v>
      </c>
    </row>
    <row r="98" spans="1:72">
      <c r="A98" s="3304"/>
      <c r="B98" s="3305"/>
      <c r="C98" s="3305"/>
      <c r="D98" s="3306"/>
      <c r="E98" s="3307">
        <f t="shared" si="7"/>
        <v>0</v>
      </c>
      <c r="F98" s="3308"/>
      <c r="G98" s="3309">
        <f t="shared" si="8"/>
        <v>0</v>
      </c>
      <c r="H98" s="3310">
        <f t="shared" si="9"/>
        <v>0</v>
      </c>
      <c r="I98" s="3317"/>
      <c r="J98" s="3317"/>
      <c r="K98" s="3317"/>
      <c r="L98" s="3317"/>
      <c r="M98" s="3317"/>
      <c r="N98" s="3317"/>
      <c r="O98" s="3317"/>
      <c r="P98" s="3317"/>
      <c r="Q98" s="3317"/>
      <c r="R98" s="3317"/>
      <c r="S98" s="3317"/>
      <c r="T98" s="3317"/>
      <c r="U98" s="3317"/>
      <c r="V98" s="3317"/>
      <c r="W98" s="3317"/>
      <c r="X98" s="3317"/>
      <c r="Y98" s="3317"/>
      <c r="Z98" s="3317"/>
      <c r="AA98" s="3317"/>
      <c r="AB98" s="3317"/>
      <c r="AC98" s="3307">
        <f t="shared" si="10"/>
        <v>0</v>
      </c>
      <c r="AD98" s="3327"/>
      <c r="AE98" s="3327"/>
      <c r="AF98" s="3327"/>
      <c r="AG98" s="3327"/>
      <c r="AH98" s="3327"/>
      <c r="AI98" s="3327"/>
      <c r="AJ98" s="3327"/>
      <c r="AK98" s="3327"/>
      <c r="AL98" s="3327"/>
      <c r="AM98" s="3327"/>
      <c r="AN98" s="3327"/>
      <c r="AO98" s="3327"/>
      <c r="AP98" s="3327"/>
      <c r="AQ98" s="3327"/>
      <c r="AR98" s="3327"/>
      <c r="AS98" s="3327"/>
      <c r="AT98" s="3337"/>
      <c r="AU98" s="3338"/>
      <c r="AV98" s="1410">
        <f t="shared" si="11"/>
        <v>0</v>
      </c>
      <c r="AW98" s="1410">
        <f t="shared" si="12"/>
        <v>0</v>
      </c>
      <c r="AX98" s="1410">
        <f t="shared" si="13"/>
        <v>0</v>
      </c>
      <c r="AY98" s="3352">
        <f t="shared" si="14"/>
        <v>0</v>
      </c>
      <c r="AZ98" s="3307">
        <f t="shared" si="15"/>
        <v>0</v>
      </c>
      <c r="BA98" s="3307">
        <f t="shared" si="16"/>
        <v>0</v>
      </c>
      <c r="BB98" s="3307">
        <f t="shared" si="17"/>
        <v>0</v>
      </c>
      <c r="BC98" s="3307">
        <f t="shared" si="18"/>
        <v>0</v>
      </c>
      <c r="BD98" s="3307">
        <f t="shared" si="19"/>
        <v>0</v>
      </c>
      <c r="BE98" s="3307">
        <f t="shared" si="20"/>
        <v>0</v>
      </c>
      <c r="BF98" s="3307">
        <f t="shared" si="21"/>
        <v>0</v>
      </c>
      <c r="BG98" s="3307">
        <f t="shared" si="22"/>
        <v>0</v>
      </c>
      <c r="BH98" s="3307">
        <f t="shared" si="23"/>
        <v>0</v>
      </c>
      <c r="BI98" s="3307">
        <f t="shared" si="24"/>
        <v>0</v>
      </c>
      <c r="BJ98" s="3307">
        <f t="shared" si="25"/>
        <v>0</v>
      </c>
      <c r="BK98" s="3307">
        <f t="shared" si="26"/>
        <v>0</v>
      </c>
      <c r="BL98" s="3307">
        <f t="shared" si="27"/>
        <v>0</v>
      </c>
      <c r="BM98" s="3307">
        <f t="shared" si="28"/>
        <v>0</v>
      </c>
      <c r="BN98" s="3307">
        <f t="shared" si="29"/>
        <v>0</v>
      </c>
      <c r="BO98" s="3307">
        <f t="shared" si="30"/>
        <v>0</v>
      </c>
      <c r="BP98" s="3307">
        <f t="shared" si="31"/>
        <v>0</v>
      </c>
      <c r="BQ98" s="3307">
        <f t="shared" si="32"/>
        <v>0</v>
      </c>
      <c r="BR98" s="3307">
        <f t="shared" si="33"/>
        <v>0</v>
      </c>
      <c r="BS98" s="3307">
        <f t="shared" si="34"/>
        <v>0</v>
      </c>
      <c r="BT98" s="3359">
        <f t="shared" si="35"/>
        <v>0</v>
      </c>
    </row>
    <row r="99" spans="1:72">
      <c r="A99" s="3304"/>
      <c r="B99" s="3305"/>
      <c r="C99" s="3305"/>
      <c r="D99" s="3306"/>
      <c r="E99" s="3307">
        <f t="shared" si="7"/>
        <v>0</v>
      </c>
      <c r="F99" s="3308"/>
      <c r="G99" s="3309">
        <f t="shared" si="8"/>
        <v>0</v>
      </c>
      <c r="H99" s="3310">
        <f t="shared" si="9"/>
        <v>0</v>
      </c>
      <c r="I99" s="3317"/>
      <c r="J99" s="3317"/>
      <c r="K99" s="3317"/>
      <c r="L99" s="3317"/>
      <c r="M99" s="3317"/>
      <c r="N99" s="3317"/>
      <c r="O99" s="3317"/>
      <c r="P99" s="3317"/>
      <c r="Q99" s="3317"/>
      <c r="R99" s="3317"/>
      <c r="S99" s="3317"/>
      <c r="T99" s="3317"/>
      <c r="U99" s="3317"/>
      <c r="V99" s="3317"/>
      <c r="W99" s="3317"/>
      <c r="X99" s="3317"/>
      <c r="Y99" s="3317"/>
      <c r="Z99" s="3317"/>
      <c r="AA99" s="3317"/>
      <c r="AB99" s="3317"/>
      <c r="AC99" s="3307">
        <f t="shared" si="10"/>
        <v>0</v>
      </c>
      <c r="AD99" s="3327"/>
      <c r="AE99" s="3327"/>
      <c r="AF99" s="3327"/>
      <c r="AG99" s="3327"/>
      <c r="AH99" s="3327"/>
      <c r="AI99" s="3327"/>
      <c r="AJ99" s="3327"/>
      <c r="AK99" s="3327"/>
      <c r="AL99" s="3327"/>
      <c r="AM99" s="3327"/>
      <c r="AN99" s="3327"/>
      <c r="AO99" s="3327"/>
      <c r="AP99" s="3327"/>
      <c r="AQ99" s="3327"/>
      <c r="AR99" s="3327"/>
      <c r="AS99" s="3327"/>
      <c r="AT99" s="3337"/>
      <c r="AU99" s="3338"/>
      <c r="AV99" s="1410">
        <f t="shared" si="11"/>
        <v>0</v>
      </c>
      <c r="AW99" s="1410">
        <f t="shared" si="12"/>
        <v>0</v>
      </c>
      <c r="AX99" s="1410">
        <f t="shared" si="13"/>
        <v>0</v>
      </c>
      <c r="AY99" s="3352">
        <f t="shared" si="14"/>
        <v>0</v>
      </c>
      <c r="AZ99" s="3307">
        <f t="shared" si="15"/>
        <v>0</v>
      </c>
      <c r="BA99" s="3307">
        <f t="shared" si="16"/>
        <v>0</v>
      </c>
      <c r="BB99" s="3307">
        <f t="shared" si="17"/>
        <v>0</v>
      </c>
      <c r="BC99" s="3307">
        <f t="shared" si="18"/>
        <v>0</v>
      </c>
      <c r="BD99" s="3307">
        <f t="shared" si="19"/>
        <v>0</v>
      </c>
      <c r="BE99" s="3307">
        <f t="shared" si="20"/>
        <v>0</v>
      </c>
      <c r="BF99" s="3307">
        <f t="shared" si="21"/>
        <v>0</v>
      </c>
      <c r="BG99" s="3307">
        <f t="shared" si="22"/>
        <v>0</v>
      </c>
      <c r="BH99" s="3307">
        <f t="shared" si="23"/>
        <v>0</v>
      </c>
      <c r="BI99" s="3307">
        <f t="shared" si="24"/>
        <v>0</v>
      </c>
      <c r="BJ99" s="3307">
        <f t="shared" si="25"/>
        <v>0</v>
      </c>
      <c r="BK99" s="3307">
        <f t="shared" si="26"/>
        <v>0</v>
      </c>
      <c r="BL99" s="3307">
        <f t="shared" si="27"/>
        <v>0</v>
      </c>
      <c r="BM99" s="3307">
        <f t="shared" si="28"/>
        <v>0</v>
      </c>
      <c r="BN99" s="3307">
        <f t="shared" si="29"/>
        <v>0</v>
      </c>
      <c r="BO99" s="3307">
        <f t="shared" si="30"/>
        <v>0</v>
      </c>
      <c r="BP99" s="3307">
        <f t="shared" si="31"/>
        <v>0</v>
      </c>
      <c r="BQ99" s="3307">
        <f t="shared" si="32"/>
        <v>0</v>
      </c>
      <c r="BR99" s="3307">
        <f t="shared" si="33"/>
        <v>0</v>
      </c>
      <c r="BS99" s="3307">
        <f t="shared" si="34"/>
        <v>0</v>
      </c>
      <c r="BT99" s="3359">
        <f t="shared" si="35"/>
        <v>0</v>
      </c>
    </row>
    <row r="100" spans="1:72">
      <c r="A100" s="3304"/>
      <c r="B100" s="3305"/>
      <c r="C100" s="3305"/>
      <c r="D100" s="3306"/>
      <c r="E100" s="3307">
        <f t="shared" si="7"/>
        <v>0</v>
      </c>
      <c r="F100" s="3308"/>
      <c r="G100" s="3309">
        <f t="shared" si="8"/>
        <v>0</v>
      </c>
      <c r="H100" s="3310">
        <f t="shared" si="9"/>
        <v>0</v>
      </c>
      <c r="I100" s="3317"/>
      <c r="J100" s="3317"/>
      <c r="K100" s="3317"/>
      <c r="L100" s="3317"/>
      <c r="M100" s="3317"/>
      <c r="N100" s="3317"/>
      <c r="O100" s="3317"/>
      <c r="P100" s="3317"/>
      <c r="Q100" s="3317"/>
      <c r="R100" s="3317"/>
      <c r="S100" s="3317"/>
      <c r="T100" s="3317"/>
      <c r="U100" s="3317"/>
      <c r="V100" s="3317"/>
      <c r="W100" s="3317"/>
      <c r="X100" s="3317"/>
      <c r="Y100" s="3317"/>
      <c r="Z100" s="3317"/>
      <c r="AA100" s="3317"/>
      <c r="AB100" s="3317"/>
      <c r="AC100" s="3307">
        <f t="shared" si="10"/>
        <v>0</v>
      </c>
      <c r="AD100" s="3327"/>
      <c r="AE100" s="3327"/>
      <c r="AF100" s="3327"/>
      <c r="AG100" s="3327"/>
      <c r="AH100" s="3327"/>
      <c r="AI100" s="3327"/>
      <c r="AJ100" s="3327"/>
      <c r="AK100" s="3327"/>
      <c r="AL100" s="3327"/>
      <c r="AM100" s="3327"/>
      <c r="AN100" s="3327"/>
      <c r="AO100" s="3327"/>
      <c r="AP100" s="3327"/>
      <c r="AQ100" s="3327"/>
      <c r="AR100" s="3327"/>
      <c r="AS100" s="3327"/>
      <c r="AT100" s="3337"/>
      <c r="AU100" s="3338"/>
      <c r="AV100" s="1410">
        <f t="shared" si="11"/>
        <v>0</v>
      </c>
      <c r="AW100" s="1410">
        <f t="shared" si="12"/>
        <v>0</v>
      </c>
      <c r="AX100" s="1410">
        <f t="shared" si="13"/>
        <v>0</v>
      </c>
      <c r="AY100" s="3352">
        <f t="shared" si="14"/>
        <v>0</v>
      </c>
      <c r="AZ100" s="3307">
        <f t="shared" si="15"/>
        <v>0</v>
      </c>
      <c r="BA100" s="3307">
        <f t="shared" si="16"/>
        <v>0</v>
      </c>
      <c r="BB100" s="3307">
        <f t="shared" si="17"/>
        <v>0</v>
      </c>
      <c r="BC100" s="3307">
        <f t="shared" si="18"/>
        <v>0</v>
      </c>
      <c r="BD100" s="3307">
        <f t="shared" si="19"/>
        <v>0</v>
      </c>
      <c r="BE100" s="3307">
        <f t="shared" si="20"/>
        <v>0</v>
      </c>
      <c r="BF100" s="3307">
        <f t="shared" si="21"/>
        <v>0</v>
      </c>
      <c r="BG100" s="3307">
        <f t="shared" si="22"/>
        <v>0</v>
      </c>
      <c r="BH100" s="3307">
        <f t="shared" si="23"/>
        <v>0</v>
      </c>
      <c r="BI100" s="3307">
        <f t="shared" si="24"/>
        <v>0</v>
      </c>
      <c r="BJ100" s="3307">
        <f t="shared" si="25"/>
        <v>0</v>
      </c>
      <c r="BK100" s="3307">
        <f t="shared" si="26"/>
        <v>0</v>
      </c>
      <c r="BL100" s="3307">
        <f t="shared" si="27"/>
        <v>0</v>
      </c>
      <c r="BM100" s="3307">
        <f t="shared" si="28"/>
        <v>0</v>
      </c>
      <c r="BN100" s="3307">
        <f t="shared" si="29"/>
        <v>0</v>
      </c>
      <c r="BO100" s="3307">
        <f t="shared" si="30"/>
        <v>0</v>
      </c>
      <c r="BP100" s="3307">
        <f t="shared" si="31"/>
        <v>0</v>
      </c>
      <c r="BQ100" s="3307">
        <f t="shared" si="32"/>
        <v>0</v>
      </c>
      <c r="BR100" s="3307">
        <f t="shared" si="33"/>
        <v>0</v>
      </c>
      <c r="BS100" s="3307">
        <f t="shared" si="34"/>
        <v>0</v>
      </c>
      <c r="BT100" s="3359">
        <f t="shared" si="35"/>
        <v>0</v>
      </c>
    </row>
    <row r="101" spans="1:72">
      <c r="A101" s="3304"/>
      <c r="B101" s="3305"/>
      <c r="C101" s="3305"/>
      <c r="D101" s="3306"/>
      <c r="E101" s="3307">
        <f t="shared" si="7"/>
        <v>0</v>
      </c>
      <c r="F101" s="3308"/>
      <c r="G101" s="3309">
        <f t="shared" si="8"/>
        <v>0</v>
      </c>
      <c r="H101" s="3310">
        <f t="shared" si="9"/>
        <v>0</v>
      </c>
      <c r="I101" s="3317"/>
      <c r="J101" s="3317"/>
      <c r="K101" s="3317"/>
      <c r="L101" s="3317"/>
      <c r="M101" s="3317"/>
      <c r="N101" s="3317"/>
      <c r="O101" s="3317"/>
      <c r="P101" s="3317"/>
      <c r="Q101" s="3317"/>
      <c r="R101" s="3317"/>
      <c r="S101" s="3317"/>
      <c r="T101" s="3317"/>
      <c r="U101" s="3317"/>
      <c r="V101" s="3317"/>
      <c r="W101" s="3317"/>
      <c r="X101" s="3317"/>
      <c r="Y101" s="3317"/>
      <c r="Z101" s="3317"/>
      <c r="AA101" s="3317"/>
      <c r="AB101" s="3317"/>
      <c r="AC101" s="3307">
        <f t="shared" si="10"/>
        <v>0</v>
      </c>
      <c r="AD101" s="3327"/>
      <c r="AE101" s="3327"/>
      <c r="AF101" s="3327"/>
      <c r="AG101" s="3327"/>
      <c r="AH101" s="3327"/>
      <c r="AI101" s="3327"/>
      <c r="AJ101" s="3327"/>
      <c r="AK101" s="3327"/>
      <c r="AL101" s="3327"/>
      <c r="AM101" s="3327"/>
      <c r="AN101" s="3327"/>
      <c r="AO101" s="3327"/>
      <c r="AP101" s="3327"/>
      <c r="AQ101" s="3327"/>
      <c r="AR101" s="3327"/>
      <c r="AS101" s="3327"/>
      <c r="AT101" s="3337"/>
      <c r="AU101" s="3338"/>
      <c r="AV101" s="1410">
        <f t="shared" si="11"/>
        <v>0</v>
      </c>
      <c r="AW101" s="1410">
        <f t="shared" si="12"/>
        <v>0</v>
      </c>
      <c r="AX101" s="1410">
        <f t="shared" si="13"/>
        <v>0</v>
      </c>
      <c r="AY101" s="3352">
        <f t="shared" si="14"/>
        <v>0</v>
      </c>
      <c r="AZ101" s="3307">
        <f t="shared" si="15"/>
        <v>0</v>
      </c>
      <c r="BA101" s="3307">
        <f t="shared" si="16"/>
        <v>0</v>
      </c>
      <c r="BB101" s="3307">
        <f t="shared" si="17"/>
        <v>0</v>
      </c>
      <c r="BC101" s="3307">
        <f t="shared" si="18"/>
        <v>0</v>
      </c>
      <c r="BD101" s="3307">
        <f t="shared" si="19"/>
        <v>0</v>
      </c>
      <c r="BE101" s="3307">
        <f t="shared" si="20"/>
        <v>0</v>
      </c>
      <c r="BF101" s="3307">
        <f t="shared" si="21"/>
        <v>0</v>
      </c>
      <c r="BG101" s="3307">
        <f t="shared" si="22"/>
        <v>0</v>
      </c>
      <c r="BH101" s="3307">
        <f t="shared" si="23"/>
        <v>0</v>
      </c>
      <c r="BI101" s="3307">
        <f t="shared" si="24"/>
        <v>0</v>
      </c>
      <c r="BJ101" s="3307">
        <f t="shared" si="25"/>
        <v>0</v>
      </c>
      <c r="BK101" s="3307">
        <f t="shared" si="26"/>
        <v>0</v>
      </c>
      <c r="BL101" s="3307">
        <f t="shared" si="27"/>
        <v>0</v>
      </c>
      <c r="BM101" s="3307">
        <f t="shared" si="28"/>
        <v>0</v>
      </c>
      <c r="BN101" s="3307">
        <f t="shared" si="29"/>
        <v>0</v>
      </c>
      <c r="BO101" s="3307">
        <f t="shared" si="30"/>
        <v>0</v>
      </c>
      <c r="BP101" s="3307">
        <f t="shared" si="31"/>
        <v>0</v>
      </c>
      <c r="BQ101" s="3307">
        <f t="shared" si="32"/>
        <v>0</v>
      </c>
      <c r="BR101" s="3307">
        <f t="shared" si="33"/>
        <v>0</v>
      </c>
      <c r="BS101" s="3307">
        <f t="shared" si="34"/>
        <v>0</v>
      </c>
      <c r="BT101" s="3359">
        <f t="shared" si="35"/>
        <v>0</v>
      </c>
    </row>
    <row r="102" spans="1:72">
      <c r="A102" s="3304"/>
      <c r="B102" s="3305"/>
      <c r="C102" s="3305"/>
      <c r="D102" s="3306"/>
      <c r="E102" s="3307">
        <f t="shared" si="7"/>
        <v>0</v>
      </c>
      <c r="F102" s="3308"/>
      <c r="G102" s="3309">
        <f t="shared" si="8"/>
        <v>0</v>
      </c>
      <c r="H102" s="3310">
        <f t="shared" si="9"/>
        <v>0</v>
      </c>
      <c r="I102" s="3317"/>
      <c r="J102" s="3317"/>
      <c r="K102" s="3317"/>
      <c r="L102" s="3317"/>
      <c r="M102" s="3317"/>
      <c r="N102" s="3317"/>
      <c r="O102" s="3317"/>
      <c r="P102" s="3317"/>
      <c r="Q102" s="3317"/>
      <c r="R102" s="3317"/>
      <c r="S102" s="3317"/>
      <c r="T102" s="3317"/>
      <c r="U102" s="3317"/>
      <c r="V102" s="3317"/>
      <c r="W102" s="3317"/>
      <c r="X102" s="3317"/>
      <c r="Y102" s="3317"/>
      <c r="Z102" s="3317"/>
      <c r="AA102" s="3317"/>
      <c r="AB102" s="3317"/>
      <c r="AC102" s="3307">
        <f t="shared" si="10"/>
        <v>0</v>
      </c>
      <c r="AD102" s="3327"/>
      <c r="AE102" s="3327"/>
      <c r="AF102" s="3327"/>
      <c r="AG102" s="3327"/>
      <c r="AH102" s="3327"/>
      <c r="AI102" s="3327"/>
      <c r="AJ102" s="3327"/>
      <c r="AK102" s="3327"/>
      <c r="AL102" s="3327"/>
      <c r="AM102" s="3327"/>
      <c r="AN102" s="3327"/>
      <c r="AO102" s="3327"/>
      <c r="AP102" s="3327"/>
      <c r="AQ102" s="3327"/>
      <c r="AR102" s="3327"/>
      <c r="AS102" s="3327"/>
      <c r="AT102" s="3337"/>
      <c r="AU102" s="3338"/>
      <c r="AV102" s="1410">
        <f t="shared" si="11"/>
        <v>0</v>
      </c>
      <c r="AW102" s="1410">
        <f t="shared" si="12"/>
        <v>0</v>
      </c>
      <c r="AX102" s="1410">
        <f t="shared" si="13"/>
        <v>0</v>
      </c>
      <c r="AY102" s="3352">
        <f t="shared" si="14"/>
        <v>0</v>
      </c>
      <c r="AZ102" s="3307">
        <f t="shared" si="15"/>
        <v>0</v>
      </c>
      <c r="BA102" s="3307">
        <f t="shared" si="16"/>
        <v>0</v>
      </c>
      <c r="BB102" s="3307">
        <f t="shared" si="17"/>
        <v>0</v>
      </c>
      <c r="BC102" s="3307">
        <f t="shared" si="18"/>
        <v>0</v>
      </c>
      <c r="BD102" s="3307">
        <f t="shared" si="19"/>
        <v>0</v>
      </c>
      <c r="BE102" s="3307">
        <f t="shared" si="20"/>
        <v>0</v>
      </c>
      <c r="BF102" s="3307">
        <f t="shared" si="21"/>
        <v>0</v>
      </c>
      <c r="BG102" s="3307">
        <f t="shared" si="22"/>
        <v>0</v>
      </c>
      <c r="BH102" s="3307">
        <f t="shared" si="23"/>
        <v>0</v>
      </c>
      <c r="BI102" s="3307">
        <f t="shared" si="24"/>
        <v>0</v>
      </c>
      <c r="BJ102" s="3307">
        <f t="shared" si="25"/>
        <v>0</v>
      </c>
      <c r="BK102" s="3307">
        <f t="shared" si="26"/>
        <v>0</v>
      </c>
      <c r="BL102" s="3307">
        <f t="shared" si="27"/>
        <v>0</v>
      </c>
      <c r="BM102" s="3307">
        <f t="shared" si="28"/>
        <v>0</v>
      </c>
      <c r="BN102" s="3307">
        <f t="shared" si="29"/>
        <v>0</v>
      </c>
      <c r="BO102" s="3307">
        <f t="shared" si="30"/>
        <v>0</v>
      </c>
      <c r="BP102" s="3307">
        <f t="shared" si="31"/>
        <v>0</v>
      </c>
      <c r="BQ102" s="3307">
        <f t="shared" si="32"/>
        <v>0</v>
      </c>
      <c r="BR102" s="3307">
        <f t="shared" si="33"/>
        <v>0</v>
      </c>
      <c r="BS102" s="3307">
        <f t="shared" si="34"/>
        <v>0</v>
      </c>
      <c r="BT102" s="3359">
        <f t="shared" si="35"/>
        <v>0</v>
      </c>
    </row>
    <row r="103" spans="1:72">
      <c r="A103" s="3304"/>
      <c r="B103" s="3305"/>
      <c r="C103" s="3305"/>
      <c r="D103" s="3306"/>
      <c r="E103" s="3307">
        <f t="shared" si="7"/>
        <v>0</v>
      </c>
      <c r="F103" s="3308"/>
      <c r="G103" s="3309">
        <f t="shared" si="8"/>
        <v>0</v>
      </c>
      <c r="H103" s="3310">
        <f t="shared" si="9"/>
        <v>0</v>
      </c>
      <c r="I103" s="3317"/>
      <c r="J103" s="3317"/>
      <c r="K103" s="3317"/>
      <c r="L103" s="3317"/>
      <c r="M103" s="3317"/>
      <c r="N103" s="3317"/>
      <c r="O103" s="3317"/>
      <c r="P103" s="3317"/>
      <c r="Q103" s="3317"/>
      <c r="R103" s="3317"/>
      <c r="S103" s="3317"/>
      <c r="T103" s="3317"/>
      <c r="U103" s="3317"/>
      <c r="V103" s="3317"/>
      <c r="W103" s="3317"/>
      <c r="X103" s="3317"/>
      <c r="Y103" s="3317"/>
      <c r="Z103" s="3317"/>
      <c r="AA103" s="3317"/>
      <c r="AB103" s="3317"/>
      <c r="AC103" s="3307">
        <f t="shared" si="10"/>
        <v>0</v>
      </c>
      <c r="AD103" s="3327"/>
      <c r="AE103" s="3327"/>
      <c r="AF103" s="3327"/>
      <c r="AG103" s="3327"/>
      <c r="AH103" s="3327"/>
      <c r="AI103" s="3327"/>
      <c r="AJ103" s="3327"/>
      <c r="AK103" s="3327"/>
      <c r="AL103" s="3327"/>
      <c r="AM103" s="3327"/>
      <c r="AN103" s="3327"/>
      <c r="AO103" s="3327"/>
      <c r="AP103" s="3327"/>
      <c r="AQ103" s="3327"/>
      <c r="AR103" s="3327"/>
      <c r="AS103" s="3327"/>
      <c r="AT103" s="3337"/>
      <c r="AU103" s="3338"/>
      <c r="AV103" s="1410">
        <f t="shared" si="11"/>
        <v>0</v>
      </c>
      <c r="AW103" s="1410">
        <f t="shared" si="12"/>
        <v>0</v>
      </c>
      <c r="AX103" s="1410">
        <f t="shared" si="13"/>
        <v>0</v>
      </c>
      <c r="AY103" s="3352">
        <f t="shared" si="14"/>
        <v>0</v>
      </c>
      <c r="AZ103" s="3307">
        <f t="shared" si="15"/>
        <v>0</v>
      </c>
      <c r="BA103" s="3307">
        <f t="shared" si="16"/>
        <v>0</v>
      </c>
      <c r="BB103" s="3307">
        <f t="shared" si="17"/>
        <v>0</v>
      </c>
      <c r="BC103" s="3307">
        <f t="shared" si="18"/>
        <v>0</v>
      </c>
      <c r="BD103" s="3307">
        <f t="shared" si="19"/>
        <v>0</v>
      </c>
      <c r="BE103" s="3307">
        <f t="shared" si="20"/>
        <v>0</v>
      </c>
      <c r="BF103" s="3307">
        <f t="shared" si="21"/>
        <v>0</v>
      </c>
      <c r="BG103" s="3307">
        <f t="shared" si="22"/>
        <v>0</v>
      </c>
      <c r="BH103" s="3307">
        <f t="shared" si="23"/>
        <v>0</v>
      </c>
      <c r="BI103" s="3307">
        <f t="shared" si="24"/>
        <v>0</v>
      </c>
      <c r="BJ103" s="3307">
        <f t="shared" si="25"/>
        <v>0</v>
      </c>
      <c r="BK103" s="3307">
        <f t="shared" si="26"/>
        <v>0</v>
      </c>
      <c r="BL103" s="3307">
        <f t="shared" si="27"/>
        <v>0</v>
      </c>
      <c r="BM103" s="3307">
        <f t="shared" si="28"/>
        <v>0</v>
      </c>
      <c r="BN103" s="3307">
        <f t="shared" si="29"/>
        <v>0</v>
      </c>
      <c r="BO103" s="3307">
        <f t="shared" si="30"/>
        <v>0</v>
      </c>
      <c r="BP103" s="3307">
        <f t="shared" si="31"/>
        <v>0</v>
      </c>
      <c r="BQ103" s="3307">
        <f t="shared" si="32"/>
        <v>0</v>
      </c>
      <c r="BR103" s="3307">
        <f t="shared" si="33"/>
        <v>0</v>
      </c>
      <c r="BS103" s="3307">
        <f t="shared" si="34"/>
        <v>0</v>
      </c>
      <c r="BT103" s="3359">
        <f t="shared" si="35"/>
        <v>0</v>
      </c>
    </row>
    <row r="104" spans="1:72">
      <c r="A104" s="3304"/>
      <c r="B104" s="3305"/>
      <c r="C104" s="3305"/>
      <c r="D104" s="3306"/>
      <c r="E104" s="3307">
        <f t="shared" si="7"/>
        <v>0</v>
      </c>
      <c r="F104" s="3308"/>
      <c r="G104" s="3309">
        <f t="shared" si="8"/>
        <v>0</v>
      </c>
      <c r="H104" s="3310">
        <f t="shared" si="9"/>
        <v>0</v>
      </c>
      <c r="I104" s="3317"/>
      <c r="J104" s="3317"/>
      <c r="K104" s="3317"/>
      <c r="L104" s="3317"/>
      <c r="M104" s="3317"/>
      <c r="N104" s="3317"/>
      <c r="O104" s="3317"/>
      <c r="P104" s="3317"/>
      <c r="Q104" s="3317"/>
      <c r="R104" s="3317"/>
      <c r="S104" s="3317"/>
      <c r="T104" s="3317"/>
      <c r="U104" s="3317"/>
      <c r="V104" s="3317"/>
      <c r="W104" s="3317"/>
      <c r="X104" s="3317"/>
      <c r="Y104" s="3317"/>
      <c r="Z104" s="3317"/>
      <c r="AA104" s="3317"/>
      <c r="AB104" s="3317"/>
      <c r="AC104" s="3307">
        <f t="shared" si="10"/>
        <v>0</v>
      </c>
      <c r="AD104" s="3327"/>
      <c r="AE104" s="3327"/>
      <c r="AF104" s="3327"/>
      <c r="AG104" s="3327"/>
      <c r="AH104" s="3327"/>
      <c r="AI104" s="3327"/>
      <c r="AJ104" s="3327"/>
      <c r="AK104" s="3327"/>
      <c r="AL104" s="3327"/>
      <c r="AM104" s="3327"/>
      <c r="AN104" s="3327"/>
      <c r="AO104" s="3327"/>
      <c r="AP104" s="3327"/>
      <c r="AQ104" s="3327"/>
      <c r="AR104" s="3327"/>
      <c r="AS104" s="3327"/>
      <c r="AT104" s="3337"/>
      <c r="AU104" s="3338"/>
      <c r="AV104" s="1410">
        <f t="shared" si="11"/>
        <v>0</v>
      </c>
      <c r="AW104" s="1410">
        <f t="shared" si="12"/>
        <v>0</v>
      </c>
      <c r="AX104" s="1410">
        <f t="shared" si="13"/>
        <v>0</v>
      </c>
      <c r="AY104" s="3352">
        <f t="shared" si="14"/>
        <v>0</v>
      </c>
      <c r="AZ104" s="3307">
        <f t="shared" si="15"/>
        <v>0</v>
      </c>
      <c r="BA104" s="3307">
        <f t="shared" si="16"/>
        <v>0</v>
      </c>
      <c r="BB104" s="3307">
        <f t="shared" si="17"/>
        <v>0</v>
      </c>
      <c r="BC104" s="3307">
        <f t="shared" si="18"/>
        <v>0</v>
      </c>
      <c r="BD104" s="3307">
        <f t="shared" si="19"/>
        <v>0</v>
      </c>
      <c r="BE104" s="3307">
        <f t="shared" si="20"/>
        <v>0</v>
      </c>
      <c r="BF104" s="3307">
        <f t="shared" si="21"/>
        <v>0</v>
      </c>
      <c r="BG104" s="3307">
        <f t="shared" si="22"/>
        <v>0</v>
      </c>
      <c r="BH104" s="3307">
        <f t="shared" si="23"/>
        <v>0</v>
      </c>
      <c r="BI104" s="3307">
        <f t="shared" si="24"/>
        <v>0</v>
      </c>
      <c r="BJ104" s="3307">
        <f t="shared" si="25"/>
        <v>0</v>
      </c>
      <c r="BK104" s="3307">
        <f t="shared" si="26"/>
        <v>0</v>
      </c>
      <c r="BL104" s="3307">
        <f t="shared" si="27"/>
        <v>0</v>
      </c>
      <c r="BM104" s="3307">
        <f t="shared" si="28"/>
        <v>0</v>
      </c>
      <c r="BN104" s="3307">
        <f t="shared" si="29"/>
        <v>0</v>
      </c>
      <c r="BO104" s="3307">
        <f t="shared" si="30"/>
        <v>0</v>
      </c>
      <c r="BP104" s="3307">
        <f t="shared" si="31"/>
        <v>0</v>
      </c>
      <c r="BQ104" s="3307">
        <f t="shared" si="32"/>
        <v>0</v>
      </c>
      <c r="BR104" s="3307">
        <f t="shared" si="33"/>
        <v>0</v>
      </c>
      <c r="BS104" s="3307">
        <f t="shared" si="34"/>
        <v>0</v>
      </c>
      <c r="BT104" s="3359">
        <f t="shared" si="35"/>
        <v>0</v>
      </c>
    </row>
    <row r="105" spans="1:72">
      <c r="A105" s="3304"/>
      <c r="B105" s="3305"/>
      <c r="C105" s="3305"/>
      <c r="D105" s="3306"/>
      <c r="E105" s="3307">
        <f t="shared" si="7"/>
        <v>0</v>
      </c>
      <c r="F105" s="3308"/>
      <c r="G105" s="3309">
        <f t="shared" si="8"/>
        <v>0</v>
      </c>
      <c r="H105" s="3310">
        <f t="shared" si="9"/>
        <v>0</v>
      </c>
      <c r="I105" s="3317"/>
      <c r="J105" s="3317"/>
      <c r="K105" s="3317"/>
      <c r="L105" s="3317"/>
      <c r="M105" s="3317"/>
      <c r="N105" s="3317"/>
      <c r="O105" s="3317"/>
      <c r="P105" s="3317"/>
      <c r="Q105" s="3317"/>
      <c r="R105" s="3317"/>
      <c r="S105" s="3317"/>
      <c r="T105" s="3317"/>
      <c r="U105" s="3317"/>
      <c r="V105" s="3317"/>
      <c r="W105" s="3317"/>
      <c r="X105" s="3317"/>
      <c r="Y105" s="3317"/>
      <c r="Z105" s="3317"/>
      <c r="AA105" s="3317"/>
      <c r="AB105" s="3317"/>
      <c r="AC105" s="3307">
        <f t="shared" si="10"/>
        <v>0</v>
      </c>
      <c r="AD105" s="3327"/>
      <c r="AE105" s="3327"/>
      <c r="AF105" s="3327"/>
      <c r="AG105" s="3327"/>
      <c r="AH105" s="3327"/>
      <c r="AI105" s="3327"/>
      <c r="AJ105" s="3327"/>
      <c r="AK105" s="3327"/>
      <c r="AL105" s="3327"/>
      <c r="AM105" s="3327"/>
      <c r="AN105" s="3327"/>
      <c r="AO105" s="3327"/>
      <c r="AP105" s="3327"/>
      <c r="AQ105" s="3327"/>
      <c r="AR105" s="3327"/>
      <c r="AS105" s="3327"/>
      <c r="AT105" s="3337"/>
      <c r="AU105" s="3338"/>
      <c r="AV105" s="1410">
        <f t="shared" si="11"/>
        <v>0</v>
      </c>
      <c r="AW105" s="1410">
        <f t="shared" si="12"/>
        <v>0</v>
      </c>
      <c r="AX105" s="1410">
        <f t="shared" si="13"/>
        <v>0</v>
      </c>
      <c r="AY105" s="3352">
        <f t="shared" si="14"/>
        <v>0</v>
      </c>
      <c r="AZ105" s="3307">
        <f t="shared" si="15"/>
        <v>0</v>
      </c>
      <c r="BA105" s="3307">
        <f t="shared" si="16"/>
        <v>0</v>
      </c>
      <c r="BB105" s="3307">
        <f t="shared" si="17"/>
        <v>0</v>
      </c>
      <c r="BC105" s="3307">
        <f t="shared" si="18"/>
        <v>0</v>
      </c>
      <c r="BD105" s="3307">
        <f t="shared" si="19"/>
        <v>0</v>
      </c>
      <c r="BE105" s="3307">
        <f t="shared" si="20"/>
        <v>0</v>
      </c>
      <c r="BF105" s="3307">
        <f t="shared" si="21"/>
        <v>0</v>
      </c>
      <c r="BG105" s="3307">
        <f t="shared" si="22"/>
        <v>0</v>
      </c>
      <c r="BH105" s="3307">
        <f t="shared" si="23"/>
        <v>0</v>
      </c>
      <c r="BI105" s="3307">
        <f t="shared" si="24"/>
        <v>0</v>
      </c>
      <c r="BJ105" s="3307">
        <f t="shared" si="25"/>
        <v>0</v>
      </c>
      <c r="BK105" s="3307">
        <f t="shared" si="26"/>
        <v>0</v>
      </c>
      <c r="BL105" s="3307">
        <f t="shared" si="27"/>
        <v>0</v>
      </c>
      <c r="BM105" s="3307">
        <f t="shared" si="28"/>
        <v>0</v>
      </c>
      <c r="BN105" s="3307">
        <f t="shared" si="29"/>
        <v>0</v>
      </c>
      <c r="BO105" s="3307">
        <f t="shared" si="30"/>
        <v>0</v>
      </c>
      <c r="BP105" s="3307">
        <f t="shared" si="31"/>
        <v>0</v>
      </c>
      <c r="BQ105" s="3307">
        <f t="shared" si="32"/>
        <v>0</v>
      </c>
      <c r="BR105" s="3307">
        <f t="shared" si="33"/>
        <v>0</v>
      </c>
      <c r="BS105" s="3307">
        <f t="shared" si="34"/>
        <v>0</v>
      </c>
      <c r="BT105" s="3359">
        <f t="shared" si="35"/>
        <v>0</v>
      </c>
    </row>
    <row r="106" spans="1:72">
      <c r="A106" s="3304"/>
      <c r="B106" s="3305"/>
      <c r="C106" s="3305"/>
      <c r="D106" s="3306"/>
      <c r="E106" s="3307">
        <f t="shared" si="7"/>
        <v>0</v>
      </c>
      <c r="F106" s="3308"/>
      <c r="G106" s="3309">
        <f t="shared" si="8"/>
        <v>0</v>
      </c>
      <c r="H106" s="3310">
        <f t="shared" si="9"/>
        <v>0</v>
      </c>
      <c r="I106" s="3317"/>
      <c r="J106" s="3317"/>
      <c r="K106" s="3317"/>
      <c r="L106" s="3317"/>
      <c r="M106" s="3317"/>
      <c r="N106" s="3317"/>
      <c r="O106" s="3317"/>
      <c r="P106" s="3317"/>
      <c r="Q106" s="3317"/>
      <c r="R106" s="3317"/>
      <c r="S106" s="3317"/>
      <c r="T106" s="3317"/>
      <c r="U106" s="3317"/>
      <c r="V106" s="3317"/>
      <c r="W106" s="3317"/>
      <c r="X106" s="3317"/>
      <c r="Y106" s="3317"/>
      <c r="Z106" s="3317"/>
      <c r="AA106" s="3317"/>
      <c r="AB106" s="3317"/>
      <c r="AC106" s="3307">
        <f t="shared" si="10"/>
        <v>0</v>
      </c>
      <c r="AD106" s="3327"/>
      <c r="AE106" s="3327"/>
      <c r="AF106" s="3327"/>
      <c r="AG106" s="3327"/>
      <c r="AH106" s="3327"/>
      <c r="AI106" s="3327"/>
      <c r="AJ106" s="3327"/>
      <c r="AK106" s="3327"/>
      <c r="AL106" s="3327"/>
      <c r="AM106" s="3327"/>
      <c r="AN106" s="3327"/>
      <c r="AO106" s="3327"/>
      <c r="AP106" s="3327"/>
      <c r="AQ106" s="3327"/>
      <c r="AR106" s="3327"/>
      <c r="AS106" s="3327"/>
      <c r="AT106" s="3337"/>
      <c r="AU106" s="3338"/>
      <c r="AV106" s="1410">
        <f t="shared" si="11"/>
        <v>0</v>
      </c>
      <c r="AW106" s="1410">
        <f t="shared" si="12"/>
        <v>0</v>
      </c>
      <c r="AX106" s="1410">
        <f t="shared" si="13"/>
        <v>0</v>
      </c>
      <c r="AY106" s="3352">
        <f t="shared" si="14"/>
        <v>0</v>
      </c>
      <c r="AZ106" s="3307">
        <f t="shared" si="15"/>
        <v>0</v>
      </c>
      <c r="BA106" s="3307">
        <f t="shared" si="16"/>
        <v>0</v>
      </c>
      <c r="BB106" s="3307">
        <f t="shared" si="17"/>
        <v>0</v>
      </c>
      <c r="BC106" s="3307">
        <f t="shared" si="18"/>
        <v>0</v>
      </c>
      <c r="BD106" s="3307">
        <f t="shared" si="19"/>
        <v>0</v>
      </c>
      <c r="BE106" s="3307">
        <f t="shared" si="20"/>
        <v>0</v>
      </c>
      <c r="BF106" s="3307">
        <f t="shared" si="21"/>
        <v>0</v>
      </c>
      <c r="BG106" s="3307">
        <f t="shared" si="22"/>
        <v>0</v>
      </c>
      <c r="BH106" s="3307">
        <f t="shared" si="23"/>
        <v>0</v>
      </c>
      <c r="BI106" s="3307">
        <f t="shared" si="24"/>
        <v>0</v>
      </c>
      <c r="BJ106" s="3307">
        <f t="shared" si="25"/>
        <v>0</v>
      </c>
      <c r="BK106" s="3307">
        <f t="shared" si="26"/>
        <v>0</v>
      </c>
      <c r="BL106" s="3307">
        <f t="shared" si="27"/>
        <v>0</v>
      </c>
      <c r="BM106" s="3307">
        <f t="shared" si="28"/>
        <v>0</v>
      </c>
      <c r="BN106" s="3307">
        <f t="shared" si="29"/>
        <v>0</v>
      </c>
      <c r="BO106" s="3307">
        <f t="shared" si="30"/>
        <v>0</v>
      </c>
      <c r="BP106" s="3307">
        <f t="shared" si="31"/>
        <v>0</v>
      </c>
      <c r="BQ106" s="3307">
        <f t="shared" si="32"/>
        <v>0</v>
      </c>
      <c r="BR106" s="3307">
        <f t="shared" si="33"/>
        <v>0</v>
      </c>
      <c r="BS106" s="3307">
        <f t="shared" si="34"/>
        <v>0</v>
      </c>
      <c r="BT106" s="3359">
        <f t="shared" si="35"/>
        <v>0</v>
      </c>
    </row>
    <row r="107" spans="1:72">
      <c r="A107" s="3304"/>
      <c r="B107" s="3305"/>
      <c r="C107" s="3305"/>
      <c r="D107" s="3306"/>
      <c r="E107" s="3307">
        <f t="shared" si="7"/>
        <v>0</v>
      </c>
      <c r="F107" s="3308"/>
      <c r="G107" s="3309">
        <f t="shared" si="8"/>
        <v>0</v>
      </c>
      <c r="H107" s="3310">
        <f t="shared" si="9"/>
        <v>0</v>
      </c>
      <c r="I107" s="3317"/>
      <c r="J107" s="3317"/>
      <c r="K107" s="3317"/>
      <c r="L107" s="3317"/>
      <c r="M107" s="3317"/>
      <c r="N107" s="3317"/>
      <c r="O107" s="3317"/>
      <c r="P107" s="3317"/>
      <c r="Q107" s="3317"/>
      <c r="R107" s="3317"/>
      <c r="S107" s="3317"/>
      <c r="T107" s="3317"/>
      <c r="U107" s="3317"/>
      <c r="V107" s="3317"/>
      <c r="W107" s="3317"/>
      <c r="X107" s="3317"/>
      <c r="Y107" s="3317"/>
      <c r="Z107" s="3317"/>
      <c r="AA107" s="3317"/>
      <c r="AB107" s="3317"/>
      <c r="AC107" s="3307">
        <f t="shared" si="10"/>
        <v>0</v>
      </c>
      <c r="AD107" s="3327"/>
      <c r="AE107" s="3327"/>
      <c r="AF107" s="3327"/>
      <c r="AG107" s="3327"/>
      <c r="AH107" s="3327"/>
      <c r="AI107" s="3327"/>
      <c r="AJ107" s="3327"/>
      <c r="AK107" s="3327"/>
      <c r="AL107" s="3327"/>
      <c r="AM107" s="3327"/>
      <c r="AN107" s="3327"/>
      <c r="AO107" s="3327"/>
      <c r="AP107" s="3327"/>
      <c r="AQ107" s="3327"/>
      <c r="AR107" s="3327"/>
      <c r="AS107" s="3327"/>
      <c r="AT107" s="3337"/>
      <c r="AU107" s="3338"/>
      <c r="AV107" s="1410">
        <f t="shared" si="11"/>
        <v>0</v>
      </c>
      <c r="AW107" s="1410">
        <f t="shared" si="12"/>
        <v>0</v>
      </c>
      <c r="AX107" s="1410">
        <f t="shared" si="13"/>
        <v>0</v>
      </c>
      <c r="AY107" s="3352">
        <f t="shared" si="14"/>
        <v>0</v>
      </c>
      <c r="AZ107" s="3307">
        <f t="shared" si="15"/>
        <v>0</v>
      </c>
      <c r="BA107" s="3307">
        <f t="shared" si="16"/>
        <v>0</v>
      </c>
      <c r="BB107" s="3307">
        <f t="shared" si="17"/>
        <v>0</v>
      </c>
      <c r="BC107" s="3307">
        <f t="shared" si="18"/>
        <v>0</v>
      </c>
      <c r="BD107" s="3307">
        <f t="shared" si="19"/>
        <v>0</v>
      </c>
      <c r="BE107" s="3307">
        <f t="shared" si="20"/>
        <v>0</v>
      </c>
      <c r="BF107" s="3307">
        <f t="shared" si="21"/>
        <v>0</v>
      </c>
      <c r="BG107" s="3307">
        <f t="shared" si="22"/>
        <v>0</v>
      </c>
      <c r="BH107" s="3307">
        <f t="shared" si="23"/>
        <v>0</v>
      </c>
      <c r="BI107" s="3307">
        <f t="shared" si="24"/>
        <v>0</v>
      </c>
      <c r="BJ107" s="3307">
        <f t="shared" si="25"/>
        <v>0</v>
      </c>
      <c r="BK107" s="3307">
        <f t="shared" si="26"/>
        <v>0</v>
      </c>
      <c r="BL107" s="3307">
        <f t="shared" si="27"/>
        <v>0</v>
      </c>
      <c r="BM107" s="3307">
        <f t="shared" si="28"/>
        <v>0</v>
      </c>
      <c r="BN107" s="3307">
        <f t="shared" si="29"/>
        <v>0</v>
      </c>
      <c r="BO107" s="3307">
        <f t="shared" si="30"/>
        <v>0</v>
      </c>
      <c r="BP107" s="3307">
        <f t="shared" si="31"/>
        <v>0</v>
      </c>
      <c r="BQ107" s="3307">
        <f t="shared" si="32"/>
        <v>0</v>
      </c>
      <c r="BR107" s="3307">
        <f t="shared" si="33"/>
        <v>0</v>
      </c>
      <c r="BS107" s="3307">
        <f t="shared" si="34"/>
        <v>0</v>
      </c>
      <c r="BT107" s="3359">
        <f t="shared" si="35"/>
        <v>0</v>
      </c>
    </row>
    <row r="108" spans="1:72">
      <c r="A108" s="3304"/>
      <c r="B108" s="3305"/>
      <c r="C108" s="3305"/>
      <c r="D108" s="3306"/>
      <c r="E108" s="3307">
        <f t="shared" si="7"/>
        <v>0</v>
      </c>
      <c r="F108" s="3308"/>
      <c r="G108" s="3309">
        <f t="shared" si="8"/>
        <v>0</v>
      </c>
      <c r="H108" s="3310">
        <f t="shared" si="9"/>
        <v>0</v>
      </c>
      <c r="I108" s="3317"/>
      <c r="J108" s="3317"/>
      <c r="K108" s="3317"/>
      <c r="L108" s="3317"/>
      <c r="M108" s="3317"/>
      <c r="N108" s="3317"/>
      <c r="O108" s="3317"/>
      <c r="P108" s="3317"/>
      <c r="Q108" s="3317"/>
      <c r="R108" s="3317"/>
      <c r="S108" s="3317"/>
      <c r="T108" s="3317"/>
      <c r="U108" s="3317"/>
      <c r="V108" s="3317"/>
      <c r="W108" s="3317"/>
      <c r="X108" s="3317"/>
      <c r="Y108" s="3317"/>
      <c r="Z108" s="3317"/>
      <c r="AA108" s="3317"/>
      <c r="AB108" s="3317"/>
      <c r="AC108" s="3307">
        <f t="shared" si="10"/>
        <v>0</v>
      </c>
      <c r="AD108" s="3327"/>
      <c r="AE108" s="3327"/>
      <c r="AF108" s="3327"/>
      <c r="AG108" s="3327"/>
      <c r="AH108" s="3327"/>
      <c r="AI108" s="3327"/>
      <c r="AJ108" s="3327"/>
      <c r="AK108" s="3327"/>
      <c r="AL108" s="3327"/>
      <c r="AM108" s="3327"/>
      <c r="AN108" s="3327"/>
      <c r="AO108" s="3327"/>
      <c r="AP108" s="3327"/>
      <c r="AQ108" s="3327"/>
      <c r="AR108" s="3327"/>
      <c r="AS108" s="3327"/>
      <c r="AT108" s="3337"/>
      <c r="AU108" s="3338"/>
      <c r="AV108" s="1410">
        <f t="shared" si="11"/>
        <v>0</v>
      </c>
      <c r="AW108" s="1410">
        <f t="shared" si="12"/>
        <v>0</v>
      </c>
      <c r="AX108" s="1410">
        <f t="shared" si="13"/>
        <v>0</v>
      </c>
      <c r="AY108" s="3352">
        <f t="shared" si="14"/>
        <v>0</v>
      </c>
      <c r="AZ108" s="3307">
        <f t="shared" si="15"/>
        <v>0</v>
      </c>
      <c r="BA108" s="3307">
        <f t="shared" si="16"/>
        <v>0</v>
      </c>
      <c r="BB108" s="3307">
        <f t="shared" si="17"/>
        <v>0</v>
      </c>
      <c r="BC108" s="3307">
        <f t="shared" si="18"/>
        <v>0</v>
      </c>
      <c r="BD108" s="3307">
        <f t="shared" si="19"/>
        <v>0</v>
      </c>
      <c r="BE108" s="3307">
        <f t="shared" si="20"/>
        <v>0</v>
      </c>
      <c r="BF108" s="3307">
        <f t="shared" si="21"/>
        <v>0</v>
      </c>
      <c r="BG108" s="3307">
        <f t="shared" si="22"/>
        <v>0</v>
      </c>
      <c r="BH108" s="3307">
        <f t="shared" si="23"/>
        <v>0</v>
      </c>
      <c r="BI108" s="3307">
        <f t="shared" si="24"/>
        <v>0</v>
      </c>
      <c r="BJ108" s="3307">
        <f t="shared" si="25"/>
        <v>0</v>
      </c>
      <c r="BK108" s="3307">
        <f t="shared" si="26"/>
        <v>0</v>
      </c>
      <c r="BL108" s="3307">
        <f t="shared" si="27"/>
        <v>0</v>
      </c>
      <c r="BM108" s="3307">
        <f t="shared" si="28"/>
        <v>0</v>
      </c>
      <c r="BN108" s="3307">
        <f t="shared" si="29"/>
        <v>0</v>
      </c>
      <c r="BO108" s="3307">
        <f t="shared" si="30"/>
        <v>0</v>
      </c>
      <c r="BP108" s="3307">
        <f t="shared" si="31"/>
        <v>0</v>
      </c>
      <c r="BQ108" s="3307">
        <f t="shared" si="32"/>
        <v>0</v>
      </c>
      <c r="BR108" s="3307">
        <f t="shared" si="33"/>
        <v>0</v>
      </c>
      <c r="BS108" s="3307">
        <f t="shared" si="34"/>
        <v>0</v>
      </c>
      <c r="BT108" s="3359">
        <f t="shared" si="35"/>
        <v>0</v>
      </c>
    </row>
    <row r="109" spans="1:72">
      <c r="A109" s="3304"/>
      <c r="B109" s="3305"/>
      <c r="C109" s="3305"/>
      <c r="D109" s="3306"/>
      <c r="E109" s="3307">
        <f t="shared" si="7"/>
        <v>0</v>
      </c>
      <c r="F109" s="3308"/>
      <c r="G109" s="3309">
        <f t="shared" si="8"/>
        <v>0</v>
      </c>
      <c r="H109" s="3310">
        <f t="shared" si="9"/>
        <v>0</v>
      </c>
      <c r="I109" s="3317"/>
      <c r="J109" s="3317"/>
      <c r="K109" s="3317"/>
      <c r="L109" s="3317"/>
      <c r="M109" s="3317"/>
      <c r="N109" s="3317"/>
      <c r="O109" s="3317"/>
      <c r="P109" s="3317"/>
      <c r="Q109" s="3317"/>
      <c r="R109" s="3317"/>
      <c r="S109" s="3317"/>
      <c r="T109" s="3317"/>
      <c r="U109" s="3317"/>
      <c r="V109" s="3317"/>
      <c r="W109" s="3317"/>
      <c r="X109" s="3317"/>
      <c r="Y109" s="3317"/>
      <c r="Z109" s="3317"/>
      <c r="AA109" s="3317"/>
      <c r="AB109" s="3317"/>
      <c r="AC109" s="3307">
        <f t="shared" si="10"/>
        <v>0</v>
      </c>
      <c r="AD109" s="3327"/>
      <c r="AE109" s="3327"/>
      <c r="AF109" s="3327"/>
      <c r="AG109" s="3327"/>
      <c r="AH109" s="3327"/>
      <c r="AI109" s="3327"/>
      <c r="AJ109" s="3327"/>
      <c r="AK109" s="3327"/>
      <c r="AL109" s="3327"/>
      <c r="AM109" s="3327"/>
      <c r="AN109" s="3327"/>
      <c r="AO109" s="3327"/>
      <c r="AP109" s="3327"/>
      <c r="AQ109" s="3327"/>
      <c r="AR109" s="3327"/>
      <c r="AS109" s="3327"/>
      <c r="AT109" s="3337"/>
      <c r="AU109" s="3338"/>
      <c r="AV109" s="1410">
        <f t="shared" si="11"/>
        <v>0</v>
      </c>
      <c r="AW109" s="1410">
        <f t="shared" si="12"/>
        <v>0</v>
      </c>
      <c r="AX109" s="1410">
        <f t="shared" si="13"/>
        <v>0</v>
      </c>
      <c r="AY109" s="3352">
        <f t="shared" si="14"/>
        <v>0</v>
      </c>
      <c r="AZ109" s="3307">
        <f t="shared" si="15"/>
        <v>0</v>
      </c>
      <c r="BA109" s="3307">
        <f t="shared" si="16"/>
        <v>0</v>
      </c>
      <c r="BB109" s="3307">
        <f t="shared" si="17"/>
        <v>0</v>
      </c>
      <c r="BC109" s="3307">
        <f t="shared" si="18"/>
        <v>0</v>
      </c>
      <c r="BD109" s="3307">
        <f t="shared" si="19"/>
        <v>0</v>
      </c>
      <c r="BE109" s="3307">
        <f t="shared" si="20"/>
        <v>0</v>
      </c>
      <c r="BF109" s="3307">
        <f t="shared" si="21"/>
        <v>0</v>
      </c>
      <c r="BG109" s="3307">
        <f t="shared" si="22"/>
        <v>0</v>
      </c>
      <c r="BH109" s="3307">
        <f t="shared" si="23"/>
        <v>0</v>
      </c>
      <c r="BI109" s="3307">
        <f t="shared" si="24"/>
        <v>0</v>
      </c>
      <c r="BJ109" s="3307">
        <f t="shared" si="25"/>
        <v>0</v>
      </c>
      <c r="BK109" s="3307">
        <f t="shared" si="26"/>
        <v>0</v>
      </c>
      <c r="BL109" s="3307">
        <f t="shared" si="27"/>
        <v>0</v>
      </c>
      <c r="BM109" s="3307">
        <f t="shared" si="28"/>
        <v>0</v>
      </c>
      <c r="BN109" s="3307">
        <f t="shared" si="29"/>
        <v>0</v>
      </c>
      <c r="BO109" s="3307">
        <f t="shared" si="30"/>
        <v>0</v>
      </c>
      <c r="BP109" s="3307">
        <f t="shared" si="31"/>
        <v>0</v>
      </c>
      <c r="BQ109" s="3307">
        <f t="shared" si="32"/>
        <v>0</v>
      </c>
      <c r="BR109" s="3307">
        <f t="shared" si="33"/>
        <v>0</v>
      </c>
      <c r="BS109" s="3307">
        <f t="shared" si="34"/>
        <v>0</v>
      </c>
      <c r="BT109" s="3359">
        <f t="shared" si="35"/>
        <v>0</v>
      </c>
    </row>
    <row r="110" spans="1:72">
      <c r="A110" s="3304"/>
      <c r="B110" s="3304"/>
      <c r="C110" s="3304"/>
      <c r="D110" s="3306"/>
      <c r="E110" s="3307">
        <f t="shared" si="7"/>
        <v>0</v>
      </c>
      <c r="F110" s="3360"/>
      <c r="G110" s="3309">
        <f t="shared" ref="G110:G141" si="36">H110+AC110+AT110</f>
        <v>0</v>
      </c>
      <c r="H110" s="3310">
        <f t="shared" ref="H110:H141" si="37">SUMIF(I$12:AB$12,"总值",I110:AB110)</f>
        <v>0</v>
      </c>
      <c r="I110" s="3361"/>
      <c r="J110" s="3361"/>
      <c r="K110" s="3317"/>
      <c r="L110" s="3317"/>
      <c r="M110" s="3317"/>
      <c r="N110" s="3317"/>
      <c r="O110" s="3317"/>
      <c r="P110" s="3317"/>
      <c r="Q110" s="3317"/>
      <c r="R110" s="3317"/>
      <c r="S110" s="3317"/>
      <c r="T110" s="3317"/>
      <c r="U110" s="3317"/>
      <c r="V110" s="3317"/>
      <c r="W110" s="3317"/>
      <c r="X110" s="3317"/>
      <c r="Y110" s="3317"/>
      <c r="Z110" s="3317"/>
      <c r="AA110" s="3317"/>
      <c r="AB110" s="3317"/>
      <c r="AC110" s="3307">
        <f t="shared" ref="AC110:AC141" si="38">SUMIF(AD$12:AS$12,"总值",AD110:AS110)</f>
        <v>0</v>
      </c>
      <c r="AD110" s="3327"/>
      <c r="AE110" s="3327"/>
      <c r="AF110" s="3327"/>
      <c r="AG110" s="3327"/>
      <c r="AH110" s="3327"/>
      <c r="AI110" s="3327"/>
      <c r="AJ110" s="3327"/>
      <c r="AK110" s="3327"/>
      <c r="AL110" s="3327"/>
      <c r="AM110" s="3327"/>
      <c r="AN110" s="3327"/>
      <c r="AO110" s="3327"/>
      <c r="AP110" s="3327"/>
      <c r="AQ110" s="3327"/>
      <c r="AR110" s="3327"/>
      <c r="AS110" s="3327"/>
      <c r="AT110" s="3327"/>
      <c r="AU110" s="3362"/>
      <c r="AV110" s="1410">
        <f t="shared" si="11"/>
        <v>0</v>
      </c>
      <c r="AW110" s="1410">
        <f t="shared" si="12"/>
        <v>0</v>
      </c>
      <c r="AX110" s="1410">
        <f t="shared" si="13"/>
        <v>0</v>
      </c>
      <c r="AY110" s="3352">
        <f t="shared" ref="AY110:AY141" si="39">ROUND($AY$6*AZ110/$AZ$5,2)</f>
        <v>0</v>
      </c>
      <c r="AZ110" s="3307">
        <f t="shared" ref="AZ110:AZ141" si="40">BA110+BL110</f>
        <v>0</v>
      </c>
      <c r="BA110" s="3307">
        <f t="shared" ref="BA110:BA141" si="41">SUM(BB110:BK110)</f>
        <v>0</v>
      </c>
      <c r="BB110" s="3307">
        <f t="shared" ref="BB110:BB141" si="42">IF($D110="是",I110-J110,0)</f>
        <v>0</v>
      </c>
      <c r="BC110" s="3307">
        <f t="shared" ref="BC110:BC141" si="43">IF($D110="是",K110-L110,0)</f>
        <v>0</v>
      </c>
      <c r="BD110" s="3307">
        <f t="shared" ref="BD110:BD141" si="44">IF($D110="是",M110-N110,0)</f>
        <v>0</v>
      </c>
      <c r="BE110" s="3307">
        <f t="shared" ref="BE110:BE141" si="45">IF($D110="是",O110-P110,0)</f>
        <v>0</v>
      </c>
      <c r="BF110" s="3307">
        <f t="shared" ref="BF110:BF141" si="46">IF($D110="是",Q110-R110,0)</f>
        <v>0</v>
      </c>
      <c r="BG110" s="3307">
        <f t="shared" ref="BG110:BG141" si="47">IF($D110="是",S110-T110,0)</f>
        <v>0</v>
      </c>
      <c r="BH110" s="3307">
        <f t="shared" ref="BH110:BH141" si="48">IF($D110="是",U110-V110,0)</f>
        <v>0</v>
      </c>
      <c r="BI110" s="3307">
        <f t="shared" ref="BI110:BI141" si="49">IF($D110="是",W110-X110,0)</f>
        <v>0</v>
      </c>
      <c r="BJ110" s="3307">
        <f t="shared" ref="BJ110:BJ141" si="50">IF($D110="是",Y110-Z110,0)</f>
        <v>0</v>
      </c>
      <c r="BK110" s="3307">
        <f t="shared" ref="BK110:BK141" si="51">IF($D110="是",AA110-AB110,0)</f>
        <v>0</v>
      </c>
      <c r="BL110" s="3307">
        <f t="shared" ref="BL110:BL141" si="52">SUM(BM110:BT110)</f>
        <v>0</v>
      </c>
      <c r="BM110" s="3307">
        <f t="shared" ref="BM110:BM141" si="53">IF($D110="是",AD110-AE110,0)</f>
        <v>0</v>
      </c>
      <c r="BN110" s="3307">
        <f t="shared" ref="BN110:BN141" si="54">IF($D110="是",AF110-AG110,0)</f>
        <v>0</v>
      </c>
      <c r="BO110" s="3307">
        <f t="shared" ref="BO110:BO141" si="55">IF($D110="是",AH110-AI110,0)</f>
        <v>0</v>
      </c>
      <c r="BP110" s="3307">
        <f t="shared" ref="BP110:BP141" si="56">IF($D110="是",AJ110-AK110,0)</f>
        <v>0</v>
      </c>
      <c r="BQ110" s="3307">
        <f t="shared" ref="BQ110:BQ141" si="57">IF($D110="是",AL110-AM110,0)</f>
        <v>0</v>
      </c>
      <c r="BR110" s="3307">
        <f t="shared" ref="BR110:BR141" si="58">IF($D110="是",AN110-AO110,0)</f>
        <v>0</v>
      </c>
      <c r="BS110" s="3307">
        <f t="shared" ref="BS110:BS141" si="59">IF($D110="是",AP110-AQ110,0)</f>
        <v>0</v>
      </c>
      <c r="BT110" s="3359">
        <f t="shared" ref="BT110:BT141" si="60">IF($D110="是",AR110-AS110,0)</f>
        <v>0</v>
      </c>
    </row>
    <row r="111" spans="1:72">
      <c r="A111" s="3304"/>
      <c r="B111" s="3304"/>
      <c r="C111" s="3304"/>
      <c r="D111" s="3306"/>
      <c r="E111" s="3307">
        <f t="shared" si="7"/>
        <v>0</v>
      </c>
      <c r="F111" s="3360"/>
      <c r="G111" s="3309">
        <f t="shared" si="36"/>
        <v>0</v>
      </c>
      <c r="H111" s="3310">
        <f t="shared" si="37"/>
        <v>0</v>
      </c>
      <c r="I111" s="3317"/>
      <c r="J111" s="3317"/>
      <c r="K111" s="3317"/>
      <c r="L111" s="3317"/>
      <c r="M111" s="3317"/>
      <c r="N111" s="3317"/>
      <c r="O111" s="3317"/>
      <c r="P111" s="3317"/>
      <c r="Q111" s="3317"/>
      <c r="R111" s="3317"/>
      <c r="S111" s="3317"/>
      <c r="T111" s="3317"/>
      <c r="U111" s="3317"/>
      <c r="V111" s="3317"/>
      <c r="W111" s="3317"/>
      <c r="X111" s="3317"/>
      <c r="Y111" s="3317"/>
      <c r="Z111" s="3317"/>
      <c r="AA111" s="3317"/>
      <c r="AB111" s="3317"/>
      <c r="AC111" s="3307">
        <f t="shared" si="38"/>
        <v>0</v>
      </c>
      <c r="AD111" s="3327"/>
      <c r="AE111" s="3327"/>
      <c r="AF111" s="3327"/>
      <c r="AG111" s="3327"/>
      <c r="AH111" s="3327"/>
      <c r="AI111" s="3327"/>
      <c r="AJ111" s="3327"/>
      <c r="AK111" s="3327"/>
      <c r="AL111" s="3327"/>
      <c r="AM111" s="3327"/>
      <c r="AN111" s="3327"/>
      <c r="AO111" s="3327"/>
      <c r="AP111" s="3327"/>
      <c r="AQ111" s="3327"/>
      <c r="AR111" s="3327"/>
      <c r="AS111" s="3327"/>
      <c r="AT111" s="3327"/>
      <c r="AU111" s="3362"/>
      <c r="AV111" s="1410">
        <f t="shared" si="11"/>
        <v>0</v>
      </c>
      <c r="AW111" s="1410">
        <f t="shared" si="12"/>
        <v>0</v>
      </c>
      <c r="AX111" s="1410">
        <f t="shared" si="13"/>
        <v>0</v>
      </c>
      <c r="AY111" s="3352">
        <f t="shared" si="39"/>
        <v>0</v>
      </c>
      <c r="AZ111" s="3307">
        <f t="shared" si="40"/>
        <v>0</v>
      </c>
      <c r="BA111" s="3307">
        <f t="shared" si="41"/>
        <v>0</v>
      </c>
      <c r="BB111" s="3307">
        <f t="shared" si="42"/>
        <v>0</v>
      </c>
      <c r="BC111" s="3307">
        <f t="shared" si="43"/>
        <v>0</v>
      </c>
      <c r="BD111" s="3307">
        <f t="shared" si="44"/>
        <v>0</v>
      </c>
      <c r="BE111" s="3307">
        <f t="shared" si="45"/>
        <v>0</v>
      </c>
      <c r="BF111" s="3307">
        <f t="shared" si="46"/>
        <v>0</v>
      </c>
      <c r="BG111" s="3307">
        <f t="shared" si="47"/>
        <v>0</v>
      </c>
      <c r="BH111" s="3307">
        <f t="shared" si="48"/>
        <v>0</v>
      </c>
      <c r="BI111" s="3307">
        <f t="shared" si="49"/>
        <v>0</v>
      </c>
      <c r="BJ111" s="3307">
        <f t="shared" si="50"/>
        <v>0</v>
      </c>
      <c r="BK111" s="3307">
        <f t="shared" si="51"/>
        <v>0</v>
      </c>
      <c r="BL111" s="3307">
        <f t="shared" si="52"/>
        <v>0</v>
      </c>
      <c r="BM111" s="3307">
        <f t="shared" si="53"/>
        <v>0</v>
      </c>
      <c r="BN111" s="3307">
        <f t="shared" si="54"/>
        <v>0</v>
      </c>
      <c r="BO111" s="3307">
        <f t="shared" si="55"/>
        <v>0</v>
      </c>
      <c r="BP111" s="3307">
        <f t="shared" si="56"/>
        <v>0</v>
      </c>
      <c r="BQ111" s="3307">
        <f t="shared" si="57"/>
        <v>0</v>
      </c>
      <c r="BR111" s="3307">
        <f t="shared" si="58"/>
        <v>0</v>
      </c>
      <c r="BS111" s="3307">
        <f t="shared" si="59"/>
        <v>0</v>
      </c>
      <c r="BT111" s="3359">
        <f t="shared" si="60"/>
        <v>0</v>
      </c>
    </row>
    <row r="112" spans="1:72">
      <c r="A112" s="3304"/>
      <c r="B112" s="3304"/>
      <c r="C112" s="3304"/>
      <c r="D112" s="3306"/>
      <c r="E112" s="3307">
        <f t="shared" si="7"/>
        <v>0</v>
      </c>
      <c r="F112" s="3360"/>
      <c r="G112" s="3309">
        <f t="shared" si="36"/>
        <v>0</v>
      </c>
      <c r="H112" s="3310">
        <f t="shared" si="37"/>
        <v>0</v>
      </c>
      <c r="I112" s="3317"/>
      <c r="J112" s="3317"/>
      <c r="K112" s="3317"/>
      <c r="L112" s="3317"/>
      <c r="M112" s="3317"/>
      <c r="N112" s="3317"/>
      <c r="O112" s="3317"/>
      <c r="P112" s="3317"/>
      <c r="Q112" s="3317"/>
      <c r="R112" s="3317"/>
      <c r="S112" s="3317"/>
      <c r="T112" s="3317"/>
      <c r="U112" s="3317"/>
      <c r="V112" s="3317"/>
      <c r="W112" s="3317"/>
      <c r="X112" s="3317"/>
      <c r="Y112" s="3317"/>
      <c r="Z112" s="3317"/>
      <c r="AA112" s="3317"/>
      <c r="AB112" s="3317"/>
      <c r="AC112" s="3307">
        <f t="shared" si="38"/>
        <v>0</v>
      </c>
      <c r="AD112" s="3327"/>
      <c r="AE112" s="3327"/>
      <c r="AF112" s="3327"/>
      <c r="AG112" s="3327"/>
      <c r="AH112" s="3327"/>
      <c r="AI112" s="3327"/>
      <c r="AJ112" s="3327"/>
      <c r="AK112" s="3327"/>
      <c r="AL112" s="3327"/>
      <c r="AM112" s="3327"/>
      <c r="AN112" s="3327"/>
      <c r="AO112" s="3327"/>
      <c r="AP112" s="3327"/>
      <c r="AQ112" s="3327"/>
      <c r="AR112" s="3327"/>
      <c r="AS112" s="3327"/>
      <c r="AT112" s="3327"/>
      <c r="AU112" s="3362"/>
      <c r="AV112" s="1410">
        <f t="shared" si="11"/>
        <v>0</v>
      </c>
      <c r="AW112" s="1410">
        <f t="shared" si="12"/>
        <v>0</v>
      </c>
      <c r="AX112" s="1410">
        <f t="shared" si="13"/>
        <v>0</v>
      </c>
      <c r="AY112" s="3352">
        <f t="shared" si="39"/>
        <v>0</v>
      </c>
      <c r="AZ112" s="3307">
        <f t="shared" si="40"/>
        <v>0</v>
      </c>
      <c r="BA112" s="3307">
        <f t="shared" si="41"/>
        <v>0</v>
      </c>
      <c r="BB112" s="3307">
        <f t="shared" si="42"/>
        <v>0</v>
      </c>
      <c r="BC112" s="3307">
        <f t="shared" si="43"/>
        <v>0</v>
      </c>
      <c r="BD112" s="3307">
        <f t="shared" si="44"/>
        <v>0</v>
      </c>
      <c r="BE112" s="3307">
        <f t="shared" si="45"/>
        <v>0</v>
      </c>
      <c r="BF112" s="3307">
        <f t="shared" si="46"/>
        <v>0</v>
      </c>
      <c r="BG112" s="3307">
        <f t="shared" si="47"/>
        <v>0</v>
      </c>
      <c r="BH112" s="3307">
        <f t="shared" si="48"/>
        <v>0</v>
      </c>
      <c r="BI112" s="3307">
        <f t="shared" si="49"/>
        <v>0</v>
      </c>
      <c r="BJ112" s="3307">
        <f t="shared" si="50"/>
        <v>0</v>
      </c>
      <c r="BK112" s="3307">
        <f t="shared" si="51"/>
        <v>0</v>
      </c>
      <c r="BL112" s="3307">
        <f t="shared" si="52"/>
        <v>0</v>
      </c>
      <c r="BM112" s="3307">
        <f t="shared" si="53"/>
        <v>0</v>
      </c>
      <c r="BN112" s="3307">
        <f t="shared" si="54"/>
        <v>0</v>
      </c>
      <c r="BO112" s="3307">
        <f t="shared" si="55"/>
        <v>0</v>
      </c>
      <c r="BP112" s="3307">
        <f t="shared" si="56"/>
        <v>0</v>
      </c>
      <c r="BQ112" s="3307">
        <f t="shared" si="57"/>
        <v>0</v>
      </c>
      <c r="BR112" s="3307">
        <f t="shared" si="58"/>
        <v>0</v>
      </c>
      <c r="BS112" s="3307">
        <f t="shared" si="59"/>
        <v>0</v>
      </c>
      <c r="BT112" s="3359">
        <f t="shared" si="60"/>
        <v>0</v>
      </c>
    </row>
    <row r="113" spans="1:72">
      <c r="A113" s="3304"/>
      <c r="B113" s="3305"/>
      <c r="C113" s="3305"/>
      <c r="D113" s="3306"/>
      <c r="E113" s="3307">
        <f t="shared" ref="E113:E144" si="61">IF($C$3="是",ROUND($A$3*G113/$B$3,2),ROUND($A$3*(G113-AT113)/$B$3,2))</f>
        <v>0</v>
      </c>
      <c r="F113" s="3308"/>
      <c r="G113" s="3309">
        <f t="shared" si="36"/>
        <v>0</v>
      </c>
      <c r="H113" s="3310">
        <f t="shared" si="37"/>
        <v>0</v>
      </c>
      <c r="I113" s="3317"/>
      <c r="J113" s="3317"/>
      <c r="K113" s="3317"/>
      <c r="L113" s="3317"/>
      <c r="M113" s="3317"/>
      <c r="N113" s="3317"/>
      <c r="O113" s="3317"/>
      <c r="P113" s="3317"/>
      <c r="Q113" s="3317"/>
      <c r="R113" s="3317"/>
      <c r="S113" s="3317"/>
      <c r="T113" s="3317"/>
      <c r="U113" s="3317"/>
      <c r="V113" s="3317"/>
      <c r="W113" s="3317"/>
      <c r="X113" s="3317"/>
      <c r="Y113" s="3317"/>
      <c r="Z113" s="3317"/>
      <c r="AA113" s="3317"/>
      <c r="AB113" s="3317"/>
      <c r="AC113" s="3307">
        <f t="shared" si="38"/>
        <v>0</v>
      </c>
      <c r="AD113" s="3327"/>
      <c r="AE113" s="3327"/>
      <c r="AF113" s="3327"/>
      <c r="AG113" s="3327"/>
      <c r="AH113" s="3327"/>
      <c r="AI113" s="3327"/>
      <c r="AJ113" s="3327"/>
      <c r="AK113" s="3327"/>
      <c r="AL113" s="3327"/>
      <c r="AM113" s="3327"/>
      <c r="AN113" s="3327"/>
      <c r="AO113" s="3327"/>
      <c r="AP113" s="3327"/>
      <c r="AQ113" s="3327"/>
      <c r="AR113" s="3327"/>
      <c r="AS113" s="3327"/>
      <c r="AT113" s="3337"/>
      <c r="AU113" s="3338"/>
      <c r="AV113" s="1410">
        <f t="shared" ref="AV113:AV144" si="62">A113</f>
        <v>0</v>
      </c>
      <c r="AW113" s="1410">
        <f t="shared" ref="AW113:AW144" si="63">B113</f>
        <v>0</v>
      </c>
      <c r="AX113" s="1410">
        <f t="shared" ref="AX113:AX144" si="64">C113</f>
        <v>0</v>
      </c>
      <c r="AY113" s="3352">
        <f t="shared" si="39"/>
        <v>0</v>
      </c>
      <c r="AZ113" s="3307">
        <f t="shared" si="40"/>
        <v>0</v>
      </c>
      <c r="BA113" s="3307">
        <f t="shared" si="41"/>
        <v>0</v>
      </c>
      <c r="BB113" s="3307">
        <f t="shared" si="42"/>
        <v>0</v>
      </c>
      <c r="BC113" s="3307">
        <f t="shared" si="43"/>
        <v>0</v>
      </c>
      <c r="BD113" s="3307">
        <f t="shared" si="44"/>
        <v>0</v>
      </c>
      <c r="BE113" s="3307">
        <f t="shared" si="45"/>
        <v>0</v>
      </c>
      <c r="BF113" s="3307">
        <f t="shared" si="46"/>
        <v>0</v>
      </c>
      <c r="BG113" s="3307">
        <f t="shared" si="47"/>
        <v>0</v>
      </c>
      <c r="BH113" s="3307">
        <f t="shared" si="48"/>
        <v>0</v>
      </c>
      <c r="BI113" s="3307">
        <f t="shared" si="49"/>
        <v>0</v>
      </c>
      <c r="BJ113" s="3307">
        <f t="shared" si="50"/>
        <v>0</v>
      </c>
      <c r="BK113" s="3307">
        <f t="shared" si="51"/>
        <v>0</v>
      </c>
      <c r="BL113" s="3307">
        <f t="shared" si="52"/>
        <v>0</v>
      </c>
      <c r="BM113" s="3307">
        <f t="shared" si="53"/>
        <v>0</v>
      </c>
      <c r="BN113" s="3307">
        <f t="shared" si="54"/>
        <v>0</v>
      </c>
      <c r="BO113" s="3307">
        <f t="shared" si="55"/>
        <v>0</v>
      </c>
      <c r="BP113" s="3307">
        <f t="shared" si="56"/>
        <v>0</v>
      </c>
      <c r="BQ113" s="3307">
        <f t="shared" si="57"/>
        <v>0</v>
      </c>
      <c r="BR113" s="3307">
        <f t="shared" si="58"/>
        <v>0</v>
      </c>
      <c r="BS113" s="3307">
        <f t="shared" si="59"/>
        <v>0</v>
      </c>
      <c r="BT113" s="3359">
        <f t="shared" si="60"/>
        <v>0</v>
      </c>
    </row>
    <row r="114" spans="1:72">
      <c r="A114" s="3304"/>
      <c r="B114" s="3305"/>
      <c r="C114" s="3305"/>
      <c r="D114" s="3306"/>
      <c r="E114" s="3307">
        <f t="shared" si="61"/>
        <v>0</v>
      </c>
      <c r="F114" s="3308"/>
      <c r="G114" s="3309">
        <f t="shared" si="36"/>
        <v>0</v>
      </c>
      <c r="H114" s="3310">
        <f t="shared" si="37"/>
        <v>0</v>
      </c>
      <c r="I114" s="3317"/>
      <c r="J114" s="3317"/>
      <c r="K114" s="3317"/>
      <c r="L114" s="3317"/>
      <c r="M114" s="3317"/>
      <c r="N114" s="3317"/>
      <c r="O114" s="3317"/>
      <c r="P114" s="3317"/>
      <c r="Q114" s="3317"/>
      <c r="R114" s="3317"/>
      <c r="S114" s="3317"/>
      <c r="T114" s="3317"/>
      <c r="U114" s="3317"/>
      <c r="V114" s="3317"/>
      <c r="W114" s="3317"/>
      <c r="X114" s="3317"/>
      <c r="Y114" s="3317"/>
      <c r="Z114" s="3317"/>
      <c r="AA114" s="3317"/>
      <c r="AB114" s="3317"/>
      <c r="AC114" s="3307">
        <f t="shared" si="38"/>
        <v>0</v>
      </c>
      <c r="AD114" s="3327"/>
      <c r="AE114" s="3327"/>
      <c r="AF114" s="3327"/>
      <c r="AG114" s="3327"/>
      <c r="AH114" s="3327"/>
      <c r="AI114" s="3327"/>
      <c r="AJ114" s="3327"/>
      <c r="AK114" s="3327"/>
      <c r="AL114" s="3327"/>
      <c r="AM114" s="3327"/>
      <c r="AN114" s="3327"/>
      <c r="AO114" s="3327"/>
      <c r="AP114" s="3327"/>
      <c r="AQ114" s="3327"/>
      <c r="AR114" s="3327"/>
      <c r="AS114" s="3327"/>
      <c r="AT114" s="3337"/>
      <c r="AU114" s="3338"/>
      <c r="AV114" s="1410">
        <f t="shared" si="62"/>
        <v>0</v>
      </c>
      <c r="AW114" s="1410">
        <f t="shared" si="63"/>
        <v>0</v>
      </c>
      <c r="AX114" s="1410">
        <f t="shared" si="64"/>
        <v>0</v>
      </c>
      <c r="AY114" s="3352">
        <f t="shared" si="39"/>
        <v>0</v>
      </c>
      <c r="AZ114" s="3307">
        <f t="shared" si="40"/>
        <v>0</v>
      </c>
      <c r="BA114" s="3307">
        <f t="shared" si="41"/>
        <v>0</v>
      </c>
      <c r="BB114" s="3307">
        <f t="shared" si="42"/>
        <v>0</v>
      </c>
      <c r="BC114" s="3307">
        <f t="shared" si="43"/>
        <v>0</v>
      </c>
      <c r="BD114" s="3307">
        <f t="shared" si="44"/>
        <v>0</v>
      </c>
      <c r="BE114" s="3307">
        <f t="shared" si="45"/>
        <v>0</v>
      </c>
      <c r="BF114" s="3307">
        <f t="shared" si="46"/>
        <v>0</v>
      </c>
      <c r="BG114" s="3307">
        <f t="shared" si="47"/>
        <v>0</v>
      </c>
      <c r="BH114" s="3307">
        <f t="shared" si="48"/>
        <v>0</v>
      </c>
      <c r="BI114" s="3307">
        <f t="shared" si="49"/>
        <v>0</v>
      </c>
      <c r="BJ114" s="3307">
        <f t="shared" si="50"/>
        <v>0</v>
      </c>
      <c r="BK114" s="3307">
        <f t="shared" si="51"/>
        <v>0</v>
      </c>
      <c r="BL114" s="3307">
        <f t="shared" si="52"/>
        <v>0</v>
      </c>
      <c r="BM114" s="3307">
        <f t="shared" si="53"/>
        <v>0</v>
      </c>
      <c r="BN114" s="3307">
        <f t="shared" si="54"/>
        <v>0</v>
      </c>
      <c r="BO114" s="3307">
        <f t="shared" si="55"/>
        <v>0</v>
      </c>
      <c r="BP114" s="3307">
        <f t="shared" si="56"/>
        <v>0</v>
      </c>
      <c r="BQ114" s="3307">
        <f t="shared" si="57"/>
        <v>0</v>
      </c>
      <c r="BR114" s="3307">
        <f t="shared" si="58"/>
        <v>0</v>
      </c>
      <c r="BS114" s="3307">
        <f t="shared" si="59"/>
        <v>0</v>
      </c>
      <c r="BT114" s="3359">
        <f t="shared" si="60"/>
        <v>0</v>
      </c>
    </row>
    <row r="115" spans="1:72">
      <c r="A115" s="3304"/>
      <c r="B115" s="3305"/>
      <c r="C115" s="3305"/>
      <c r="D115" s="3306"/>
      <c r="E115" s="3307">
        <f t="shared" si="61"/>
        <v>0</v>
      </c>
      <c r="F115" s="3308"/>
      <c r="G115" s="3309">
        <f t="shared" si="36"/>
        <v>0</v>
      </c>
      <c r="H115" s="3310">
        <f t="shared" si="37"/>
        <v>0</v>
      </c>
      <c r="I115" s="3317"/>
      <c r="J115" s="3317"/>
      <c r="K115" s="3317"/>
      <c r="L115" s="3317"/>
      <c r="M115" s="3317"/>
      <c r="N115" s="3317"/>
      <c r="O115" s="3317"/>
      <c r="P115" s="3317"/>
      <c r="Q115" s="3317"/>
      <c r="R115" s="3317"/>
      <c r="S115" s="3317"/>
      <c r="T115" s="3317"/>
      <c r="U115" s="3317"/>
      <c r="V115" s="3317"/>
      <c r="W115" s="3317"/>
      <c r="X115" s="3317"/>
      <c r="Y115" s="3317"/>
      <c r="Z115" s="3317"/>
      <c r="AA115" s="3317"/>
      <c r="AB115" s="3317"/>
      <c r="AC115" s="3307">
        <f t="shared" si="38"/>
        <v>0</v>
      </c>
      <c r="AD115" s="3327"/>
      <c r="AE115" s="3327"/>
      <c r="AF115" s="3327"/>
      <c r="AG115" s="3327"/>
      <c r="AH115" s="3327"/>
      <c r="AI115" s="3327"/>
      <c r="AJ115" s="3327"/>
      <c r="AK115" s="3327"/>
      <c r="AL115" s="3327"/>
      <c r="AM115" s="3327"/>
      <c r="AN115" s="3327"/>
      <c r="AO115" s="3327"/>
      <c r="AP115" s="3327"/>
      <c r="AQ115" s="3327"/>
      <c r="AR115" s="3327"/>
      <c r="AS115" s="3327"/>
      <c r="AT115" s="3337"/>
      <c r="AU115" s="3338"/>
      <c r="AV115" s="1410">
        <f t="shared" si="62"/>
        <v>0</v>
      </c>
      <c r="AW115" s="1410">
        <f t="shared" si="63"/>
        <v>0</v>
      </c>
      <c r="AX115" s="1410">
        <f t="shared" si="64"/>
        <v>0</v>
      </c>
      <c r="AY115" s="3352">
        <f t="shared" si="39"/>
        <v>0</v>
      </c>
      <c r="AZ115" s="3307">
        <f t="shared" si="40"/>
        <v>0</v>
      </c>
      <c r="BA115" s="3307">
        <f t="shared" si="41"/>
        <v>0</v>
      </c>
      <c r="BB115" s="3307">
        <f t="shared" si="42"/>
        <v>0</v>
      </c>
      <c r="BC115" s="3307">
        <f t="shared" si="43"/>
        <v>0</v>
      </c>
      <c r="BD115" s="3307">
        <f t="shared" si="44"/>
        <v>0</v>
      </c>
      <c r="BE115" s="3307">
        <f t="shared" si="45"/>
        <v>0</v>
      </c>
      <c r="BF115" s="3307">
        <f t="shared" si="46"/>
        <v>0</v>
      </c>
      <c r="BG115" s="3307">
        <f t="shared" si="47"/>
        <v>0</v>
      </c>
      <c r="BH115" s="3307">
        <f t="shared" si="48"/>
        <v>0</v>
      </c>
      <c r="BI115" s="3307">
        <f t="shared" si="49"/>
        <v>0</v>
      </c>
      <c r="BJ115" s="3307">
        <f t="shared" si="50"/>
        <v>0</v>
      </c>
      <c r="BK115" s="3307">
        <f t="shared" si="51"/>
        <v>0</v>
      </c>
      <c r="BL115" s="3307">
        <f t="shared" si="52"/>
        <v>0</v>
      </c>
      <c r="BM115" s="3307">
        <f t="shared" si="53"/>
        <v>0</v>
      </c>
      <c r="BN115" s="3307">
        <f t="shared" si="54"/>
        <v>0</v>
      </c>
      <c r="BO115" s="3307">
        <f t="shared" si="55"/>
        <v>0</v>
      </c>
      <c r="BP115" s="3307">
        <f t="shared" si="56"/>
        <v>0</v>
      </c>
      <c r="BQ115" s="3307">
        <f t="shared" si="57"/>
        <v>0</v>
      </c>
      <c r="BR115" s="3307">
        <f t="shared" si="58"/>
        <v>0</v>
      </c>
      <c r="BS115" s="3307">
        <f t="shared" si="59"/>
        <v>0</v>
      </c>
      <c r="BT115" s="3359">
        <f t="shared" si="60"/>
        <v>0</v>
      </c>
    </row>
    <row r="116" spans="1:72">
      <c r="A116" s="3304"/>
      <c r="B116" s="3305"/>
      <c r="C116" s="3305"/>
      <c r="D116" s="3306"/>
      <c r="E116" s="3307">
        <f t="shared" si="61"/>
        <v>0</v>
      </c>
      <c r="F116" s="3308"/>
      <c r="G116" s="3309">
        <f t="shared" si="36"/>
        <v>0</v>
      </c>
      <c r="H116" s="3310">
        <f t="shared" si="37"/>
        <v>0</v>
      </c>
      <c r="I116" s="3317"/>
      <c r="J116" s="3317"/>
      <c r="K116" s="3317"/>
      <c r="L116" s="3317"/>
      <c r="M116" s="3317"/>
      <c r="N116" s="3317"/>
      <c r="O116" s="3317"/>
      <c r="P116" s="3317"/>
      <c r="Q116" s="3317"/>
      <c r="R116" s="3317"/>
      <c r="S116" s="3317"/>
      <c r="T116" s="3317"/>
      <c r="U116" s="3317"/>
      <c r="V116" s="3317"/>
      <c r="W116" s="3317"/>
      <c r="X116" s="3317"/>
      <c r="Y116" s="3317"/>
      <c r="Z116" s="3317"/>
      <c r="AA116" s="3317"/>
      <c r="AB116" s="3317"/>
      <c r="AC116" s="3307">
        <f t="shared" si="38"/>
        <v>0</v>
      </c>
      <c r="AD116" s="3327"/>
      <c r="AE116" s="3327"/>
      <c r="AF116" s="3327"/>
      <c r="AG116" s="3327"/>
      <c r="AH116" s="3327"/>
      <c r="AI116" s="3327"/>
      <c r="AJ116" s="3327"/>
      <c r="AK116" s="3327"/>
      <c r="AL116" s="3327"/>
      <c r="AM116" s="3327"/>
      <c r="AN116" s="3327"/>
      <c r="AO116" s="3327"/>
      <c r="AP116" s="3327"/>
      <c r="AQ116" s="3327"/>
      <c r="AR116" s="3327"/>
      <c r="AS116" s="3327"/>
      <c r="AT116" s="3337"/>
      <c r="AU116" s="3338"/>
      <c r="AV116" s="1410">
        <f t="shared" si="62"/>
        <v>0</v>
      </c>
      <c r="AW116" s="1410">
        <f t="shared" si="63"/>
        <v>0</v>
      </c>
      <c r="AX116" s="1410">
        <f t="shared" si="64"/>
        <v>0</v>
      </c>
      <c r="AY116" s="3352">
        <f t="shared" si="39"/>
        <v>0</v>
      </c>
      <c r="AZ116" s="3307">
        <f t="shared" si="40"/>
        <v>0</v>
      </c>
      <c r="BA116" s="3307">
        <f t="shared" si="41"/>
        <v>0</v>
      </c>
      <c r="BB116" s="3307">
        <f t="shared" si="42"/>
        <v>0</v>
      </c>
      <c r="BC116" s="3307">
        <f t="shared" si="43"/>
        <v>0</v>
      </c>
      <c r="BD116" s="3307">
        <f t="shared" si="44"/>
        <v>0</v>
      </c>
      <c r="BE116" s="3307">
        <f t="shared" si="45"/>
        <v>0</v>
      </c>
      <c r="BF116" s="3307">
        <f t="shared" si="46"/>
        <v>0</v>
      </c>
      <c r="BG116" s="3307">
        <f t="shared" si="47"/>
        <v>0</v>
      </c>
      <c r="BH116" s="3307">
        <f t="shared" si="48"/>
        <v>0</v>
      </c>
      <c r="BI116" s="3307">
        <f t="shared" si="49"/>
        <v>0</v>
      </c>
      <c r="BJ116" s="3307">
        <f t="shared" si="50"/>
        <v>0</v>
      </c>
      <c r="BK116" s="3307">
        <f t="shared" si="51"/>
        <v>0</v>
      </c>
      <c r="BL116" s="3307">
        <f t="shared" si="52"/>
        <v>0</v>
      </c>
      <c r="BM116" s="3307">
        <f t="shared" si="53"/>
        <v>0</v>
      </c>
      <c r="BN116" s="3307">
        <f t="shared" si="54"/>
        <v>0</v>
      </c>
      <c r="BO116" s="3307">
        <f t="shared" si="55"/>
        <v>0</v>
      </c>
      <c r="BP116" s="3307">
        <f t="shared" si="56"/>
        <v>0</v>
      </c>
      <c r="BQ116" s="3307">
        <f t="shared" si="57"/>
        <v>0</v>
      </c>
      <c r="BR116" s="3307">
        <f t="shared" si="58"/>
        <v>0</v>
      </c>
      <c r="BS116" s="3307">
        <f t="shared" si="59"/>
        <v>0</v>
      </c>
      <c r="BT116" s="3359">
        <f t="shared" si="60"/>
        <v>0</v>
      </c>
    </row>
    <row r="117" spans="1:72">
      <c r="A117" s="3304"/>
      <c r="B117" s="3305"/>
      <c r="C117" s="3305"/>
      <c r="D117" s="3306"/>
      <c r="E117" s="3307">
        <f t="shared" si="61"/>
        <v>0</v>
      </c>
      <c r="F117" s="3308"/>
      <c r="G117" s="3309">
        <f t="shared" si="36"/>
        <v>0</v>
      </c>
      <c r="H117" s="3310">
        <f t="shared" si="37"/>
        <v>0</v>
      </c>
      <c r="I117" s="3317"/>
      <c r="J117" s="3317"/>
      <c r="K117" s="3317"/>
      <c r="L117" s="3317"/>
      <c r="M117" s="3317"/>
      <c r="N117" s="3317"/>
      <c r="O117" s="3317"/>
      <c r="P117" s="3317"/>
      <c r="Q117" s="3317"/>
      <c r="R117" s="3317"/>
      <c r="S117" s="3317"/>
      <c r="T117" s="3317"/>
      <c r="U117" s="3317"/>
      <c r="V117" s="3317"/>
      <c r="W117" s="3317"/>
      <c r="X117" s="3317"/>
      <c r="Y117" s="3317"/>
      <c r="Z117" s="3317"/>
      <c r="AA117" s="3317"/>
      <c r="AB117" s="3317"/>
      <c r="AC117" s="3307">
        <f t="shared" si="38"/>
        <v>0</v>
      </c>
      <c r="AD117" s="3327"/>
      <c r="AE117" s="3327"/>
      <c r="AF117" s="3327"/>
      <c r="AG117" s="3327"/>
      <c r="AH117" s="3327"/>
      <c r="AI117" s="3327"/>
      <c r="AJ117" s="3327"/>
      <c r="AK117" s="3327"/>
      <c r="AL117" s="3327"/>
      <c r="AM117" s="3327"/>
      <c r="AN117" s="3327"/>
      <c r="AO117" s="3327"/>
      <c r="AP117" s="3327"/>
      <c r="AQ117" s="3327"/>
      <c r="AR117" s="3327"/>
      <c r="AS117" s="3327"/>
      <c r="AT117" s="3337"/>
      <c r="AU117" s="3338"/>
      <c r="AV117" s="1410">
        <f t="shared" si="62"/>
        <v>0</v>
      </c>
      <c r="AW117" s="1410">
        <f t="shared" si="63"/>
        <v>0</v>
      </c>
      <c r="AX117" s="1410">
        <f t="shared" si="64"/>
        <v>0</v>
      </c>
      <c r="AY117" s="3352">
        <f t="shared" si="39"/>
        <v>0</v>
      </c>
      <c r="AZ117" s="3307">
        <f t="shared" si="40"/>
        <v>0</v>
      </c>
      <c r="BA117" s="3307">
        <f t="shared" si="41"/>
        <v>0</v>
      </c>
      <c r="BB117" s="3307">
        <f t="shared" si="42"/>
        <v>0</v>
      </c>
      <c r="BC117" s="3307">
        <f t="shared" si="43"/>
        <v>0</v>
      </c>
      <c r="BD117" s="3307">
        <f t="shared" si="44"/>
        <v>0</v>
      </c>
      <c r="BE117" s="3307">
        <f t="shared" si="45"/>
        <v>0</v>
      </c>
      <c r="BF117" s="3307">
        <f t="shared" si="46"/>
        <v>0</v>
      </c>
      <c r="BG117" s="3307">
        <f t="shared" si="47"/>
        <v>0</v>
      </c>
      <c r="BH117" s="3307">
        <f t="shared" si="48"/>
        <v>0</v>
      </c>
      <c r="BI117" s="3307">
        <f t="shared" si="49"/>
        <v>0</v>
      </c>
      <c r="BJ117" s="3307">
        <f t="shared" si="50"/>
        <v>0</v>
      </c>
      <c r="BK117" s="3307">
        <f t="shared" si="51"/>
        <v>0</v>
      </c>
      <c r="BL117" s="3307">
        <f t="shared" si="52"/>
        <v>0</v>
      </c>
      <c r="BM117" s="3307">
        <f t="shared" si="53"/>
        <v>0</v>
      </c>
      <c r="BN117" s="3307">
        <f t="shared" si="54"/>
        <v>0</v>
      </c>
      <c r="BO117" s="3307">
        <f t="shared" si="55"/>
        <v>0</v>
      </c>
      <c r="BP117" s="3307">
        <f t="shared" si="56"/>
        <v>0</v>
      </c>
      <c r="BQ117" s="3307">
        <f t="shared" si="57"/>
        <v>0</v>
      </c>
      <c r="BR117" s="3307">
        <f t="shared" si="58"/>
        <v>0</v>
      </c>
      <c r="BS117" s="3307">
        <f t="shared" si="59"/>
        <v>0</v>
      </c>
      <c r="BT117" s="3359">
        <f t="shared" si="60"/>
        <v>0</v>
      </c>
    </row>
    <row r="118" spans="1:72">
      <c r="A118" s="3304"/>
      <c r="B118" s="3305"/>
      <c r="C118" s="3305"/>
      <c r="D118" s="3306"/>
      <c r="E118" s="3307">
        <f t="shared" si="61"/>
        <v>0</v>
      </c>
      <c r="F118" s="3308"/>
      <c r="G118" s="3309">
        <f t="shared" si="36"/>
        <v>0</v>
      </c>
      <c r="H118" s="3310">
        <f t="shared" si="37"/>
        <v>0</v>
      </c>
      <c r="I118" s="3317"/>
      <c r="J118" s="3317"/>
      <c r="K118" s="3317"/>
      <c r="L118" s="3317"/>
      <c r="M118" s="3317"/>
      <c r="N118" s="3317"/>
      <c r="O118" s="3317"/>
      <c r="P118" s="3317"/>
      <c r="Q118" s="3317"/>
      <c r="R118" s="3317"/>
      <c r="S118" s="3317"/>
      <c r="T118" s="3317"/>
      <c r="U118" s="3317"/>
      <c r="V118" s="3317"/>
      <c r="W118" s="3317"/>
      <c r="X118" s="3317"/>
      <c r="Y118" s="3317"/>
      <c r="Z118" s="3317"/>
      <c r="AA118" s="3317"/>
      <c r="AB118" s="3317"/>
      <c r="AC118" s="3307">
        <f t="shared" si="38"/>
        <v>0</v>
      </c>
      <c r="AD118" s="3327"/>
      <c r="AE118" s="3327"/>
      <c r="AF118" s="3327"/>
      <c r="AG118" s="3327"/>
      <c r="AH118" s="3327"/>
      <c r="AI118" s="3327"/>
      <c r="AJ118" s="3327"/>
      <c r="AK118" s="3327"/>
      <c r="AL118" s="3327"/>
      <c r="AM118" s="3327"/>
      <c r="AN118" s="3327"/>
      <c r="AO118" s="3327"/>
      <c r="AP118" s="3327"/>
      <c r="AQ118" s="3327"/>
      <c r="AR118" s="3327"/>
      <c r="AS118" s="3327"/>
      <c r="AT118" s="3337"/>
      <c r="AU118" s="3338"/>
      <c r="AV118" s="1410">
        <f t="shared" si="62"/>
        <v>0</v>
      </c>
      <c r="AW118" s="1410">
        <f t="shared" si="63"/>
        <v>0</v>
      </c>
      <c r="AX118" s="1410">
        <f t="shared" si="64"/>
        <v>0</v>
      </c>
      <c r="AY118" s="3352">
        <f t="shared" si="39"/>
        <v>0</v>
      </c>
      <c r="AZ118" s="3307">
        <f t="shared" si="40"/>
        <v>0</v>
      </c>
      <c r="BA118" s="3307">
        <f t="shared" si="41"/>
        <v>0</v>
      </c>
      <c r="BB118" s="3307">
        <f t="shared" si="42"/>
        <v>0</v>
      </c>
      <c r="BC118" s="3307">
        <f t="shared" si="43"/>
        <v>0</v>
      </c>
      <c r="BD118" s="3307">
        <f t="shared" si="44"/>
        <v>0</v>
      </c>
      <c r="BE118" s="3307">
        <f t="shared" si="45"/>
        <v>0</v>
      </c>
      <c r="BF118" s="3307">
        <f t="shared" si="46"/>
        <v>0</v>
      </c>
      <c r="BG118" s="3307">
        <f t="shared" si="47"/>
        <v>0</v>
      </c>
      <c r="BH118" s="3307">
        <f t="shared" si="48"/>
        <v>0</v>
      </c>
      <c r="BI118" s="3307">
        <f t="shared" si="49"/>
        <v>0</v>
      </c>
      <c r="BJ118" s="3307">
        <f t="shared" si="50"/>
        <v>0</v>
      </c>
      <c r="BK118" s="3307">
        <f t="shared" si="51"/>
        <v>0</v>
      </c>
      <c r="BL118" s="3307">
        <f t="shared" si="52"/>
        <v>0</v>
      </c>
      <c r="BM118" s="3307">
        <f t="shared" si="53"/>
        <v>0</v>
      </c>
      <c r="BN118" s="3307">
        <f t="shared" si="54"/>
        <v>0</v>
      </c>
      <c r="BO118" s="3307">
        <f t="shared" si="55"/>
        <v>0</v>
      </c>
      <c r="BP118" s="3307">
        <f t="shared" si="56"/>
        <v>0</v>
      </c>
      <c r="BQ118" s="3307">
        <f t="shared" si="57"/>
        <v>0</v>
      </c>
      <c r="BR118" s="3307">
        <f t="shared" si="58"/>
        <v>0</v>
      </c>
      <c r="BS118" s="3307">
        <f t="shared" si="59"/>
        <v>0</v>
      </c>
      <c r="BT118" s="3359">
        <f t="shared" si="60"/>
        <v>0</v>
      </c>
    </row>
    <row r="119" spans="1:72">
      <c r="A119" s="3304"/>
      <c r="B119" s="3305"/>
      <c r="C119" s="3305"/>
      <c r="D119" s="3306"/>
      <c r="E119" s="3307">
        <f t="shared" si="61"/>
        <v>0</v>
      </c>
      <c r="F119" s="3308"/>
      <c r="G119" s="3309">
        <f t="shared" si="36"/>
        <v>0</v>
      </c>
      <c r="H119" s="3310">
        <f t="shared" si="37"/>
        <v>0</v>
      </c>
      <c r="I119" s="3317"/>
      <c r="J119" s="3317"/>
      <c r="K119" s="3317"/>
      <c r="L119" s="3317"/>
      <c r="M119" s="3317"/>
      <c r="N119" s="3317"/>
      <c r="O119" s="3317"/>
      <c r="P119" s="3317"/>
      <c r="Q119" s="3317"/>
      <c r="R119" s="3317"/>
      <c r="S119" s="3317"/>
      <c r="T119" s="3317"/>
      <c r="U119" s="3317"/>
      <c r="V119" s="3317"/>
      <c r="W119" s="3317"/>
      <c r="X119" s="3317"/>
      <c r="Y119" s="3317"/>
      <c r="Z119" s="3317"/>
      <c r="AA119" s="3317"/>
      <c r="AB119" s="3317"/>
      <c r="AC119" s="3307">
        <f t="shared" si="38"/>
        <v>0</v>
      </c>
      <c r="AD119" s="3327"/>
      <c r="AE119" s="3327"/>
      <c r="AF119" s="3327"/>
      <c r="AG119" s="3327"/>
      <c r="AH119" s="3327"/>
      <c r="AI119" s="3327"/>
      <c r="AJ119" s="3327"/>
      <c r="AK119" s="3327"/>
      <c r="AL119" s="3327"/>
      <c r="AM119" s="3327"/>
      <c r="AN119" s="3327"/>
      <c r="AO119" s="3327"/>
      <c r="AP119" s="3327"/>
      <c r="AQ119" s="3327"/>
      <c r="AR119" s="3327"/>
      <c r="AS119" s="3327"/>
      <c r="AT119" s="3337"/>
      <c r="AU119" s="3338"/>
      <c r="AV119" s="1410">
        <f t="shared" si="62"/>
        <v>0</v>
      </c>
      <c r="AW119" s="1410">
        <f t="shared" si="63"/>
        <v>0</v>
      </c>
      <c r="AX119" s="1410">
        <f t="shared" si="64"/>
        <v>0</v>
      </c>
      <c r="AY119" s="3352">
        <f t="shared" si="39"/>
        <v>0</v>
      </c>
      <c r="AZ119" s="3307">
        <f t="shared" si="40"/>
        <v>0</v>
      </c>
      <c r="BA119" s="3307">
        <f t="shared" si="41"/>
        <v>0</v>
      </c>
      <c r="BB119" s="3307">
        <f t="shared" si="42"/>
        <v>0</v>
      </c>
      <c r="BC119" s="3307">
        <f t="shared" si="43"/>
        <v>0</v>
      </c>
      <c r="BD119" s="3307">
        <f t="shared" si="44"/>
        <v>0</v>
      </c>
      <c r="BE119" s="3307">
        <f t="shared" si="45"/>
        <v>0</v>
      </c>
      <c r="BF119" s="3307">
        <f t="shared" si="46"/>
        <v>0</v>
      </c>
      <c r="BG119" s="3307">
        <f t="shared" si="47"/>
        <v>0</v>
      </c>
      <c r="BH119" s="3307">
        <f t="shared" si="48"/>
        <v>0</v>
      </c>
      <c r="BI119" s="3307">
        <f t="shared" si="49"/>
        <v>0</v>
      </c>
      <c r="BJ119" s="3307">
        <f t="shared" si="50"/>
        <v>0</v>
      </c>
      <c r="BK119" s="3307">
        <f t="shared" si="51"/>
        <v>0</v>
      </c>
      <c r="BL119" s="3307">
        <f t="shared" si="52"/>
        <v>0</v>
      </c>
      <c r="BM119" s="3307">
        <f t="shared" si="53"/>
        <v>0</v>
      </c>
      <c r="BN119" s="3307">
        <f t="shared" si="54"/>
        <v>0</v>
      </c>
      <c r="BO119" s="3307">
        <f t="shared" si="55"/>
        <v>0</v>
      </c>
      <c r="BP119" s="3307">
        <f t="shared" si="56"/>
        <v>0</v>
      </c>
      <c r="BQ119" s="3307">
        <f t="shared" si="57"/>
        <v>0</v>
      </c>
      <c r="BR119" s="3307">
        <f t="shared" si="58"/>
        <v>0</v>
      </c>
      <c r="BS119" s="3307">
        <f t="shared" si="59"/>
        <v>0</v>
      </c>
      <c r="BT119" s="3359">
        <f t="shared" si="60"/>
        <v>0</v>
      </c>
    </row>
    <row r="120" spans="1:72">
      <c r="A120" s="3304"/>
      <c r="B120" s="3305"/>
      <c r="C120" s="3305"/>
      <c r="D120" s="3306"/>
      <c r="E120" s="3307">
        <f t="shared" si="61"/>
        <v>0</v>
      </c>
      <c r="F120" s="3308"/>
      <c r="G120" s="3309">
        <f t="shared" si="36"/>
        <v>0</v>
      </c>
      <c r="H120" s="3310">
        <f t="shared" si="37"/>
        <v>0</v>
      </c>
      <c r="I120" s="3317"/>
      <c r="J120" s="3317"/>
      <c r="K120" s="3317"/>
      <c r="L120" s="3317"/>
      <c r="M120" s="3317"/>
      <c r="N120" s="3317"/>
      <c r="O120" s="3317"/>
      <c r="P120" s="3317"/>
      <c r="Q120" s="3317"/>
      <c r="R120" s="3317"/>
      <c r="S120" s="3317"/>
      <c r="T120" s="3317"/>
      <c r="U120" s="3317"/>
      <c r="V120" s="3317"/>
      <c r="W120" s="3317"/>
      <c r="X120" s="3317"/>
      <c r="Y120" s="3317"/>
      <c r="Z120" s="3317"/>
      <c r="AA120" s="3317"/>
      <c r="AB120" s="3317"/>
      <c r="AC120" s="3307">
        <f t="shared" si="38"/>
        <v>0</v>
      </c>
      <c r="AD120" s="3327"/>
      <c r="AE120" s="3327"/>
      <c r="AF120" s="3327"/>
      <c r="AG120" s="3327"/>
      <c r="AH120" s="3327"/>
      <c r="AI120" s="3327"/>
      <c r="AJ120" s="3327"/>
      <c r="AK120" s="3327"/>
      <c r="AL120" s="3327"/>
      <c r="AM120" s="3327"/>
      <c r="AN120" s="3327"/>
      <c r="AO120" s="3327"/>
      <c r="AP120" s="3327"/>
      <c r="AQ120" s="3327"/>
      <c r="AR120" s="3327"/>
      <c r="AS120" s="3327"/>
      <c r="AT120" s="3337"/>
      <c r="AU120" s="3338"/>
      <c r="AV120" s="1410">
        <f t="shared" si="62"/>
        <v>0</v>
      </c>
      <c r="AW120" s="1410">
        <f t="shared" si="63"/>
        <v>0</v>
      </c>
      <c r="AX120" s="1410">
        <f t="shared" si="64"/>
        <v>0</v>
      </c>
      <c r="AY120" s="3352">
        <f t="shared" si="39"/>
        <v>0</v>
      </c>
      <c r="AZ120" s="3307">
        <f t="shared" si="40"/>
        <v>0</v>
      </c>
      <c r="BA120" s="3307">
        <f t="shared" si="41"/>
        <v>0</v>
      </c>
      <c r="BB120" s="3307">
        <f t="shared" si="42"/>
        <v>0</v>
      </c>
      <c r="BC120" s="3307">
        <f t="shared" si="43"/>
        <v>0</v>
      </c>
      <c r="BD120" s="3307">
        <f t="shared" si="44"/>
        <v>0</v>
      </c>
      <c r="BE120" s="3307">
        <f t="shared" si="45"/>
        <v>0</v>
      </c>
      <c r="BF120" s="3307">
        <f t="shared" si="46"/>
        <v>0</v>
      </c>
      <c r="BG120" s="3307">
        <f t="shared" si="47"/>
        <v>0</v>
      </c>
      <c r="BH120" s="3307">
        <f t="shared" si="48"/>
        <v>0</v>
      </c>
      <c r="BI120" s="3307">
        <f t="shared" si="49"/>
        <v>0</v>
      </c>
      <c r="BJ120" s="3307">
        <f t="shared" si="50"/>
        <v>0</v>
      </c>
      <c r="BK120" s="3307">
        <f t="shared" si="51"/>
        <v>0</v>
      </c>
      <c r="BL120" s="3307">
        <f t="shared" si="52"/>
        <v>0</v>
      </c>
      <c r="BM120" s="3307">
        <f t="shared" si="53"/>
        <v>0</v>
      </c>
      <c r="BN120" s="3307">
        <f t="shared" si="54"/>
        <v>0</v>
      </c>
      <c r="BO120" s="3307">
        <f t="shared" si="55"/>
        <v>0</v>
      </c>
      <c r="BP120" s="3307">
        <f t="shared" si="56"/>
        <v>0</v>
      </c>
      <c r="BQ120" s="3307">
        <f t="shared" si="57"/>
        <v>0</v>
      </c>
      <c r="BR120" s="3307">
        <f t="shared" si="58"/>
        <v>0</v>
      </c>
      <c r="BS120" s="3307">
        <f t="shared" si="59"/>
        <v>0</v>
      </c>
      <c r="BT120" s="3359">
        <f t="shared" si="60"/>
        <v>0</v>
      </c>
    </row>
    <row r="121" spans="1:72">
      <c r="A121" s="3304"/>
      <c r="B121" s="3305"/>
      <c r="C121" s="3305"/>
      <c r="D121" s="3306"/>
      <c r="E121" s="3307">
        <f t="shared" si="61"/>
        <v>0</v>
      </c>
      <c r="F121" s="3308"/>
      <c r="G121" s="3309">
        <f t="shared" si="36"/>
        <v>0</v>
      </c>
      <c r="H121" s="3310">
        <f t="shared" si="37"/>
        <v>0</v>
      </c>
      <c r="I121" s="3317"/>
      <c r="J121" s="3317"/>
      <c r="K121" s="3317"/>
      <c r="L121" s="3317"/>
      <c r="M121" s="3317"/>
      <c r="N121" s="3317"/>
      <c r="O121" s="3317"/>
      <c r="P121" s="3317"/>
      <c r="Q121" s="3317"/>
      <c r="R121" s="3317"/>
      <c r="S121" s="3317"/>
      <c r="T121" s="3317"/>
      <c r="U121" s="3317"/>
      <c r="V121" s="3317"/>
      <c r="W121" s="3317"/>
      <c r="X121" s="3317"/>
      <c r="Y121" s="3317"/>
      <c r="Z121" s="3317"/>
      <c r="AA121" s="3317"/>
      <c r="AB121" s="3317"/>
      <c r="AC121" s="3307">
        <f t="shared" si="38"/>
        <v>0</v>
      </c>
      <c r="AD121" s="3327"/>
      <c r="AE121" s="3327"/>
      <c r="AF121" s="3327"/>
      <c r="AG121" s="3327"/>
      <c r="AH121" s="3327"/>
      <c r="AI121" s="3327"/>
      <c r="AJ121" s="3327"/>
      <c r="AK121" s="3327"/>
      <c r="AL121" s="3327"/>
      <c r="AM121" s="3327"/>
      <c r="AN121" s="3327"/>
      <c r="AO121" s="3327"/>
      <c r="AP121" s="3327"/>
      <c r="AQ121" s="3327"/>
      <c r="AR121" s="3327"/>
      <c r="AS121" s="3327"/>
      <c r="AT121" s="3337"/>
      <c r="AU121" s="3338"/>
      <c r="AV121" s="1410">
        <f t="shared" si="62"/>
        <v>0</v>
      </c>
      <c r="AW121" s="1410">
        <f t="shared" si="63"/>
        <v>0</v>
      </c>
      <c r="AX121" s="1410">
        <f t="shared" si="64"/>
        <v>0</v>
      </c>
      <c r="AY121" s="3352">
        <f t="shared" si="39"/>
        <v>0</v>
      </c>
      <c r="AZ121" s="3307">
        <f t="shared" si="40"/>
        <v>0</v>
      </c>
      <c r="BA121" s="3307">
        <f t="shared" si="41"/>
        <v>0</v>
      </c>
      <c r="BB121" s="3307">
        <f t="shared" si="42"/>
        <v>0</v>
      </c>
      <c r="BC121" s="3307">
        <f t="shared" si="43"/>
        <v>0</v>
      </c>
      <c r="BD121" s="3307">
        <f t="shared" si="44"/>
        <v>0</v>
      </c>
      <c r="BE121" s="3307">
        <f t="shared" si="45"/>
        <v>0</v>
      </c>
      <c r="BF121" s="3307">
        <f t="shared" si="46"/>
        <v>0</v>
      </c>
      <c r="BG121" s="3307">
        <f t="shared" si="47"/>
        <v>0</v>
      </c>
      <c r="BH121" s="3307">
        <f t="shared" si="48"/>
        <v>0</v>
      </c>
      <c r="BI121" s="3307">
        <f t="shared" si="49"/>
        <v>0</v>
      </c>
      <c r="BJ121" s="3307">
        <f t="shared" si="50"/>
        <v>0</v>
      </c>
      <c r="BK121" s="3307">
        <f t="shared" si="51"/>
        <v>0</v>
      </c>
      <c r="BL121" s="3307">
        <f t="shared" si="52"/>
        <v>0</v>
      </c>
      <c r="BM121" s="3307">
        <f t="shared" si="53"/>
        <v>0</v>
      </c>
      <c r="BN121" s="3307">
        <f t="shared" si="54"/>
        <v>0</v>
      </c>
      <c r="BO121" s="3307">
        <f t="shared" si="55"/>
        <v>0</v>
      </c>
      <c r="BP121" s="3307">
        <f t="shared" si="56"/>
        <v>0</v>
      </c>
      <c r="BQ121" s="3307">
        <f t="shared" si="57"/>
        <v>0</v>
      </c>
      <c r="BR121" s="3307">
        <f t="shared" si="58"/>
        <v>0</v>
      </c>
      <c r="BS121" s="3307">
        <f t="shared" si="59"/>
        <v>0</v>
      </c>
      <c r="BT121" s="3359">
        <f t="shared" si="60"/>
        <v>0</v>
      </c>
    </row>
    <row r="122" spans="1:72">
      <c r="A122" s="3304"/>
      <c r="B122" s="3305"/>
      <c r="C122" s="3305"/>
      <c r="D122" s="3306"/>
      <c r="E122" s="3307">
        <f t="shared" si="61"/>
        <v>0</v>
      </c>
      <c r="F122" s="3308"/>
      <c r="G122" s="3309">
        <f t="shared" si="36"/>
        <v>0</v>
      </c>
      <c r="H122" s="3310">
        <f t="shared" si="37"/>
        <v>0</v>
      </c>
      <c r="I122" s="3317"/>
      <c r="J122" s="3317"/>
      <c r="K122" s="3317"/>
      <c r="L122" s="3317"/>
      <c r="M122" s="3317"/>
      <c r="N122" s="3317"/>
      <c r="O122" s="3317"/>
      <c r="P122" s="3317"/>
      <c r="Q122" s="3317"/>
      <c r="R122" s="3317"/>
      <c r="S122" s="3317"/>
      <c r="T122" s="3317"/>
      <c r="U122" s="3317"/>
      <c r="V122" s="3317"/>
      <c r="W122" s="3317"/>
      <c r="X122" s="3317"/>
      <c r="Y122" s="3317"/>
      <c r="Z122" s="3317"/>
      <c r="AA122" s="3317"/>
      <c r="AB122" s="3317"/>
      <c r="AC122" s="3307">
        <f t="shared" si="38"/>
        <v>0</v>
      </c>
      <c r="AD122" s="3327"/>
      <c r="AE122" s="3327"/>
      <c r="AF122" s="3327"/>
      <c r="AG122" s="3327"/>
      <c r="AH122" s="3327"/>
      <c r="AI122" s="3327"/>
      <c r="AJ122" s="3327"/>
      <c r="AK122" s="3327"/>
      <c r="AL122" s="3327"/>
      <c r="AM122" s="3327"/>
      <c r="AN122" s="3327"/>
      <c r="AO122" s="3327"/>
      <c r="AP122" s="3327"/>
      <c r="AQ122" s="3327"/>
      <c r="AR122" s="3327"/>
      <c r="AS122" s="3327"/>
      <c r="AT122" s="3337"/>
      <c r="AU122" s="3338"/>
      <c r="AV122" s="1410">
        <f t="shared" si="62"/>
        <v>0</v>
      </c>
      <c r="AW122" s="1410">
        <f t="shared" si="63"/>
        <v>0</v>
      </c>
      <c r="AX122" s="1410">
        <f t="shared" si="64"/>
        <v>0</v>
      </c>
      <c r="AY122" s="3352">
        <f t="shared" si="39"/>
        <v>0</v>
      </c>
      <c r="AZ122" s="3307">
        <f t="shared" si="40"/>
        <v>0</v>
      </c>
      <c r="BA122" s="3307">
        <f t="shared" si="41"/>
        <v>0</v>
      </c>
      <c r="BB122" s="3307">
        <f t="shared" si="42"/>
        <v>0</v>
      </c>
      <c r="BC122" s="3307">
        <f t="shared" si="43"/>
        <v>0</v>
      </c>
      <c r="BD122" s="3307">
        <f t="shared" si="44"/>
        <v>0</v>
      </c>
      <c r="BE122" s="3307">
        <f t="shared" si="45"/>
        <v>0</v>
      </c>
      <c r="BF122" s="3307">
        <f t="shared" si="46"/>
        <v>0</v>
      </c>
      <c r="BG122" s="3307">
        <f t="shared" si="47"/>
        <v>0</v>
      </c>
      <c r="BH122" s="3307">
        <f t="shared" si="48"/>
        <v>0</v>
      </c>
      <c r="BI122" s="3307">
        <f t="shared" si="49"/>
        <v>0</v>
      </c>
      <c r="BJ122" s="3307">
        <f t="shared" si="50"/>
        <v>0</v>
      </c>
      <c r="BK122" s="3307">
        <f t="shared" si="51"/>
        <v>0</v>
      </c>
      <c r="BL122" s="3307">
        <f t="shared" si="52"/>
        <v>0</v>
      </c>
      <c r="BM122" s="3307">
        <f t="shared" si="53"/>
        <v>0</v>
      </c>
      <c r="BN122" s="3307">
        <f t="shared" si="54"/>
        <v>0</v>
      </c>
      <c r="BO122" s="3307">
        <f t="shared" si="55"/>
        <v>0</v>
      </c>
      <c r="BP122" s="3307">
        <f t="shared" si="56"/>
        <v>0</v>
      </c>
      <c r="BQ122" s="3307">
        <f t="shared" si="57"/>
        <v>0</v>
      </c>
      <c r="BR122" s="3307">
        <f t="shared" si="58"/>
        <v>0</v>
      </c>
      <c r="BS122" s="3307">
        <f t="shared" si="59"/>
        <v>0</v>
      </c>
      <c r="BT122" s="3359">
        <f t="shared" si="60"/>
        <v>0</v>
      </c>
    </row>
    <row r="123" spans="1:72">
      <c r="A123" s="3304"/>
      <c r="B123" s="3305"/>
      <c r="C123" s="3305"/>
      <c r="D123" s="3306"/>
      <c r="E123" s="3307">
        <f t="shared" si="61"/>
        <v>0</v>
      </c>
      <c r="F123" s="3308"/>
      <c r="G123" s="3309">
        <f t="shared" si="36"/>
        <v>0</v>
      </c>
      <c r="H123" s="3310">
        <f t="shared" si="37"/>
        <v>0</v>
      </c>
      <c r="I123" s="3317"/>
      <c r="J123" s="3317"/>
      <c r="K123" s="3317"/>
      <c r="L123" s="3317"/>
      <c r="M123" s="3317"/>
      <c r="N123" s="3317"/>
      <c r="O123" s="3317"/>
      <c r="P123" s="3317"/>
      <c r="Q123" s="3317"/>
      <c r="R123" s="3317"/>
      <c r="S123" s="3317"/>
      <c r="T123" s="3317"/>
      <c r="U123" s="3317"/>
      <c r="V123" s="3317"/>
      <c r="W123" s="3317"/>
      <c r="X123" s="3317"/>
      <c r="Y123" s="3317"/>
      <c r="Z123" s="3317"/>
      <c r="AA123" s="3317"/>
      <c r="AB123" s="3317"/>
      <c r="AC123" s="3307">
        <f t="shared" si="38"/>
        <v>0</v>
      </c>
      <c r="AD123" s="3327"/>
      <c r="AE123" s="3327"/>
      <c r="AF123" s="3327"/>
      <c r="AG123" s="3327"/>
      <c r="AH123" s="3327"/>
      <c r="AI123" s="3327"/>
      <c r="AJ123" s="3327"/>
      <c r="AK123" s="3327"/>
      <c r="AL123" s="3327"/>
      <c r="AM123" s="3327"/>
      <c r="AN123" s="3327"/>
      <c r="AO123" s="3327"/>
      <c r="AP123" s="3327"/>
      <c r="AQ123" s="3327"/>
      <c r="AR123" s="3327"/>
      <c r="AS123" s="3327"/>
      <c r="AT123" s="3337"/>
      <c r="AU123" s="3338"/>
      <c r="AV123" s="1410">
        <f t="shared" si="62"/>
        <v>0</v>
      </c>
      <c r="AW123" s="1410">
        <f t="shared" si="63"/>
        <v>0</v>
      </c>
      <c r="AX123" s="1410">
        <f t="shared" si="64"/>
        <v>0</v>
      </c>
      <c r="AY123" s="3352">
        <f t="shared" si="39"/>
        <v>0</v>
      </c>
      <c r="AZ123" s="3307">
        <f t="shared" si="40"/>
        <v>0</v>
      </c>
      <c r="BA123" s="3307">
        <f t="shared" si="41"/>
        <v>0</v>
      </c>
      <c r="BB123" s="3307">
        <f t="shared" si="42"/>
        <v>0</v>
      </c>
      <c r="BC123" s="3307">
        <f t="shared" si="43"/>
        <v>0</v>
      </c>
      <c r="BD123" s="3307">
        <f t="shared" si="44"/>
        <v>0</v>
      </c>
      <c r="BE123" s="3307">
        <f t="shared" si="45"/>
        <v>0</v>
      </c>
      <c r="BF123" s="3307">
        <f t="shared" si="46"/>
        <v>0</v>
      </c>
      <c r="BG123" s="3307">
        <f t="shared" si="47"/>
        <v>0</v>
      </c>
      <c r="BH123" s="3307">
        <f t="shared" si="48"/>
        <v>0</v>
      </c>
      <c r="BI123" s="3307">
        <f t="shared" si="49"/>
        <v>0</v>
      </c>
      <c r="BJ123" s="3307">
        <f t="shared" si="50"/>
        <v>0</v>
      </c>
      <c r="BK123" s="3307">
        <f t="shared" si="51"/>
        <v>0</v>
      </c>
      <c r="BL123" s="3307">
        <f t="shared" si="52"/>
        <v>0</v>
      </c>
      <c r="BM123" s="3307">
        <f t="shared" si="53"/>
        <v>0</v>
      </c>
      <c r="BN123" s="3307">
        <f t="shared" si="54"/>
        <v>0</v>
      </c>
      <c r="BO123" s="3307">
        <f t="shared" si="55"/>
        <v>0</v>
      </c>
      <c r="BP123" s="3307">
        <f t="shared" si="56"/>
        <v>0</v>
      </c>
      <c r="BQ123" s="3307">
        <f t="shared" si="57"/>
        <v>0</v>
      </c>
      <c r="BR123" s="3307">
        <f t="shared" si="58"/>
        <v>0</v>
      </c>
      <c r="BS123" s="3307">
        <f t="shared" si="59"/>
        <v>0</v>
      </c>
      <c r="BT123" s="3359">
        <f t="shared" si="60"/>
        <v>0</v>
      </c>
    </row>
    <row r="124" spans="1:72">
      <c r="A124" s="3304"/>
      <c r="B124" s="3305"/>
      <c r="C124" s="3305"/>
      <c r="D124" s="3306"/>
      <c r="E124" s="3307">
        <f t="shared" si="61"/>
        <v>0</v>
      </c>
      <c r="F124" s="3308"/>
      <c r="G124" s="3309">
        <f t="shared" si="36"/>
        <v>0</v>
      </c>
      <c r="H124" s="3310">
        <f t="shared" si="37"/>
        <v>0</v>
      </c>
      <c r="I124" s="3317"/>
      <c r="J124" s="3317"/>
      <c r="K124" s="3317"/>
      <c r="L124" s="3317"/>
      <c r="M124" s="3317"/>
      <c r="N124" s="3317"/>
      <c r="O124" s="3317"/>
      <c r="P124" s="3317"/>
      <c r="Q124" s="3317"/>
      <c r="R124" s="3317"/>
      <c r="S124" s="3317"/>
      <c r="T124" s="3317"/>
      <c r="U124" s="3317"/>
      <c r="V124" s="3317"/>
      <c r="W124" s="3317"/>
      <c r="X124" s="3317"/>
      <c r="Y124" s="3317"/>
      <c r="Z124" s="3317"/>
      <c r="AA124" s="3317"/>
      <c r="AB124" s="3317"/>
      <c r="AC124" s="3307">
        <f t="shared" si="38"/>
        <v>0</v>
      </c>
      <c r="AD124" s="3327"/>
      <c r="AE124" s="3327"/>
      <c r="AF124" s="3327"/>
      <c r="AG124" s="3327"/>
      <c r="AH124" s="3327"/>
      <c r="AI124" s="3327"/>
      <c r="AJ124" s="3327"/>
      <c r="AK124" s="3327"/>
      <c r="AL124" s="3327"/>
      <c r="AM124" s="3327"/>
      <c r="AN124" s="3327"/>
      <c r="AO124" s="3327"/>
      <c r="AP124" s="3327"/>
      <c r="AQ124" s="3327"/>
      <c r="AR124" s="3327"/>
      <c r="AS124" s="3327"/>
      <c r="AT124" s="3337"/>
      <c r="AU124" s="3338"/>
      <c r="AV124" s="1410">
        <f t="shared" si="62"/>
        <v>0</v>
      </c>
      <c r="AW124" s="1410">
        <f t="shared" si="63"/>
        <v>0</v>
      </c>
      <c r="AX124" s="1410">
        <f t="shared" si="64"/>
        <v>0</v>
      </c>
      <c r="AY124" s="3352">
        <f t="shared" si="39"/>
        <v>0</v>
      </c>
      <c r="AZ124" s="3307">
        <f t="shared" si="40"/>
        <v>0</v>
      </c>
      <c r="BA124" s="3307">
        <f t="shared" si="41"/>
        <v>0</v>
      </c>
      <c r="BB124" s="3307">
        <f t="shared" si="42"/>
        <v>0</v>
      </c>
      <c r="BC124" s="3307">
        <f t="shared" si="43"/>
        <v>0</v>
      </c>
      <c r="BD124" s="3307">
        <f t="shared" si="44"/>
        <v>0</v>
      </c>
      <c r="BE124" s="3307">
        <f t="shared" si="45"/>
        <v>0</v>
      </c>
      <c r="BF124" s="3307">
        <f t="shared" si="46"/>
        <v>0</v>
      </c>
      <c r="BG124" s="3307">
        <f t="shared" si="47"/>
        <v>0</v>
      </c>
      <c r="BH124" s="3307">
        <f t="shared" si="48"/>
        <v>0</v>
      </c>
      <c r="BI124" s="3307">
        <f t="shared" si="49"/>
        <v>0</v>
      </c>
      <c r="BJ124" s="3307">
        <f t="shared" si="50"/>
        <v>0</v>
      </c>
      <c r="BK124" s="3307">
        <f t="shared" si="51"/>
        <v>0</v>
      </c>
      <c r="BL124" s="3307">
        <f t="shared" si="52"/>
        <v>0</v>
      </c>
      <c r="BM124" s="3307">
        <f t="shared" si="53"/>
        <v>0</v>
      </c>
      <c r="BN124" s="3307">
        <f t="shared" si="54"/>
        <v>0</v>
      </c>
      <c r="BO124" s="3307">
        <f t="shared" si="55"/>
        <v>0</v>
      </c>
      <c r="BP124" s="3307">
        <f t="shared" si="56"/>
        <v>0</v>
      </c>
      <c r="BQ124" s="3307">
        <f t="shared" si="57"/>
        <v>0</v>
      </c>
      <c r="BR124" s="3307">
        <f t="shared" si="58"/>
        <v>0</v>
      </c>
      <c r="BS124" s="3307">
        <f t="shared" si="59"/>
        <v>0</v>
      </c>
      <c r="BT124" s="3359">
        <f t="shared" si="60"/>
        <v>0</v>
      </c>
    </row>
    <row r="125" spans="1:72">
      <c r="A125" s="3304"/>
      <c r="B125" s="3305"/>
      <c r="C125" s="3305"/>
      <c r="D125" s="3306"/>
      <c r="E125" s="3307">
        <f t="shared" si="61"/>
        <v>0</v>
      </c>
      <c r="F125" s="3308"/>
      <c r="G125" s="3309">
        <f t="shared" si="36"/>
        <v>0</v>
      </c>
      <c r="H125" s="3310">
        <f t="shared" si="37"/>
        <v>0</v>
      </c>
      <c r="I125" s="3317"/>
      <c r="J125" s="3317"/>
      <c r="K125" s="3317"/>
      <c r="L125" s="3317"/>
      <c r="M125" s="3317"/>
      <c r="N125" s="3317"/>
      <c r="O125" s="3317"/>
      <c r="P125" s="3317"/>
      <c r="Q125" s="3317"/>
      <c r="R125" s="3317"/>
      <c r="S125" s="3317"/>
      <c r="T125" s="3317"/>
      <c r="U125" s="3317"/>
      <c r="V125" s="3317"/>
      <c r="W125" s="3317"/>
      <c r="X125" s="3317"/>
      <c r="Y125" s="3317"/>
      <c r="Z125" s="3317"/>
      <c r="AA125" s="3317"/>
      <c r="AB125" s="3317"/>
      <c r="AC125" s="3307">
        <f t="shared" si="38"/>
        <v>0</v>
      </c>
      <c r="AD125" s="3327"/>
      <c r="AE125" s="3327"/>
      <c r="AF125" s="3327"/>
      <c r="AG125" s="3327"/>
      <c r="AH125" s="3327"/>
      <c r="AI125" s="3327"/>
      <c r="AJ125" s="3327"/>
      <c r="AK125" s="3327"/>
      <c r="AL125" s="3327"/>
      <c r="AM125" s="3327"/>
      <c r="AN125" s="3327"/>
      <c r="AO125" s="3327"/>
      <c r="AP125" s="3327"/>
      <c r="AQ125" s="3327"/>
      <c r="AR125" s="3327"/>
      <c r="AS125" s="3327"/>
      <c r="AT125" s="3337"/>
      <c r="AU125" s="3338"/>
      <c r="AV125" s="1410">
        <f t="shared" si="62"/>
        <v>0</v>
      </c>
      <c r="AW125" s="1410">
        <f t="shared" si="63"/>
        <v>0</v>
      </c>
      <c r="AX125" s="1410">
        <f t="shared" si="64"/>
        <v>0</v>
      </c>
      <c r="AY125" s="3352">
        <f t="shared" si="39"/>
        <v>0</v>
      </c>
      <c r="AZ125" s="3307">
        <f t="shared" si="40"/>
        <v>0</v>
      </c>
      <c r="BA125" s="3307">
        <f t="shared" si="41"/>
        <v>0</v>
      </c>
      <c r="BB125" s="3307">
        <f t="shared" si="42"/>
        <v>0</v>
      </c>
      <c r="BC125" s="3307">
        <f t="shared" si="43"/>
        <v>0</v>
      </c>
      <c r="BD125" s="3307">
        <f t="shared" si="44"/>
        <v>0</v>
      </c>
      <c r="BE125" s="3307">
        <f t="shared" si="45"/>
        <v>0</v>
      </c>
      <c r="BF125" s="3307">
        <f t="shared" si="46"/>
        <v>0</v>
      </c>
      <c r="BG125" s="3307">
        <f t="shared" si="47"/>
        <v>0</v>
      </c>
      <c r="BH125" s="3307">
        <f t="shared" si="48"/>
        <v>0</v>
      </c>
      <c r="BI125" s="3307">
        <f t="shared" si="49"/>
        <v>0</v>
      </c>
      <c r="BJ125" s="3307">
        <f t="shared" si="50"/>
        <v>0</v>
      </c>
      <c r="BK125" s="3307">
        <f t="shared" si="51"/>
        <v>0</v>
      </c>
      <c r="BL125" s="3307">
        <f t="shared" si="52"/>
        <v>0</v>
      </c>
      <c r="BM125" s="3307">
        <f t="shared" si="53"/>
        <v>0</v>
      </c>
      <c r="BN125" s="3307">
        <f t="shared" si="54"/>
        <v>0</v>
      </c>
      <c r="BO125" s="3307">
        <f t="shared" si="55"/>
        <v>0</v>
      </c>
      <c r="BP125" s="3307">
        <f t="shared" si="56"/>
        <v>0</v>
      </c>
      <c r="BQ125" s="3307">
        <f t="shared" si="57"/>
        <v>0</v>
      </c>
      <c r="BR125" s="3307">
        <f t="shared" si="58"/>
        <v>0</v>
      </c>
      <c r="BS125" s="3307">
        <f t="shared" si="59"/>
        <v>0</v>
      </c>
      <c r="BT125" s="3359">
        <f t="shared" si="60"/>
        <v>0</v>
      </c>
    </row>
    <row r="126" spans="1:72">
      <c r="A126" s="3304"/>
      <c r="B126" s="3305"/>
      <c r="C126" s="3305"/>
      <c r="D126" s="3306"/>
      <c r="E126" s="3307">
        <f t="shared" si="61"/>
        <v>0</v>
      </c>
      <c r="F126" s="3308"/>
      <c r="G126" s="3309">
        <f t="shared" si="36"/>
        <v>0</v>
      </c>
      <c r="H126" s="3310">
        <f t="shared" si="37"/>
        <v>0</v>
      </c>
      <c r="I126" s="3317"/>
      <c r="J126" s="3317"/>
      <c r="K126" s="3317"/>
      <c r="L126" s="3317"/>
      <c r="M126" s="3317"/>
      <c r="N126" s="3317"/>
      <c r="O126" s="3317"/>
      <c r="P126" s="3317"/>
      <c r="Q126" s="3317"/>
      <c r="R126" s="3317"/>
      <c r="S126" s="3317"/>
      <c r="T126" s="3317"/>
      <c r="U126" s="3317"/>
      <c r="V126" s="3317"/>
      <c r="W126" s="3317"/>
      <c r="X126" s="3317"/>
      <c r="Y126" s="3317"/>
      <c r="Z126" s="3317"/>
      <c r="AA126" s="3317"/>
      <c r="AB126" s="3317"/>
      <c r="AC126" s="3307">
        <f t="shared" si="38"/>
        <v>0</v>
      </c>
      <c r="AD126" s="3327"/>
      <c r="AE126" s="3327"/>
      <c r="AF126" s="3327"/>
      <c r="AG126" s="3327"/>
      <c r="AH126" s="3327"/>
      <c r="AI126" s="3327"/>
      <c r="AJ126" s="3327"/>
      <c r="AK126" s="3327"/>
      <c r="AL126" s="3327"/>
      <c r="AM126" s="3327"/>
      <c r="AN126" s="3327"/>
      <c r="AO126" s="3327"/>
      <c r="AP126" s="3327"/>
      <c r="AQ126" s="3327"/>
      <c r="AR126" s="3327"/>
      <c r="AS126" s="3327"/>
      <c r="AT126" s="3337"/>
      <c r="AU126" s="3338"/>
      <c r="AV126" s="1410">
        <f t="shared" si="62"/>
        <v>0</v>
      </c>
      <c r="AW126" s="1410">
        <f t="shared" si="63"/>
        <v>0</v>
      </c>
      <c r="AX126" s="1410">
        <f t="shared" si="64"/>
        <v>0</v>
      </c>
      <c r="AY126" s="3352">
        <f t="shared" si="39"/>
        <v>0</v>
      </c>
      <c r="AZ126" s="3307">
        <f t="shared" si="40"/>
        <v>0</v>
      </c>
      <c r="BA126" s="3307">
        <f t="shared" si="41"/>
        <v>0</v>
      </c>
      <c r="BB126" s="3307">
        <f t="shared" si="42"/>
        <v>0</v>
      </c>
      <c r="BC126" s="3307">
        <f t="shared" si="43"/>
        <v>0</v>
      </c>
      <c r="BD126" s="3307">
        <f t="shared" si="44"/>
        <v>0</v>
      </c>
      <c r="BE126" s="3307">
        <f t="shared" si="45"/>
        <v>0</v>
      </c>
      <c r="BF126" s="3307">
        <f t="shared" si="46"/>
        <v>0</v>
      </c>
      <c r="BG126" s="3307">
        <f t="shared" si="47"/>
        <v>0</v>
      </c>
      <c r="BH126" s="3307">
        <f t="shared" si="48"/>
        <v>0</v>
      </c>
      <c r="BI126" s="3307">
        <f t="shared" si="49"/>
        <v>0</v>
      </c>
      <c r="BJ126" s="3307">
        <f t="shared" si="50"/>
        <v>0</v>
      </c>
      <c r="BK126" s="3307">
        <f t="shared" si="51"/>
        <v>0</v>
      </c>
      <c r="BL126" s="3307">
        <f t="shared" si="52"/>
        <v>0</v>
      </c>
      <c r="BM126" s="3307">
        <f t="shared" si="53"/>
        <v>0</v>
      </c>
      <c r="BN126" s="3307">
        <f t="shared" si="54"/>
        <v>0</v>
      </c>
      <c r="BO126" s="3307">
        <f t="shared" si="55"/>
        <v>0</v>
      </c>
      <c r="BP126" s="3307">
        <f t="shared" si="56"/>
        <v>0</v>
      </c>
      <c r="BQ126" s="3307">
        <f t="shared" si="57"/>
        <v>0</v>
      </c>
      <c r="BR126" s="3307">
        <f t="shared" si="58"/>
        <v>0</v>
      </c>
      <c r="BS126" s="3307">
        <f t="shared" si="59"/>
        <v>0</v>
      </c>
      <c r="BT126" s="3359">
        <f t="shared" si="60"/>
        <v>0</v>
      </c>
    </row>
    <row r="127" spans="1:72">
      <c r="A127" s="3304"/>
      <c r="B127" s="3305"/>
      <c r="C127" s="3305"/>
      <c r="D127" s="3306"/>
      <c r="E127" s="3307">
        <f t="shared" si="61"/>
        <v>0</v>
      </c>
      <c r="F127" s="3308"/>
      <c r="G127" s="3309">
        <f t="shared" si="36"/>
        <v>0</v>
      </c>
      <c r="H127" s="3310">
        <f t="shared" si="37"/>
        <v>0</v>
      </c>
      <c r="I127" s="3317"/>
      <c r="J127" s="3317"/>
      <c r="K127" s="3317"/>
      <c r="L127" s="3317"/>
      <c r="M127" s="3317"/>
      <c r="N127" s="3317"/>
      <c r="O127" s="3317"/>
      <c r="P127" s="3317"/>
      <c r="Q127" s="3317"/>
      <c r="R127" s="3317"/>
      <c r="S127" s="3317"/>
      <c r="T127" s="3317"/>
      <c r="U127" s="3317"/>
      <c r="V127" s="3317"/>
      <c r="W127" s="3317"/>
      <c r="X127" s="3317"/>
      <c r="Y127" s="3317"/>
      <c r="Z127" s="3317"/>
      <c r="AA127" s="3317"/>
      <c r="AB127" s="3317"/>
      <c r="AC127" s="3307">
        <f t="shared" si="38"/>
        <v>0</v>
      </c>
      <c r="AD127" s="3327"/>
      <c r="AE127" s="3327"/>
      <c r="AF127" s="3327"/>
      <c r="AG127" s="3327"/>
      <c r="AH127" s="3327"/>
      <c r="AI127" s="3327"/>
      <c r="AJ127" s="3327"/>
      <c r="AK127" s="3327"/>
      <c r="AL127" s="3327"/>
      <c r="AM127" s="3327"/>
      <c r="AN127" s="3327"/>
      <c r="AO127" s="3327"/>
      <c r="AP127" s="3327"/>
      <c r="AQ127" s="3327"/>
      <c r="AR127" s="3327"/>
      <c r="AS127" s="3327"/>
      <c r="AT127" s="3337"/>
      <c r="AU127" s="3338"/>
      <c r="AV127" s="1410">
        <f t="shared" si="62"/>
        <v>0</v>
      </c>
      <c r="AW127" s="1410">
        <f t="shared" si="63"/>
        <v>0</v>
      </c>
      <c r="AX127" s="1410">
        <f t="shared" si="64"/>
        <v>0</v>
      </c>
      <c r="AY127" s="3352">
        <f t="shared" si="39"/>
        <v>0</v>
      </c>
      <c r="AZ127" s="3307">
        <f t="shared" si="40"/>
        <v>0</v>
      </c>
      <c r="BA127" s="3307">
        <f t="shared" si="41"/>
        <v>0</v>
      </c>
      <c r="BB127" s="3307">
        <f t="shared" si="42"/>
        <v>0</v>
      </c>
      <c r="BC127" s="3307">
        <f t="shared" si="43"/>
        <v>0</v>
      </c>
      <c r="BD127" s="3307">
        <f t="shared" si="44"/>
        <v>0</v>
      </c>
      <c r="BE127" s="3307">
        <f t="shared" si="45"/>
        <v>0</v>
      </c>
      <c r="BF127" s="3307">
        <f t="shared" si="46"/>
        <v>0</v>
      </c>
      <c r="BG127" s="3307">
        <f t="shared" si="47"/>
        <v>0</v>
      </c>
      <c r="BH127" s="3307">
        <f t="shared" si="48"/>
        <v>0</v>
      </c>
      <c r="BI127" s="3307">
        <f t="shared" si="49"/>
        <v>0</v>
      </c>
      <c r="BJ127" s="3307">
        <f t="shared" si="50"/>
        <v>0</v>
      </c>
      <c r="BK127" s="3307">
        <f t="shared" si="51"/>
        <v>0</v>
      </c>
      <c r="BL127" s="3307">
        <f t="shared" si="52"/>
        <v>0</v>
      </c>
      <c r="BM127" s="3307">
        <f t="shared" si="53"/>
        <v>0</v>
      </c>
      <c r="BN127" s="3307">
        <f t="shared" si="54"/>
        <v>0</v>
      </c>
      <c r="BO127" s="3307">
        <f t="shared" si="55"/>
        <v>0</v>
      </c>
      <c r="BP127" s="3307">
        <f t="shared" si="56"/>
        <v>0</v>
      </c>
      <c r="BQ127" s="3307">
        <f t="shared" si="57"/>
        <v>0</v>
      </c>
      <c r="BR127" s="3307">
        <f t="shared" si="58"/>
        <v>0</v>
      </c>
      <c r="BS127" s="3307">
        <f t="shared" si="59"/>
        <v>0</v>
      </c>
      <c r="BT127" s="3359">
        <f t="shared" si="60"/>
        <v>0</v>
      </c>
    </row>
    <row r="128" spans="1:72">
      <c r="A128" s="3304"/>
      <c r="B128" s="3305"/>
      <c r="C128" s="3305"/>
      <c r="D128" s="3306"/>
      <c r="E128" s="3307">
        <f t="shared" si="61"/>
        <v>0</v>
      </c>
      <c r="F128" s="3308"/>
      <c r="G128" s="3309">
        <f t="shared" si="36"/>
        <v>0</v>
      </c>
      <c r="H128" s="3310">
        <f t="shared" si="37"/>
        <v>0</v>
      </c>
      <c r="I128" s="3317"/>
      <c r="J128" s="3317"/>
      <c r="K128" s="3317"/>
      <c r="L128" s="3317"/>
      <c r="M128" s="3317"/>
      <c r="N128" s="3317"/>
      <c r="O128" s="3317"/>
      <c r="P128" s="3317"/>
      <c r="Q128" s="3317"/>
      <c r="R128" s="3317"/>
      <c r="S128" s="3317"/>
      <c r="T128" s="3317"/>
      <c r="U128" s="3317"/>
      <c r="V128" s="3317"/>
      <c r="W128" s="3317"/>
      <c r="X128" s="3317"/>
      <c r="Y128" s="3317"/>
      <c r="Z128" s="3317"/>
      <c r="AA128" s="3317"/>
      <c r="AB128" s="3317"/>
      <c r="AC128" s="3307">
        <f t="shared" si="38"/>
        <v>0</v>
      </c>
      <c r="AD128" s="3327"/>
      <c r="AE128" s="3327"/>
      <c r="AF128" s="3327"/>
      <c r="AG128" s="3327"/>
      <c r="AH128" s="3327"/>
      <c r="AI128" s="3327"/>
      <c r="AJ128" s="3327"/>
      <c r="AK128" s="3327"/>
      <c r="AL128" s="3327"/>
      <c r="AM128" s="3327"/>
      <c r="AN128" s="3327"/>
      <c r="AO128" s="3327"/>
      <c r="AP128" s="3327"/>
      <c r="AQ128" s="3327"/>
      <c r="AR128" s="3327"/>
      <c r="AS128" s="3327"/>
      <c r="AT128" s="3337"/>
      <c r="AU128" s="3338"/>
      <c r="AV128" s="1410">
        <f t="shared" si="62"/>
        <v>0</v>
      </c>
      <c r="AW128" s="1410">
        <f t="shared" si="63"/>
        <v>0</v>
      </c>
      <c r="AX128" s="1410">
        <f t="shared" si="64"/>
        <v>0</v>
      </c>
      <c r="AY128" s="3352">
        <f t="shared" si="39"/>
        <v>0</v>
      </c>
      <c r="AZ128" s="3307">
        <f t="shared" si="40"/>
        <v>0</v>
      </c>
      <c r="BA128" s="3307">
        <f t="shared" si="41"/>
        <v>0</v>
      </c>
      <c r="BB128" s="3307">
        <f t="shared" si="42"/>
        <v>0</v>
      </c>
      <c r="BC128" s="3307">
        <f t="shared" si="43"/>
        <v>0</v>
      </c>
      <c r="BD128" s="3307">
        <f t="shared" si="44"/>
        <v>0</v>
      </c>
      <c r="BE128" s="3307">
        <f t="shared" si="45"/>
        <v>0</v>
      </c>
      <c r="BF128" s="3307">
        <f t="shared" si="46"/>
        <v>0</v>
      </c>
      <c r="BG128" s="3307">
        <f t="shared" si="47"/>
        <v>0</v>
      </c>
      <c r="BH128" s="3307">
        <f t="shared" si="48"/>
        <v>0</v>
      </c>
      <c r="BI128" s="3307">
        <f t="shared" si="49"/>
        <v>0</v>
      </c>
      <c r="BJ128" s="3307">
        <f t="shared" si="50"/>
        <v>0</v>
      </c>
      <c r="BK128" s="3307">
        <f t="shared" si="51"/>
        <v>0</v>
      </c>
      <c r="BL128" s="3307">
        <f t="shared" si="52"/>
        <v>0</v>
      </c>
      <c r="BM128" s="3307">
        <f t="shared" si="53"/>
        <v>0</v>
      </c>
      <c r="BN128" s="3307">
        <f t="shared" si="54"/>
        <v>0</v>
      </c>
      <c r="BO128" s="3307">
        <f t="shared" si="55"/>
        <v>0</v>
      </c>
      <c r="BP128" s="3307">
        <f t="shared" si="56"/>
        <v>0</v>
      </c>
      <c r="BQ128" s="3307">
        <f t="shared" si="57"/>
        <v>0</v>
      </c>
      <c r="BR128" s="3307">
        <f t="shared" si="58"/>
        <v>0</v>
      </c>
      <c r="BS128" s="3307">
        <f t="shared" si="59"/>
        <v>0</v>
      </c>
      <c r="BT128" s="3359">
        <f t="shared" si="60"/>
        <v>0</v>
      </c>
    </row>
    <row r="129" spans="1:72">
      <c r="A129" s="3304"/>
      <c r="B129" s="3305"/>
      <c r="C129" s="3305"/>
      <c r="D129" s="3306"/>
      <c r="E129" s="3307">
        <f t="shared" si="61"/>
        <v>0</v>
      </c>
      <c r="F129" s="3308"/>
      <c r="G129" s="3309">
        <f t="shared" si="36"/>
        <v>0</v>
      </c>
      <c r="H129" s="3310">
        <f t="shared" si="37"/>
        <v>0</v>
      </c>
      <c r="I129" s="3317"/>
      <c r="J129" s="3317"/>
      <c r="K129" s="3317"/>
      <c r="L129" s="3317"/>
      <c r="M129" s="3317"/>
      <c r="N129" s="3317"/>
      <c r="O129" s="3317"/>
      <c r="P129" s="3317"/>
      <c r="Q129" s="3317"/>
      <c r="R129" s="3317"/>
      <c r="S129" s="3317"/>
      <c r="T129" s="3317"/>
      <c r="U129" s="3317"/>
      <c r="V129" s="3317"/>
      <c r="W129" s="3317"/>
      <c r="X129" s="3317"/>
      <c r="Y129" s="3317"/>
      <c r="Z129" s="3317"/>
      <c r="AA129" s="3317"/>
      <c r="AB129" s="3317"/>
      <c r="AC129" s="3307">
        <f t="shared" si="38"/>
        <v>0</v>
      </c>
      <c r="AD129" s="3327"/>
      <c r="AE129" s="3327"/>
      <c r="AF129" s="3327"/>
      <c r="AG129" s="3327"/>
      <c r="AH129" s="3327"/>
      <c r="AI129" s="3327"/>
      <c r="AJ129" s="3327"/>
      <c r="AK129" s="3327"/>
      <c r="AL129" s="3327"/>
      <c r="AM129" s="3327"/>
      <c r="AN129" s="3327"/>
      <c r="AO129" s="3327"/>
      <c r="AP129" s="3327"/>
      <c r="AQ129" s="3327"/>
      <c r="AR129" s="3327"/>
      <c r="AS129" s="3327"/>
      <c r="AT129" s="3337"/>
      <c r="AU129" s="3338"/>
      <c r="AV129" s="1410">
        <f t="shared" si="62"/>
        <v>0</v>
      </c>
      <c r="AW129" s="1410">
        <f t="shared" si="63"/>
        <v>0</v>
      </c>
      <c r="AX129" s="1410">
        <f t="shared" si="64"/>
        <v>0</v>
      </c>
      <c r="AY129" s="3352">
        <f t="shared" si="39"/>
        <v>0</v>
      </c>
      <c r="AZ129" s="3307">
        <f t="shared" si="40"/>
        <v>0</v>
      </c>
      <c r="BA129" s="3307">
        <f t="shared" si="41"/>
        <v>0</v>
      </c>
      <c r="BB129" s="3307">
        <f t="shared" si="42"/>
        <v>0</v>
      </c>
      <c r="BC129" s="3307">
        <f t="shared" si="43"/>
        <v>0</v>
      </c>
      <c r="BD129" s="3307">
        <f t="shared" si="44"/>
        <v>0</v>
      </c>
      <c r="BE129" s="3307">
        <f t="shared" si="45"/>
        <v>0</v>
      </c>
      <c r="BF129" s="3307">
        <f t="shared" si="46"/>
        <v>0</v>
      </c>
      <c r="BG129" s="3307">
        <f t="shared" si="47"/>
        <v>0</v>
      </c>
      <c r="BH129" s="3307">
        <f t="shared" si="48"/>
        <v>0</v>
      </c>
      <c r="BI129" s="3307">
        <f t="shared" si="49"/>
        <v>0</v>
      </c>
      <c r="BJ129" s="3307">
        <f t="shared" si="50"/>
        <v>0</v>
      </c>
      <c r="BK129" s="3307">
        <f t="shared" si="51"/>
        <v>0</v>
      </c>
      <c r="BL129" s="3307">
        <f t="shared" si="52"/>
        <v>0</v>
      </c>
      <c r="BM129" s="3307">
        <f t="shared" si="53"/>
        <v>0</v>
      </c>
      <c r="BN129" s="3307">
        <f t="shared" si="54"/>
        <v>0</v>
      </c>
      <c r="BO129" s="3307">
        <f t="shared" si="55"/>
        <v>0</v>
      </c>
      <c r="BP129" s="3307">
        <f t="shared" si="56"/>
        <v>0</v>
      </c>
      <c r="BQ129" s="3307">
        <f t="shared" si="57"/>
        <v>0</v>
      </c>
      <c r="BR129" s="3307">
        <f t="shared" si="58"/>
        <v>0</v>
      </c>
      <c r="BS129" s="3307">
        <f t="shared" si="59"/>
        <v>0</v>
      </c>
      <c r="BT129" s="3359">
        <f t="shared" si="60"/>
        <v>0</v>
      </c>
    </row>
    <row r="130" spans="1:72">
      <c r="A130" s="3304"/>
      <c r="B130" s="3305"/>
      <c r="C130" s="3305"/>
      <c r="D130" s="3306"/>
      <c r="E130" s="3307">
        <f t="shared" si="61"/>
        <v>0</v>
      </c>
      <c r="F130" s="3308"/>
      <c r="G130" s="3309">
        <f t="shared" si="36"/>
        <v>0</v>
      </c>
      <c r="H130" s="3310">
        <f t="shared" si="37"/>
        <v>0</v>
      </c>
      <c r="I130" s="3317"/>
      <c r="J130" s="3317"/>
      <c r="K130" s="3317"/>
      <c r="L130" s="3317"/>
      <c r="M130" s="3317"/>
      <c r="N130" s="3317"/>
      <c r="O130" s="3317"/>
      <c r="P130" s="3317"/>
      <c r="Q130" s="3317"/>
      <c r="R130" s="3317"/>
      <c r="S130" s="3317"/>
      <c r="T130" s="3317"/>
      <c r="U130" s="3317"/>
      <c r="V130" s="3317"/>
      <c r="W130" s="3317"/>
      <c r="X130" s="3317"/>
      <c r="Y130" s="3317"/>
      <c r="Z130" s="3317"/>
      <c r="AA130" s="3317"/>
      <c r="AB130" s="3317"/>
      <c r="AC130" s="3307">
        <f t="shared" si="38"/>
        <v>0</v>
      </c>
      <c r="AD130" s="3327"/>
      <c r="AE130" s="3327"/>
      <c r="AF130" s="3327"/>
      <c r="AG130" s="3327"/>
      <c r="AH130" s="3327"/>
      <c r="AI130" s="3327"/>
      <c r="AJ130" s="3327"/>
      <c r="AK130" s="3327"/>
      <c r="AL130" s="3327"/>
      <c r="AM130" s="3327"/>
      <c r="AN130" s="3327"/>
      <c r="AO130" s="3327"/>
      <c r="AP130" s="3327"/>
      <c r="AQ130" s="3327"/>
      <c r="AR130" s="3327"/>
      <c r="AS130" s="3327"/>
      <c r="AT130" s="3337"/>
      <c r="AU130" s="3338"/>
      <c r="AV130" s="1410">
        <f t="shared" si="62"/>
        <v>0</v>
      </c>
      <c r="AW130" s="1410">
        <f t="shared" si="63"/>
        <v>0</v>
      </c>
      <c r="AX130" s="1410">
        <f t="shared" si="64"/>
        <v>0</v>
      </c>
      <c r="AY130" s="3352">
        <f t="shared" si="39"/>
        <v>0</v>
      </c>
      <c r="AZ130" s="3307">
        <f t="shared" si="40"/>
        <v>0</v>
      </c>
      <c r="BA130" s="3307">
        <f t="shared" si="41"/>
        <v>0</v>
      </c>
      <c r="BB130" s="3307">
        <f t="shared" si="42"/>
        <v>0</v>
      </c>
      <c r="BC130" s="3307">
        <f t="shared" si="43"/>
        <v>0</v>
      </c>
      <c r="BD130" s="3307">
        <f t="shared" si="44"/>
        <v>0</v>
      </c>
      <c r="BE130" s="3307">
        <f t="shared" si="45"/>
        <v>0</v>
      </c>
      <c r="BF130" s="3307">
        <f t="shared" si="46"/>
        <v>0</v>
      </c>
      <c r="BG130" s="3307">
        <f t="shared" si="47"/>
        <v>0</v>
      </c>
      <c r="BH130" s="3307">
        <f t="shared" si="48"/>
        <v>0</v>
      </c>
      <c r="BI130" s="3307">
        <f t="shared" si="49"/>
        <v>0</v>
      </c>
      <c r="BJ130" s="3307">
        <f t="shared" si="50"/>
        <v>0</v>
      </c>
      <c r="BK130" s="3307">
        <f t="shared" si="51"/>
        <v>0</v>
      </c>
      <c r="BL130" s="3307">
        <f t="shared" si="52"/>
        <v>0</v>
      </c>
      <c r="BM130" s="3307">
        <f t="shared" si="53"/>
        <v>0</v>
      </c>
      <c r="BN130" s="3307">
        <f t="shared" si="54"/>
        <v>0</v>
      </c>
      <c r="BO130" s="3307">
        <f t="shared" si="55"/>
        <v>0</v>
      </c>
      <c r="BP130" s="3307">
        <f t="shared" si="56"/>
        <v>0</v>
      </c>
      <c r="BQ130" s="3307">
        <f t="shared" si="57"/>
        <v>0</v>
      </c>
      <c r="BR130" s="3307">
        <f t="shared" si="58"/>
        <v>0</v>
      </c>
      <c r="BS130" s="3307">
        <f t="shared" si="59"/>
        <v>0</v>
      </c>
      <c r="BT130" s="3359">
        <f t="shared" si="60"/>
        <v>0</v>
      </c>
    </row>
    <row r="131" spans="1:72">
      <c r="A131" s="3304"/>
      <c r="B131" s="3305"/>
      <c r="C131" s="3305"/>
      <c r="D131" s="3306"/>
      <c r="E131" s="3307">
        <f t="shared" si="61"/>
        <v>0</v>
      </c>
      <c r="F131" s="3308"/>
      <c r="G131" s="3309">
        <f t="shared" si="36"/>
        <v>0</v>
      </c>
      <c r="H131" s="3310">
        <f t="shared" si="37"/>
        <v>0</v>
      </c>
      <c r="I131" s="3317"/>
      <c r="J131" s="3317"/>
      <c r="K131" s="3317"/>
      <c r="L131" s="3317"/>
      <c r="M131" s="3317"/>
      <c r="N131" s="3317"/>
      <c r="O131" s="3317"/>
      <c r="P131" s="3317"/>
      <c r="Q131" s="3317"/>
      <c r="R131" s="3317"/>
      <c r="S131" s="3317"/>
      <c r="T131" s="3317"/>
      <c r="U131" s="3317"/>
      <c r="V131" s="3317"/>
      <c r="W131" s="3317"/>
      <c r="X131" s="3317"/>
      <c r="Y131" s="3317"/>
      <c r="Z131" s="3317"/>
      <c r="AA131" s="3317"/>
      <c r="AB131" s="3317"/>
      <c r="AC131" s="3307">
        <f t="shared" si="38"/>
        <v>0</v>
      </c>
      <c r="AD131" s="3327"/>
      <c r="AE131" s="3327"/>
      <c r="AF131" s="3327"/>
      <c r="AG131" s="3327"/>
      <c r="AH131" s="3327"/>
      <c r="AI131" s="3327"/>
      <c r="AJ131" s="3327"/>
      <c r="AK131" s="3327"/>
      <c r="AL131" s="3327"/>
      <c r="AM131" s="3327"/>
      <c r="AN131" s="3327"/>
      <c r="AO131" s="3327"/>
      <c r="AP131" s="3327"/>
      <c r="AQ131" s="3327"/>
      <c r="AR131" s="3327"/>
      <c r="AS131" s="3327"/>
      <c r="AT131" s="3337"/>
      <c r="AU131" s="3338"/>
      <c r="AV131" s="1410">
        <f t="shared" si="62"/>
        <v>0</v>
      </c>
      <c r="AW131" s="1410">
        <f t="shared" si="63"/>
        <v>0</v>
      </c>
      <c r="AX131" s="1410">
        <f t="shared" si="64"/>
        <v>0</v>
      </c>
      <c r="AY131" s="3352">
        <f t="shared" si="39"/>
        <v>0</v>
      </c>
      <c r="AZ131" s="3307">
        <f t="shared" si="40"/>
        <v>0</v>
      </c>
      <c r="BA131" s="3307">
        <f t="shared" si="41"/>
        <v>0</v>
      </c>
      <c r="BB131" s="3307">
        <f t="shared" si="42"/>
        <v>0</v>
      </c>
      <c r="BC131" s="3307">
        <f t="shared" si="43"/>
        <v>0</v>
      </c>
      <c r="BD131" s="3307">
        <f t="shared" si="44"/>
        <v>0</v>
      </c>
      <c r="BE131" s="3307">
        <f t="shared" si="45"/>
        <v>0</v>
      </c>
      <c r="BF131" s="3307">
        <f t="shared" si="46"/>
        <v>0</v>
      </c>
      <c r="BG131" s="3307">
        <f t="shared" si="47"/>
        <v>0</v>
      </c>
      <c r="BH131" s="3307">
        <f t="shared" si="48"/>
        <v>0</v>
      </c>
      <c r="BI131" s="3307">
        <f t="shared" si="49"/>
        <v>0</v>
      </c>
      <c r="BJ131" s="3307">
        <f t="shared" si="50"/>
        <v>0</v>
      </c>
      <c r="BK131" s="3307">
        <f t="shared" si="51"/>
        <v>0</v>
      </c>
      <c r="BL131" s="3307">
        <f t="shared" si="52"/>
        <v>0</v>
      </c>
      <c r="BM131" s="3307">
        <f t="shared" si="53"/>
        <v>0</v>
      </c>
      <c r="BN131" s="3307">
        <f t="shared" si="54"/>
        <v>0</v>
      </c>
      <c r="BO131" s="3307">
        <f t="shared" si="55"/>
        <v>0</v>
      </c>
      <c r="BP131" s="3307">
        <f t="shared" si="56"/>
        <v>0</v>
      </c>
      <c r="BQ131" s="3307">
        <f t="shared" si="57"/>
        <v>0</v>
      </c>
      <c r="BR131" s="3307">
        <f t="shared" si="58"/>
        <v>0</v>
      </c>
      <c r="BS131" s="3307">
        <f t="shared" si="59"/>
        <v>0</v>
      </c>
      <c r="BT131" s="3359">
        <f t="shared" si="60"/>
        <v>0</v>
      </c>
    </row>
    <row r="132" spans="1:72">
      <c r="A132" s="3304"/>
      <c r="B132" s="3305"/>
      <c r="C132" s="3305"/>
      <c r="D132" s="3306"/>
      <c r="E132" s="3307">
        <f t="shared" si="61"/>
        <v>0</v>
      </c>
      <c r="F132" s="3308"/>
      <c r="G132" s="3309">
        <f t="shared" si="36"/>
        <v>0</v>
      </c>
      <c r="H132" s="3310">
        <f t="shared" si="37"/>
        <v>0</v>
      </c>
      <c r="I132" s="3317"/>
      <c r="J132" s="3317"/>
      <c r="K132" s="3317"/>
      <c r="L132" s="3317"/>
      <c r="M132" s="3317"/>
      <c r="N132" s="3317"/>
      <c r="O132" s="3317"/>
      <c r="P132" s="3317"/>
      <c r="Q132" s="3317"/>
      <c r="R132" s="3317"/>
      <c r="S132" s="3317"/>
      <c r="T132" s="3317"/>
      <c r="U132" s="3317"/>
      <c r="V132" s="3317"/>
      <c r="W132" s="3317"/>
      <c r="X132" s="3317"/>
      <c r="Y132" s="3317"/>
      <c r="Z132" s="3317"/>
      <c r="AA132" s="3317"/>
      <c r="AB132" s="3317"/>
      <c r="AC132" s="3307">
        <f t="shared" si="38"/>
        <v>0</v>
      </c>
      <c r="AD132" s="3327"/>
      <c r="AE132" s="3327"/>
      <c r="AF132" s="3327"/>
      <c r="AG132" s="3327"/>
      <c r="AH132" s="3327"/>
      <c r="AI132" s="3327"/>
      <c r="AJ132" s="3327"/>
      <c r="AK132" s="3327"/>
      <c r="AL132" s="3327"/>
      <c r="AM132" s="3327"/>
      <c r="AN132" s="3327"/>
      <c r="AO132" s="3327"/>
      <c r="AP132" s="3327"/>
      <c r="AQ132" s="3327"/>
      <c r="AR132" s="3327"/>
      <c r="AS132" s="3327"/>
      <c r="AT132" s="3337"/>
      <c r="AU132" s="3338"/>
      <c r="AV132" s="1410">
        <f t="shared" si="62"/>
        <v>0</v>
      </c>
      <c r="AW132" s="1410">
        <f t="shared" si="63"/>
        <v>0</v>
      </c>
      <c r="AX132" s="1410">
        <f t="shared" si="64"/>
        <v>0</v>
      </c>
      <c r="AY132" s="3352">
        <f t="shared" si="39"/>
        <v>0</v>
      </c>
      <c r="AZ132" s="3307">
        <f t="shared" si="40"/>
        <v>0</v>
      </c>
      <c r="BA132" s="3307">
        <f t="shared" si="41"/>
        <v>0</v>
      </c>
      <c r="BB132" s="3307">
        <f t="shared" si="42"/>
        <v>0</v>
      </c>
      <c r="BC132" s="3307">
        <f t="shared" si="43"/>
        <v>0</v>
      </c>
      <c r="BD132" s="3307">
        <f t="shared" si="44"/>
        <v>0</v>
      </c>
      <c r="BE132" s="3307">
        <f t="shared" si="45"/>
        <v>0</v>
      </c>
      <c r="BF132" s="3307">
        <f t="shared" si="46"/>
        <v>0</v>
      </c>
      <c r="BG132" s="3307">
        <f t="shared" si="47"/>
        <v>0</v>
      </c>
      <c r="BH132" s="3307">
        <f t="shared" si="48"/>
        <v>0</v>
      </c>
      <c r="BI132" s="3307">
        <f t="shared" si="49"/>
        <v>0</v>
      </c>
      <c r="BJ132" s="3307">
        <f t="shared" si="50"/>
        <v>0</v>
      </c>
      <c r="BK132" s="3307">
        <f t="shared" si="51"/>
        <v>0</v>
      </c>
      <c r="BL132" s="3307">
        <f t="shared" si="52"/>
        <v>0</v>
      </c>
      <c r="BM132" s="3307">
        <f t="shared" si="53"/>
        <v>0</v>
      </c>
      <c r="BN132" s="3307">
        <f t="shared" si="54"/>
        <v>0</v>
      </c>
      <c r="BO132" s="3307">
        <f t="shared" si="55"/>
        <v>0</v>
      </c>
      <c r="BP132" s="3307">
        <f t="shared" si="56"/>
        <v>0</v>
      </c>
      <c r="BQ132" s="3307">
        <f t="shared" si="57"/>
        <v>0</v>
      </c>
      <c r="BR132" s="3307">
        <f t="shared" si="58"/>
        <v>0</v>
      </c>
      <c r="BS132" s="3307">
        <f t="shared" si="59"/>
        <v>0</v>
      </c>
      <c r="BT132" s="3359">
        <f t="shared" si="60"/>
        <v>0</v>
      </c>
    </row>
    <row r="133" spans="1:72">
      <c r="A133" s="3304"/>
      <c r="B133" s="3305"/>
      <c r="C133" s="3305"/>
      <c r="D133" s="3306"/>
      <c r="E133" s="3307">
        <f t="shared" si="61"/>
        <v>0</v>
      </c>
      <c r="F133" s="3308"/>
      <c r="G133" s="3309">
        <f t="shared" si="36"/>
        <v>0</v>
      </c>
      <c r="H133" s="3310">
        <f t="shared" si="37"/>
        <v>0</v>
      </c>
      <c r="I133" s="3317"/>
      <c r="J133" s="3317"/>
      <c r="K133" s="3317"/>
      <c r="L133" s="3317"/>
      <c r="M133" s="3317"/>
      <c r="N133" s="3317"/>
      <c r="O133" s="3317"/>
      <c r="P133" s="3317"/>
      <c r="Q133" s="3317"/>
      <c r="R133" s="3317"/>
      <c r="S133" s="3317"/>
      <c r="T133" s="3317"/>
      <c r="U133" s="3317"/>
      <c r="V133" s="3317"/>
      <c r="W133" s="3317"/>
      <c r="X133" s="3317"/>
      <c r="Y133" s="3317"/>
      <c r="Z133" s="3317"/>
      <c r="AA133" s="3317"/>
      <c r="AB133" s="3317"/>
      <c r="AC133" s="3307">
        <f t="shared" si="38"/>
        <v>0</v>
      </c>
      <c r="AD133" s="3327"/>
      <c r="AE133" s="3327"/>
      <c r="AF133" s="3327"/>
      <c r="AG133" s="3327"/>
      <c r="AH133" s="3327"/>
      <c r="AI133" s="3327"/>
      <c r="AJ133" s="3327"/>
      <c r="AK133" s="3327"/>
      <c r="AL133" s="3327"/>
      <c r="AM133" s="3327"/>
      <c r="AN133" s="3327"/>
      <c r="AO133" s="3327"/>
      <c r="AP133" s="3327"/>
      <c r="AQ133" s="3327"/>
      <c r="AR133" s="3327"/>
      <c r="AS133" s="3327"/>
      <c r="AT133" s="3337"/>
      <c r="AU133" s="3338"/>
      <c r="AV133" s="1410">
        <f t="shared" si="62"/>
        <v>0</v>
      </c>
      <c r="AW133" s="1410">
        <f t="shared" si="63"/>
        <v>0</v>
      </c>
      <c r="AX133" s="1410">
        <f t="shared" si="64"/>
        <v>0</v>
      </c>
      <c r="AY133" s="3352">
        <f t="shared" si="39"/>
        <v>0</v>
      </c>
      <c r="AZ133" s="3307">
        <f t="shared" si="40"/>
        <v>0</v>
      </c>
      <c r="BA133" s="3307">
        <f t="shared" si="41"/>
        <v>0</v>
      </c>
      <c r="BB133" s="3307">
        <f t="shared" si="42"/>
        <v>0</v>
      </c>
      <c r="BC133" s="3307">
        <f t="shared" si="43"/>
        <v>0</v>
      </c>
      <c r="BD133" s="3307">
        <f t="shared" si="44"/>
        <v>0</v>
      </c>
      <c r="BE133" s="3307">
        <f t="shared" si="45"/>
        <v>0</v>
      </c>
      <c r="BF133" s="3307">
        <f t="shared" si="46"/>
        <v>0</v>
      </c>
      <c r="BG133" s="3307">
        <f t="shared" si="47"/>
        <v>0</v>
      </c>
      <c r="BH133" s="3307">
        <f t="shared" si="48"/>
        <v>0</v>
      </c>
      <c r="BI133" s="3307">
        <f t="shared" si="49"/>
        <v>0</v>
      </c>
      <c r="BJ133" s="3307">
        <f t="shared" si="50"/>
        <v>0</v>
      </c>
      <c r="BK133" s="3307">
        <f t="shared" si="51"/>
        <v>0</v>
      </c>
      <c r="BL133" s="3307">
        <f t="shared" si="52"/>
        <v>0</v>
      </c>
      <c r="BM133" s="3307">
        <f t="shared" si="53"/>
        <v>0</v>
      </c>
      <c r="BN133" s="3307">
        <f t="shared" si="54"/>
        <v>0</v>
      </c>
      <c r="BO133" s="3307">
        <f t="shared" si="55"/>
        <v>0</v>
      </c>
      <c r="BP133" s="3307">
        <f t="shared" si="56"/>
        <v>0</v>
      </c>
      <c r="BQ133" s="3307">
        <f t="shared" si="57"/>
        <v>0</v>
      </c>
      <c r="BR133" s="3307">
        <f t="shared" si="58"/>
        <v>0</v>
      </c>
      <c r="BS133" s="3307">
        <f t="shared" si="59"/>
        <v>0</v>
      </c>
      <c r="BT133" s="3359">
        <f t="shared" si="60"/>
        <v>0</v>
      </c>
    </row>
    <row r="134" spans="1:72">
      <c r="A134" s="3304"/>
      <c r="B134" s="3305"/>
      <c r="C134" s="3305"/>
      <c r="D134" s="3306"/>
      <c r="E134" s="3307">
        <f t="shared" si="61"/>
        <v>0</v>
      </c>
      <c r="F134" s="3308"/>
      <c r="G134" s="3309">
        <f t="shared" si="36"/>
        <v>0</v>
      </c>
      <c r="H134" s="3310">
        <f t="shared" si="37"/>
        <v>0</v>
      </c>
      <c r="I134" s="3317"/>
      <c r="J134" s="3317"/>
      <c r="K134" s="3317"/>
      <c r="L134" s="3317"/>
      <c r="M134" s="3317"/>
      <c r="N134" s="3317"/>
      <c r="O134" s="3317"/>
      <c r="P134" s="3317"/>
      <c r="Q134" s="3317"/>
      <c r="R134" s="3317"/>
      <c r="S134" s="3317"/>
      <c r="T134" s="3317"/>
      <c r="U134" s="3317"/>
      <c r="V134" s="3317"/>
      <c r="W134" s="3317"/>
      <c r="X134" s="3317"/>
      <c r="Y134" s="3317"/>
      <c r="Z134" s="3317"/>
      <c r="AA134" s="3317"/>
      <c r="AB134" s="3317"/>
      <c r="AC134" s="3307">
        <f t="shared" si="38"/>
        <v>0</v>
      </c>
      <c r="AD134" s="3327"/>
      <c r="AE134" s="3327"/>
      <c r="AF134" s="3327"/>
      <c r="AG134" s="3327"/>
      <c r="AH134" s="3327"/>
      <c r="AI134" s="3327"/>
      <c r="AJ134" s="3327"/>
      <c r="AK134" s="3327"/>
      <c r="AL134" s="3327"/>
      <c r="AM134" s="3327"/>
      <c r="AN134" s="3327"/>
      <c r="AO134" s="3327"/>
      <c r="AP134" s="3327"/>
      <c r="AQ134" s="3327"/>
      <c r="AR134" s="3327"/>
      <c r="AS134" s="3327"/>
      <c r="AT134" s="3337"/>
      <c r="AU134" s="3338"/>
      <c r="AV134" s="1410">
        <f t="shared" si="62"/>
        <v>0</v>
      </c>
      <c r="AW134" s="1410">
        <f t="shared" si="63"/>
        <v>0</v>
      </c>
      <c r="AX134" s="1410">
        <f t="shared" si="64"/>
        <v>0</v>
      </c>
      <c r="AY134" s="3352">
        <f t="shared" si="39"/>
        <v>0</v>
      </c>
      <c r="AZ134" s="3307">
        <f t="shared" si="40"/>
        <v>0</v>
      </c>
      <c r="BA134" s="3307">
        <f t="shared" si="41"/>
        <v>0</v>
      </c>
      <c r="BB134" s="3307">
        <f t="shared" si="42"/>
        <v>0</v>
      </c>
      <c r="BC134" s="3307">
        <f t="shared" si="43"/>
        <v>0</v>
      </c>
      <c r="BD134" s="3307">
        <f t="shared" si="44"/>
        <v>0</v>
      </c>
      <c r="BE134" s="3307">
        <f t="shared" si="45"/>
        <v>0</v>
      </c>
      <c r="BF134" s="3307">
        <f t="shared" si="46"/>
        <v>0</v>
      </c>
      <c r="BG134" s="3307">
        <f t="shared" si="47"/>
        <v>0</v>
      </c>
      <c r="BH134" s="3307">
        <f t="shared" si="48"/>
        <v>0</v>
      </c>
      <c r="BI134" s="3307">
        <f t="shared" si="49"/>
        <v>0</v>
      </c>
      <c r="BJ134" s="3307">
        <f t="shared" si="50"/>
        <v>0</v>
      </c>
      <c r="BK134" s="3307">
        <f t="shared" si="51"/>
        <v>0</v>
      </c>
      <c r="BL134" s="3307">
        <f t="shared" si="52"/>
        <v>0</v>
      </c>
      <c r="BM134" s="3307">
        <f t="shared" si="53"/>
        <v>0</v>
      </c>
      <c r="BN134" s="3307">
        <f t="shared" si="54"/>
        <v>0</v>
      </c>
      <c r="BO134" s="3307">
        <f t="shared" si="55"/>
        <v>0</v>
      </c>
      <c r="BP134" s="3307">
        <f t="shared" si="56"/>
        <v>0</v>
      </c>
      <c r="BQ134" s="3307">
        <f t="shared" si="57"/>
        <v>0</v>
      </c>
      <c r="BR134" s="3307">
        <f t="shared" si="58"/>
        <v>0</v>
      </c>
      <c r="BS134" s="3307">
        <f t="shared" si="59"/>
        <v>0</v>
      </c>
      <c r="BT134" s="3359">
        <f t="shared" si="60"/>
        <v>0</v>
      </c>
    </row>
    <row r="135" spans="1:72">
      <c r="A135" s="3304"/>
      <c r="B135" s="3305"/>
      <c r="C135" s="3305"/>
      <c r="D135" s="3306"/>
      <c r="E135" s="3307">
        <f t="shared" si="61"/>
        <v>0</v>
      </c>
      <c r="F135" s="3308"/>
      <c r="G135" s="3309">
        <f t="shared" si="36"/>
        <v>0</v>
      </c>
      <c r="H135" s="3310">
        <f t="shared" si="37"/>
        <v>0</v>
      </c>
      <c r="I135" s="3317"/>
      <c r="J135" s="3317"/>
      <c r="K135" s="3317"/>
      <c r="L135" s="3317"/>
      <c r="M135" s="3317"/>
      <c r="N135" s="3317"/>
      <c r="O135" s="3317"/>
      <c r="P135" s="3317"/>
      <c r="Q135" s="3317"/>
      <c r="R135" s="3317"/>
      <c r="S135" s="3317"/>
      <c r="T135" s="3317"/>
      <c r="U135" s="3317"/>
      <c r="V135" s="3317"/>
      <c r="W135" s="3317"/>
      <c r="X135" s="3317"/>
      <c r="Y135" s="3317"/>
      <c r="Z135" s="3317"/>
      <c r="AA135" s="3317"/>
      <c r="AB135" s="3317"/>
      <c r="AC135" s="3307">
        <f t="shared" si="38"/>
        <v>0</v>
      </c>
      <c r="AD135" s="3327"/>
      <c r="AE135" s="3327"/>
      <c r="AF135" s="3327"/>
      <c r="AG135" s="3327"/>
      <c r="AH135" s="3327"/>
      <c r="AI135" s="3327"/>
      <c r="AJ135" s="3327"/>
      <c r="AK135" s="3327"/>
      <c r="AL135" s="3327"/>
      <c r="AM135" s="3327"/>
      <c r="AN135" s="3327"/>
      <c r="AO135" s="3327"/>
      <c r="AP135" s="3327"/>
      <c r="AQ135" s="3327"/>
      <c r="AR135" s="3327"/>
      <c r="AS135" s="3327"/>
      <c r="AT135" s="3337"/>
      <c r="AU135" s="3338"/>
      <c r="AV135" s="1410">
        <f t="shared" si="62"/>
        <v>0</v>
      </c>
      <c r="AW135" s="1410">
        <f t="shared" si="63"/>
        <v>0</v>
      </c>
      <c r="AX135" s="1410">
        <f t="shared" si="64"/>
        <v>0</v>
      </c>
      <c r="AY135" s="3352">
        <f t="shared" si="39"/>
        <v>0</v>
      </c>
      <c r="AZ135" s="3307">
        <f t="shared" si="40"/>
        <v>0</v>
      </c>
      <c r="BA135" s="3307">
        <f t="shared" si="41"/>
        <v>0</v>
      </c>
      <c r="BB135" s="3307">
        <f t="shared" si="42"/>
        <v>0</v>
      </c>
      <c r="BC135" s="3307">
        <f t="shared" si="43"/>
        <v>0</v>
      </c>
      <c r="BD135" s="3307">
        <f t="shared" si="44"/>
        <v>0</v>
      </c>
      <c r="BE135" s="3307">
        <f t="shared" si="45"/>
        <v>0</v>
      </c>
      <c r="BF135" s="3307">
        <f t="shared" si="46"/>
        <v>0</v>
      </c>
      <c r="BG135" s="3307">
        <f t="shared" si="47"/>
        <v>0</v>
      </c>
      <c r="BH135" s="3307">
        <f t="shared" si="48"/>
        <v>0</v>
      </c>
      <c r="BI135" s="3307">
        <f t="shared" si="49"/>
        <v>0</v>
      </c>
      <c r="BJ135" s="3307">
        <f t="shared" si="50"/>
        <v>0</v>
      </c>
      <c r="BK135" s="3307">
        <f t="shared" si="51"/>
        <v>0</v>
      </c>
      <c r="BL135" s="3307">
        <f t="shared" si="52"/>
        <v>0</v>
      </c>
      <c r="BM135" s="3307">
        <f t="shared" si="53"/>
        <v>0</v>
      </c>
      <c r="BN135" s="3307">
        <f t="shared" si="54"/>
        <v>0</v>
      </c>
      <c r="BO135" s="3307">
        <f t="shared" si="55"/>
        <v>0</v>
      </c>
      <c r="BP135" s="3307">
        <f t="shared" si="56"/>
        <v>0</v>
      </c>
      <c r="BQ135" s="3307">
        <f t="shared" si="57"/>
        <v>0</v>
      </c>
      <c r="BR135" s="3307">
        <f t="shared" si="58"/>
        <v>0</v>
      </c>
      <c r="BS135" s="3307">
        <f t="shared" si="59"/>
        <v>0</v>
      </c>
      <c r="BT135" s="3359">
        <f t="shared" si="60"/>
        <v>0</v>
      </c>
    </row>
    <row r="136" spans="1:72">
      <c r="A136" s="3304"/>
      <c r="B136" s="3305"/>
      <c r="C136" s="3305"/>
      <c r="D136" s="3306"/>
      <c r="E136" s="3307">
        <f t="shared" si="61"/>
        <v>0</v>
      </c>
      <c r="F136" s="3308"/>
      <c r="G136" s="3309">
        <f t="shared" si="36"/>
        <v>0</v>
      </c>
      <c r="H136" s="3310">
        <f t="shared" si="37"/>
        <v>0</v>
      </c>
      <c r="I136" s="3317"/>
      <c r="J136" s="3317"/>
      <c r="K136" s="3317"/>
      <c r="L136" s="3317"/>
      <c r="M136" s="3317"/>
      <c r="N136" s="3317"/>
      <c r="O136" s="3317"/>
      <c r="P136" s="3317"/>
      <c r="Q136" s="3317"/>
      <c r="R136" s="3317"/>
      <c r="S136" s="3317"/>
      <c r="T136" s="3317"/>
      <c r="U136" s="3317"/>
      <c r="V136" s="3317"/>
      <c r="W136" s="3317"/>
      <c r="X136" s="3317"/>
      <c r="Y136" s="3317"/>
      <c r="Z136" s="3317"/>
      <c r="AA136" s="3317"/>
      <c r="AB136" s="3317"/>
      <c r="AC136" s="3307">
        <f t="shared" si="38"/>
        <v>0</v>
      </c>
      <c r="AD136" s="3327"/>
      <c r="AE136" s="3327"/>
      <c r="AF136" s="3327"/>
      <c r="AG136" s="3327"/>
      <c r="AH136" s="3327"/>
      <c r="AI136" s="3327"/>
      <c r="AJ136" s="3327"/>
      <c r="AK136" s="3327"/>
      <c r="AL136" s="3327"/>
      <c r="AM136" s="3327"/>
      <c r="AN136" s="3327"/>
      <c r="AO136" s="3327"/>
      <c r="AP136" s="3327"/>
      <c r="AQ136" s="3327"/>
      <c r="AR136" s="3327"/>
      <c r="AS136" s="3327"/>
      <c r="AT136" s="3337"/>
      <c r="AU136" s="3338"/>
      <c r="AV136" s="1410">
        <f t="shared" si="62"/>
        <v>0</v>
      </c>
      <c r="AW136" s="1410">
        <f t="shared" si="63"/>
        <v>0</v>
      </c>
      <c r="AX136" s="1410">
        <f t="shared" si="64"/>
        <v>0</v>
      </c>
      <c r="AY136" s="3352">
        <f t="shared" si="39"/>
        <v>0</v>
      </c>
      <c r="AZ136" s="3307">
        <f t="shared" si="40"/>
        <v>0</v>
      </c>
      <c r="BA136" s="3307">
        <f t="shared" si="41"/>
        <v>0</v>
      </c>
      <c r="BB136" s="3307">
        <f t="shared" si="42"/>
        <v>0</v>
      </c>
      <c r="BC136" s="3307">
        <f t="shared" si="43"/>
        <v>0</v>
      </c>
      <c r="BD136" s="3307">
        <f t="shared" si="44"/>
        <v>0</v>
      </c>
      <c r="BE136" s="3307">
        <f t="shared" si="45"/>
        <v>0</v>
      </c>
      <c r="BF136" s="3307">
        <f t="shared" si="46"/>
        <v>0</v>
      </c>
      <c r="BG136" s="3307">
        <f t="shared" si="47"/>
        <v>0</v>
      </c>
      <c r="BH136" s="3307">
        <f t="shared" si="48"/>
        <v>0</v>
      </c>
      <c r="BI136" s="3307">
        <f t="shared" si="49"/>
        <v>0</v>
      </c>
      <c r="BJ136" s="3307">
        <f t="shared" si="50"/>
        <v>0</v>
      </c>
      <c r="BK136" s="3307">
        <f t="shared" si="51"/>
        <v>0</v>
      </c>
      <c r="BL136" s="3307">
        <f t="shared" si="52"/>
        <v>0</v>
      </c>
      <c r="BM136" s="3307">
        <f t="shared" si="53"/>
        <v>0</v>
      </c>
      <c r="BN136" s="3307">
        <f t="shared" si="54"/>
        <v>0</v>
      </c>
      <c r="BO136" s="3307">
        <f t="shared" si="55"/>
        <v>0</v>
      </c>
      <c r="BP136" s="3307">
        <f t="shared" si="56"/>
        <v>0</v>
      </c>
      <c r="BQ136" s="3307">
        <f t="shared" si="57"/>
        <v>0</v>
      </c>
      <c r="BR136" s="3307">
        <f t="shared" si="58"/>
        <v>0</v>
      </c>
      <c r="BS136" s="3307">
        <f t="shared" si="59"/>
        <v>0</v>
      </c>
      <c r="BT136" s="3359">
        <f t="shared" si="60"/>
        <v>0</v>
      </c>
    </row>
    <row r="137" spans="1:72">
      <c r="A137" s="3304"/>
      <c r="B137" s="3305"/>
      <c r="C137" s="3305"/>
      <c r="D137" s="3306"/>
      <c r="E137" s="3307">
        <f t="shared" si="61"/>
        <v>0</v>
      </c>
      <c r="F137" s="3308"/>
      <c r="G137" s="3309">
        <f t="shared" si="36"/>
        <v>0</v>
      </c>
      <c r="H137" s="3310">
        <f t="shared" si="37"/>
        <v>0</v>
      </c>
      <c r="I137" s="3317"/>
      <c r="J137" s="3317"/>
      <c r="K137" s="3317"/>
      <c r="L137" s="3317"/>
      <c r="M137" s="3317"/>
      <c r="N137" s="3317"/>
      <c r="O137" s="3317"/>
      <c r="P137" s="3317"/>
      <c r="Q137" s="3317"/>
      <c r="R137" s="3317"/>
      <c r="S137" s="3317"/>
      <c r="T137" s="3317"/>
      <c r="U137" s="3317"/>
      <c r="V137" s="3317"/>
      <c r="W137" s="3317"/>
      <c r="X137" s="3317"/>
      <c r="Y137" s="3317"/>
      <c r="Z137" s="3317"/>
      <c r="AA137" s="3317"/>
      <c r="AB137" s="3317"/>
      <c r="AC137" s="3307">
        <f t="shared" si="38"/>
        <v>0</v>
      </c>
      <c r="AD137" s="3327"/>
      <c r="AE137" s="3327"/>
      <c r="AF137" s="3327"/>
      <c r="AG137" s="3327"/>
      <c r="AH137" s="3327"/>
      <c r="AI137" s="3327"/>
      <c r="AJ137" s="3327"/>
      <c r="AK137" s="3327"/>
      <c r="AL137" s="3327"/>
      <c r="AM137" s="3327"/>
      <c r="AN137" s="3327"/>
      <c r="AO137" s="3327"/>
      <c r="AP137" s="3327"/>
      <c r="AQ137" s="3327"/>
      <c r="AR137" s="3327"/>
      <c r="AS137" s="3327"/>
      <c r="AT137" s="3337"/>
      <c r="AU137" s="3338"/>
      <c r="AV137" s="1410">
        <f t="shared" si="62"/>
        <v>0</v>
      </c>
      <c r="AW137" s="1410">
        <f t="shared" si="63"/>
        <v>0</v>
      </c>
      <c r="AX137" s="1410">
        <f t="shared" si="64"/>
        <v>0</v>
      </c>
      <c r="AY137" s="3352">
        <f t="shared" si="39"/>
        <v>0</v>
      </c>
      <c r="AZ137" s="3307">
        <f t="shared" si="40"/>
        <v>0</v>
      </c>
      <c r="BA137" s="3307">
        <f t="shared" si="41"/>
        <v>0</v>
      </c>
      <c r="BB137" s="3307">
        <f t="shared" si="42"/>
        <v>0</v>
      </c>
      <c r="BC137" s="3307">
        <f t="shared" si="43"/>
        <v>0</v>
      </c>
      <c r="BD137" s="3307">
        <f t="shared" si="44"/>
        <v>0</v>
      </c>
      <c r="BE137" s="3307">
        <f t="shared" si="45"/>
        <v>0</v>
      </c>
      <c r="BF137" s="3307">
        <f t="shared" si="46"/>
        <v>0</v>
      </c>
      <c r="BG137" s="3307">
        <f t="shared" si="47"/>
        <v>0</v>
      </c>
      <c r="BH137" s="3307">
        <f t="shared" si="48"/>
        <v>0</v>
      </c>
      <c r="BI137" s="3307">
        <f t="shared" si="49"/>
        <v>0</v>
      </c>
      <c r="BJ137" s="3307">
        <f t="shared" si="50"/>
        <v>0</v>
      </c>
      <c r="BK137" s="3307">
        <f t="shared" si="51"/>
        <v>0</v>
      </c>
      <c r="BL137" s="3307">
        <f t="shared" si="52"/>
        <v>0</v>
      </c>
      <c r="BM137" s="3307">
        <f t="shared" si="53"/>
        <v>0</v>
      </c>
      <c r="BN137" s="3307">
        <f t="shared" si="54"/>
        <v>0</v>
      </c>
      <c r="BO137" s="3307">
        <f t="shared" si="55"/>
        <v>0</v>
      </c>
      <c r="BP137" s="3307">
        <f t="shared" si="56"/>
        <v>0</v>
      </c>
      <c r="BQ137" s="3307">
        <f t="shared" si="57"/>
        <v>0</v>
      </c>
      <c r="BR137" s="3307">
        <f t="shared" si="58"/>
        <v>0</v>
      </c>
      <c r="BS137" s="3307">
        <f t="shared" si="59"/>
        <v>0</v>
      </c>
      <c r="BT137" s="3359">
        <f t="shared" si="60"/>
        <v>0</v>
      </c>
    </row>
    <row r="138" spans="1:72">
      <c r="A138" s="3304"/>
      <c r="B138" s="3305"/>
      <c r="C138" s="3305"/>
      <c r="D138" s="3306"/>
      <c r="E138" s="3307">
        <f t="shared" si="61"/>
        <v>0</v>
      </c>
      <c r="F138" s="3308"/>
      <c r="G138" s="3309">
        <f t="shared" si="36"/>
        <v>0</v>
      </c>
      <c r="H138" s="3310">
        <f t="shared" si="37"/>
        <v>0</v>
      </c>
      <c r="I138" s="3317"/>
      <c r="J138" s="3317"/>
      <c r="K138" s="3317"/>
      <c r="L138" s="3317"/>
      <c r="M138" s="3317"/>
      <c r="N138" s="3317"/>
      <c r="O138" s="3317"/>
      <c r="P138" s="3317"/>
      <c r="Q138" s="3317"/>
      <c r="R138" s="3317"/>
      <c r="S138" s="3317"/>
      <c r="T138" s="3317"/>
      <c r="U138" s="3317"/>
      <c r="V138" s="3317"/>
      <c r="W138" s="3317"/>
      <c r="X138" s="3317"/>
      <c r="Y138" s="3317"/>
      <c r="Z138" s="3317"/>
      <c r="AA138" s="3317"/>
      <c r="AB138" s="3317"/>
      <c r="AC138" s="3307">
        <f t="shared" si="38"/>
        <v>0</v>
      </c>
      <c r="AD138" s="3327"/>
      <c r="AE138" s="3327"/>
      <c r="AF138" s="3327"/>
      <c r="AG138" s="3327"/>
      <c r="AH138" s="3327"/>
      <c r="AI138" s="3327"/>
      <c r="AJ138" s="3327"/>
      <c r="AK138" s="3327"/>
      <c r="AL138" s="3327"/>
      <c r="AM138" s="3327"/>
      <c r="AN138" s="3327"/>
      <c r="AO138" s="3327"/>
      <c r="AP138" s="3327"/>
      <c r="AQ138" s="3327"/>
      <c r="AR138" s="3327"/>
      <c r="AS138" s="3327"/>
      <c r="AT138" s="3337"/>
      <c r="AU138" s="3338"/>
      <c r="AV138" s="1410">
        <f t="shared" si="62"/>
        <v>0</v>
      </c>
      <c r="AW138" s="1410">
        <f t="shared" si="63"/>
        <v>0</v>
      </c>
      <c r="AX138" s="1410">
        <f t="shared" si="64"/>
        <v>0</v>
      </c>
      <c r="AY138" s="3352">
        <f t="shared" si="39"/>
        <v>0</v>
      </c>
      <c r="AZ138" s="3307">
        <f t="shared" si="40"/>
        <v>0</v>
      </c>
      <c r="BA138" s="3307">
        <f t="shared" si="41"/>
        <v>0</v>
      </c>
      <c r="BB138" s="3307">
        <f t="shared" si="42"/>
        <v>0</v>
      </c>
      <c r="BC138" s="3307">
        <f t="shared" si="43"/>
        <v>0</v>
      </c>
      <c r="BD138" s="3307">
        <f t="shared" si="44"/>
        <v>0</v>
      </c>
      <c r="BE138" s="3307">
        <f t="shared" si="45"/>
        <v>0</v>
      </c>
      <c r="BF138" s="3307">
        <f t="shared" si="46"/>
        <v>0</v>
      </c>
      <c r="BG138" s="3307">
        <f t="shared" si="47"/>
        <v>0</v>
      </c>
      <c r="BH138" s="3307">
        <f t="shared" si="48"/>
        <v>0</v>
      </c>
      <c r="BI138" s="3307">
        <f t="shared" si="49"/>
        <v>0</v>
      </c>
      <c r="BJ138" s="3307">
        <f t="shared" si="50"/>
        <v>0</v>
      </c>
      <c r="BK138" s="3307">
        <f t="shared" si="51"/>
        <v>0</v>
      </c>
      <c r="BL138" s="3307">
        <f t="shared" si="52"/>
        <v>0</v>
      </c>
      <c r="BM138" s="3307">
        <f t="shared" si="53"/>
        <v>0</v>
      </c>
      <c r="BN138" s="3307">
        <f t="shared" si="54"/>
        <v>0</v>
      </c>
      <c r="BO138" s="3307">
        <f t="shared" si="55"/>
        <v>0</v>
      </c>
      <c r="BP138" s="3307">
        <f t="shared" si="56"/>
        <v>0</v>
      </c>
      <c r="BQ138" s="3307">
        <f t="shared" si="57"/>
        <v>0</v>
      </c>
      <c r="BR138" s="3307">
        <f t="shared" si="58"/>
        <v>0</v>
      </c>
      <c r="BS138" s="3307">
        <f t="shared" si="59"/>
        <v>0</v>
      </c>
      <c r="BT138" s="3359">
        <f t="shared" si="60"/>
        <v>0</v>
      </c>
    </row>
    <row r="139" spans="1:72">
      <c r="A139" s="3304"/>
      <c r="B139" s="3305"/>
      <c r="C139" s="3305"/>
      <c r="D139" s="3306"/>
      <c r="E139" s="3307">
        <f t="shared" si="61"/>
        <v>0</v>
      </c>
      <c r="F139" s="3308"/>
      <c r="G139" s="3309">
        <f t="shared" si="36"/>
        <v>0</v>
      </c>
      <c r="H139" s="3310">
        <f t="shared" si="37"/>
        <v>0</v>
      </c>
      <c r="I139" s="3317"/>
      <c r="J139" s="3317"/>
      <c r="K139" s="3317"/>
      <c r="L139" s="3317"/>
      <c r="M139" s="3317"/>
      <c r="N139" s="3317"/>
      <c r="O139" s="3317"/>
      <c r="P139" s="3317"/>
      <c r="Q139" s="3317"/>
      <c r="R139" s="3317"/>
      <c r="S139" s="3317"/>
      <c r="T139" s="3317"/>
      <c r="U139" s="3317"/>
      <c r="V139" s="3317"/>
      <c r="W139" s="3317"/>
      <c r="X139" s="3317"/>
      <c r="Y139" s="3317"/>
      <c r="Z139" s="3317"/>
      <c r="AA139" s="3317"/>
      <c r="AB139" s="3317"/>
      <c r="AC139" s="3307">
        <f t="shared" si="38"/>
        <v>0</v>
      </c>
      <c r="AD139" s="3327"/>
      <c r="AE139" s="3327"/>
      <c r="AF139" s="3327"/>
      <c r="AG139" s="3327"/>
      <c r="AH139" s="3327"/>
      <c r="AI139" s="3327"/>
      <c r="AJ139" s="3327"/>
      <c r="AK139" s="3327"/>
      <c r="AL139" s="3327"/>
      <c r="AM139" s="3327"/>
      <c r="AN139" s="3327"/>
      <c r="AO139" s="3327"/>
      <c r="AP139" s="3327"/>
      <c r="AQ139" s="3327"/>
      <c r="AR139" s="3327"/>
      <c r="AS139" s="3327"/>
      <c r="AT139" s="3337"/>
      <c r="AU139" s="3338"/>
      <c r="AV139" s="1410">
        <f t="shared" si="62"/>
        <v>0</v>
      </c>
      <c r="AW139" s="1410">
        <f t="shared" si="63"/>
        <v>0</v>
      </c>
      <c r="AX139" s="1410">
        <f t="shared" si="64"/>
        <v>0</v>
      </c>
      <c r="AY139" s="3352">
        <f t="shared" si="39"/>
        <v>0</v>
      </c>
      <c r="AZ139" s="3307">
        <f t="shared" si="40"/>
        <v>0</v>
      </c>
      <c r="BA139" s="3307">
        <f t="shared" si="41"/>
        <v>0</v>
      </c>
      <c r="BB139" s="3307">
        <f t="shared" si="42"/>
        <v>0</v>
      </c>
      <c r="BC139" s="3307">
        <f t="shared" si="43"/>
        <v>0</v>
      </c>
      <c r="BD139" s="3307">
        <f t="shared" si="44"/>
        <v>0</v>
      </c>
      <c r="BE139" s="3307">
        <f t="shared" si="45"/>
        <v>0</v>
      </c>
      <c r="BF139" s="3307">
        <f t="shared" si="46"/>
        <v>0</v>
      </c>
      <c r="BG139" s="3307">
        <f t="shared" si="47"/>
        <v>0</v>
      </c>
      <c r="BH139" s="3307">
        <f t="shared" si="48"/>
        <v>0</v>
      </c>
      <c r="BI139" s="3307">
        <f t="shared" si="49"/>
        <v>0</v>
      </c>
      <c r="BJ139" s="3307">
        <f t="shared" si="50"/>
        <v>0</v>
      </c>
      <c r="BK139" s="3307">
        <f t="shared" si="51"/>
        <v>0</v>
      </c>
      <c r="BL139" s="3307">
        <f t="shared" si="52"/>
        <v>0</v>
      </c>
      <c r="BM139" s="3307">
        <f t="shared" si="53"/>
        <v>0</v>
      </c>
      <c r="BN139" s="3307">
        <f t="shared" si="54"/>
        <v>0</v>
      </c>
      <c r="BO139" s="3307">
        <f t="shared" si="55"/>
        <v>0</v>
      </c>
      <c r="BP139" s="3307">
        <f t="shared" si="56"/>
        <v>0</v>
      </c>
      <c r="BQ139" s="3307">
        <f t="shared" si="57"/>
        <v>0</v>
      </c>
      <c r="BR139" s="3307">
        <f t="shared" si="58"/>
        <v>0</v>
      </c>
      <c r="BS139" s="3307">
        <f t="shared" si="59"/>
        <v>0</v>
      </c>
      <c r="BT139" s="3359">
        <f t="shared" si="60"/>
        <v>0</v>
      </c>
    </row>
    <row r="140" spans="1:72">
      <c r="A140" s="3304"/>
      <c r="B140" s="3305"/>
      <c r="C140" s="3305"/>
      <c r="D140" s="3306"/>
      <c r="E140" s="3307">
        <f t="shared" si="61"/>
        <v>0</v>
      </c>
      <c r="F140" s="3308"/>
      <c r="G140" s="3309">
        <f t="shared" si="36"/>
        <v>0</v>
      </c>
      <c r="H140" s="3310">
        <f t="shared" si="37"/>
        <v>0</v>
      </c>
      <c r="I140" s="3317"/>
      <c r="J140" s="3317"/>
      <c r="K140" s="3317"/>
      <c r="L140" s="3317"/>
      <c r="M140" s="3317"/>
      <c r="N140" s="3317"/>
      <c r="O140" s="3317"/>
      <c r="P140" s="3317"/>
      <c r="Q140" s="3317"/>
      <c r="R140" s="3317"/>
      <c r="S140" s="3317"/>
      <c r="T140" s="3317"/>
      <c r="U140" s="3317"/>
      <c r="V140" s="3317"/>
      <c r="W140" s="3317"/>
      <c r="X140" s="3317"/>
      <c r="Y140" s="3317"/>
      <c r="Z140" s="3317"/>
      <c r="AA140" s="3317"/>
      <c r="AB140" s="3317"/>
      <c r="AC140" s="3307">
        <f t="shared" si="38"/>
        <v>0</v>
      </c>
      <c r="AD140" s="3327"/>
      <c r="AE140" s="3327"/>
      <c r="AF140" s="3327"/>
      <c r="AG140" s="3327"/>
      <c r="AH140" s="3327"/>
      <c r="AI140" s="3327"/>
      <c r="AJ140" s="3327"/>
      <c r="AK140" s="3327"/>
      <c r="AL140" s="3327"/>
      <c r="AM140" s="3327"/>
      <c r="AN140" s="3327"/>
      <c r="AO140" s="3327"/>
      <c r="AP140" s="3327"/>
      <c r="AQ140" s="3327"/>
      <c r="AR140" s="3327"/>
      <c r="AS140" s="3327"/>
      <c r="AT140" s="3337"/>
      <c r="AU140" s="3338"/>
      <c r="AV140" s="1410">
        <f t="shared" si="62"/>
        <v>0</v>
      </c>
      <c r="AW140" s="1410">
        <f t="shared" si="63"/>
        <v>0</v>
      </c>
      <c r="AX140" s="1410">
        <f t="shared" si="64"/>
        <v>0</v>
      </c>
      <c r="AY140" s="3352">
        <f t="shared" si="39"/>
        <v>0</v>
      </c>
      <c r="AZ140" s="3307">
        <f t="shared" si="40"/>
        <v>0</v>
      </c>
      <c r="BA140" s="3307">
        <f t="shared" si="41"/>
        <v>0</v>
      </c>
      <c r="BB140" s="3307">
        <f t="shared" si="42"/>
        <v>0</v>
      </c>
      <c r="BC140" s="3307">
        <f t="shared" si="43"/>
        <v>0</v>
      </c>
      <c r="BD140" s="3307">
        <f t="shared" si="44"/>
        <v>0</v>
      </c>
      <c r="BE140" s="3307">
        <f t="shared" si="45"/>
        <v>0</v>
      </c>
      <c r="BF140" s="3307">
        <f t="shared" si="46"/>
        <v>0</v>
      </c>
      <c r="BG140" s="3307">
        <f t="shared" si="47"/>
        <v>0</v>
      </c>
      <c r="BH140" s="3307">
        <f t="shared" si="48"/>
        <v>0</v>
      </c>
      <c r="BI140" s="3307">
        <f t="shared" si="49"/>
        <v>0</v>
      </c>
      <c r="BJ140" s="3307">
        <f t="shared" si="50"/>
        <v>0</v>
      </c>
      <c r="BK140" s="3307">
        <f t="shared" si="51"/>
        <v>0</v>
      </c>
      <c r="BL140" s="3307">
        <f t="shared" si="52"/>
        <v>0</v>
      </c>
      <c r="BM140" s="3307">
        <f t="shared" si="53"/>
        <v>0</v>
      </c>
      <c r="BN140" s="3307">
        <f t="shared" si="54"/>
        <v>0</v>
      </c>
      <c r="BO140" s="3307">
        <f t="shared" si="55"/>
        <v>0</v>
      </c>
      <c r="BP140" s="3307">
        <f t="shared" si="56"/>
        <v>0</v>
      </c>
      <c r="BQ140" s="3307">
        <f t="shared" si="57"/>
        <v>0</v>
      </c>
      <c r="BR140" s="3307">
        <f t="shared" si="58"/>
        <v>0</v>
      </c>
      <c r="BS140" s="3307">
        <f t="shared" si="59"/>
        <v>0</v>
      </c>
      <c r="BT140" s="3359">
        <f t="shared" si="60"/>
        <v>0</v>
      </c>
    </row>
    <row r="141" spans="1:72">
      <c r="A141" s="3304"/>
      <c r="B141" s="3305"/>
      <c r="C141" s="3305"/>
      <c r="D141" s="3306"/>
      <c r="E141" s="3307">
        <f t="shared" si="61"/>
        <v>0</v>
      </c>
      <c r="F141" s="3308"/>
      <c r="G141" s="3309">
        <f t="shared" si="36"/>
        <v>0</v>
      </c>
      <c r="H141" s="3310">
        <f t="shared" si="37"/>
        <v>0</v>
      </c>
      <c r="I141" s="3317"/>
      <c r="J141" s="3317"/>
      <c r="K141" s="3317"/>
      <c r="L141" s="3317"/>
      <c r="M141" s="3317"/>
      <c r="N141" s="3317"/>
      <c r="O141" s="3317"/>
      <c r="P141" s="3317"/>
      <c r="Q141" s="3317"/>
      <c r="R141" s="3317"/>
      <c r="S141" s="3317"/>
      <c r="T141" s="3317"/>
      <c r="U141" s="3317"/>
      <c r="V141" s="3317"/>
      <c r="W141" s="3317"/>
      <c r="X141" s="3317"/>
      <c r="Y141" s="3317"/>
      <c r="Z141" s="3317"/>
      <c r="AA141" s="3317"/>
      <c r="AB141" s="3317"/>
      <c r="AC141" s="3307">
        <f t="shared" si="38"/>
        <v>0</v>
      </c>
      <c r="AD141" s="3327"/>
      <c r="AE141" s="3327"/>
      <c r="AF141" s="3327"/>
      <c r="AG141" s="3327"/>
      <c r="AH141" s="3327"/>
      <c r="AI141" s="3327"/>
      <c r="AJ141" s="3327"/>
      <c r="AK141" s="3327"/>
      <c r="AL141" s="3327"/>
      <c r="AM141" s="3327"/>
      <c r="AN141" s="3327"/>
      <c r="AO141" s="3327"/>
      <c r="AP141" s="3327"/>
      <c r="AQ141" s="3327"/>
      <c r="AR141" s="3327"/>
      <c r="AS141" s="3327"/>
      <c r="AT141" s="3337"/>
      <c r="AU141" s="3338"/>
      <c r="AV141" s="1410">
        <f t="shared" si="62"/>
        <v>0</v>
      </c>
      <c r="AW141" s="1410">
        <f t="shared" si="63"/>
        <v>0</v>
      </c>
      <c r="AX141" s="1410">
        <f t="shared" si="64"/>
        <v>0</v>
      </c>
      <c r="AY141" s="3352">
        <f t="shared" si="39"/>
        <v>0</v>
      </c>
      <c r="AZ141" s="3307">
        <f t="shared" si="40"/>
        <v>0</v>
      </c>
      <c r="BA141" s="3307">
        <f t="shared" si="41"/>
        <v>0</v>
      </c>
      <c r="BB141" s="3307">
        <f t="shared" si="42"/>
        <v>0</v>
      </c>
      <c r="BC141" s="3307">
        <f t="shared" si="43"/>
        <v>0</v>
      </c>
      <c r="BD141" s="3307">
        <f t="shared" si="44"/>
        <v>0</v>
      </c>
      <c r="BE141" s="3307">
        <f t="shared" si="45"/>
        <v>0</v>
      </c>
      <c r="BF141" s="3307">
        <f t="shared" si="46"/>
        <v>0</v>
      </c>
      <c r="BG141" s="3307">
        <f t="shared" si="47"/>
        <v>0</v>
      </c>
      <c r="BH141" s="3307">
        <f t="shared" si="48"/>
        <v>0</v>
      </c>
      <c r="BI141" s="3307">
        <f t="shared" si="49"/>
        <v>0</v>
      </c>
      <c r="BJ141" s="3307">
        <f t="shared" si="50"/>
        <v>0</v>
      </c>
      <c r="BK141" s="3307">
        <f t="shared" si="51"/>
        <v>0</v>
      </c>
      <c r="BL141" s="3307">
        <f t="shared" si="52"/>
        <v>0</v>
      </c>
      <c r="BM141" s="3307">
        <f t="shared" si="53"/>
        <v>0</v>
      </c>
      <c r="BN141" s="3307">
        <f t="shared" si="54"/>
        <v>0</v>
      </c>
      <c r="BO141" s="3307">
        <f t="shared" si="55"/>
        <v>0</v>
      </c>
      <c r="BP141" s="3307">
        <f t="shared" si="56"/>
        <v>0</v>
      </c>
      <c r="BQ141" s="3307">
        <f t="shared" si="57"/>
        <v>0</v>
      </c>
      <c r="BR141" s="3307">
        <f t="shared" si="58"/>
        <v>0</v>
      </c>
      <c r="BS141" s="3307">
        <f t="shared" si="59"/>
        <v>0</v>
      </c>
      <c r="BT141" s="3359">
        <f t="shared" si="60"/>
        <v>0</v>
      </c>
    </row>
    <row r="142" spans="1:72">
      <c r="A142" s="3304"/>
      <c r="B142" s="3305"/>
      <c r="C142" s="3305"/>
      <c r="D142" s="3306"/>
      <c r="E142" s="3307">
        <f t="shared" si="61"/>
        <v>0</v>
      </c>
      <c r="F142" s="3308"/>
      <c r="G142" s="3309">
        <f t="shared" ref="G142:G173" si="65">H142+AC142+AT142</f>
        <v>0</v>
      </c>
      <c r="H142" s="3310">
        <f t="shared" ref="H142:H173" si="66">SUMIF(I$12:AB$12,"总值",I142:AB142)</f>
        <v>0</v>
      </c>
      <c r="I142" s="3317"/>
      <c r="J142" s="3317"/>
      <c r="K142" s="3317"/>
      <c r="L142" s="3317"/>
      <c r="M142" s="3317"/>
      <c r="N142" s="3317"/>
      <c r="O142" s="3317"/>
      <c r="P142" s="3317"/>
      <c r="Q142" s="3317"/>
      <c r="R142" s="3317"/>
      <c r="S142" s="3317"/>
      <c r="T142" s="3317"/>
      <c r="U142" s="3317"/>
      <c r="V142" s="3317"/>
      <c r="W142" s="3317"/>
      <c r="X142" s="3317"/>
      <c r="Y142" s="3317"/>
      <c r="Z142" s="3317"/>
      <c r="AA142" s="3317"/>
      <c r="AB142" s="3317"/>
      <c r="AC142" s="3307">
        <f t="shared" ref="AC142:AC173" si="67">SUMIF(AD$12:AS$12,"总值",AD142:AS142)</f>
        <v>0</v>
      </c>
      <c r="AD142" s="3327"/>
      <c r="AE142" s="3327"/>
      <c r="AF142" s="3327"/>
      <c r="AG142" s="3327"/>
      <c r="AH142" s="3327"/>
      <c r="AI142" s="3327"/>
      <c r="AJ142" s="3327"/>
      <c r="AK142" s="3327"/>
      <c r="AL142" s="3327"/>
      <c r="AM142" s="3327"/>
      <c r="AN142" s="3327"/>
      <c r="AO142" s="3327"/>
      <c r="AP142" s="3327"/>
      <c r="AQ142" s="3327"/>
      <c r="AR142" s="3327"/>
      <c r="AS142" s="3327"/>
      <c r="AT142" s="3337"/>
      <c r="AU142" s="3338"/>
      <c r="AV142" s="1410">
        <f t="shared" si="62"/>
        <v>0</v>
      </c>
      <c r="AW142" s="1410">
        <f t="shared" si="63"/>
        <v>0</v>
      </c>
      <c r="AX142" s="1410">
        <f t="shared" si="64"/>
        <v>0</v>
      </c>
      <c r="AY142" s="3352">
        <f t="shared" ref="AY142:AY173" si="68">ROUND($AY$6*AZ142/$AZ$5,2)</f>
        <v>0</v>
      </c>
      <c r="AZ142" s="3307">
        <f t="shared" ref="AZ142:AZ173" si="69">BA142+BL142</f>
        <v>0</v>
      </c>
      <c r="BA142" s="3307">
        <f t="shared" ref="BA142:BA173" si="70">SUM(BB142:BK142)</f>
        <v>0</v>
      </c>
      <c r="BB142" s="3307">
        <f t="shared" ref="BB142:BB173" si="71">IF($D142="是",I142-J142,0)</f>
        <v>0</v>
      </c>
      <c r="BC142" s="3307">
        <f t="shared" ref="BC142:BC173" si="72">IF($D142="是",K142-L142,0)</f>
        <v>0</v>
      </c>
      <c r="BD142" s="3307">
        <f t="shared" ref="BD142:BD173" si="73">IF($D142="是",M142-N142,0)</f>
        <v>0</v>
      </c>
      <c r="BE142" s="3307">
        <f t="shared" ref="BE142:BE173" si="74">IF($D142="是",O142-P142,0)</f>
        <v>0</v>
      </c>
      <c r="BF142" s="3307">
        <f t="shared" ref="BF142:BF173" si="75">IF($D142="是",Q142-R142,0)</f>
        <v>0</v>
      </c>
      <c r="BG142" s="3307">
        <f t="shared" ref="BG142:BG173" si="76">IF($D142="是",S142-T142,0)</f>
        <v>0</v>
      </c>
      <c r="BH142" s="3307">
        <f t="shared" ref="BH142:BH173" si="77">IF($D142="是",U142-V142,0)</f>
        <v>0</v>
      </c>
      <c r="BI142" s="3307">
        <f t="shared" ref="BI142:BI173" si="78">IF($D142="是",W142-X142,0)</f>
        <v>0</v>
      </c>
      <c r="BJ142" s="3307">
        <f t="shared" ref="BJ142:BJ173" si="79">IF($D142="是",Y142-Z142,0)</f>
        <v>0</v>
      </c>
      <c r="BK142" s="3307">
        <f t="shared" ref="BK142:BK173" si="80">IF($D142="是",AA142-AB142,0)</f>
        <v>0</v>
      </c>
      <c r="BL142" s="3307">
        <f t="shared" ref="BL142:BL173" si="81">SUM(BM142:BT142)</f>
        <v>0</v>
      </c>
      <c r="BM142" s="3307">
        <f t="shared" ref="BM142:BM173" si="82">IF($D142="是",AD142-AE142,0)</f>
        <v>0</v>
      </c>
      <c r="BN142" s="3307">
        <f t="shared" ref="BN142:BN173" si="83">IF($D142="是",AF142-AG142,0)</f>
        <v>0</v>
      </c>
      <c r="BO142" s="3307">
        <f t="shared" ref="BO142:BO173" si="84">IF($D142="是",AH142-AI142,0)</f>
        <v>0</v>
      </c>
      <c r="BP142" s="3307">
        <f t="shared" ref="BP142:BP173" si="85">IF($D142="是",AJ142-AK142,0)</f>
        <v>0</v>
      </c>
      <c r="BQ142" s="3307">
        <f t="shared" ref="BQ142:BQ173" si="86">IF($D142="是",AL142-AM142,0)</f>
        <v>0</v>
      </c>
      <c r="BR142" s="3307">
        <f t="shared" ref="BR142:BR173" si="87">IF($D142="是",AN142-AO142,0)</f>
        <v>0</v>
      </c>
      <c r="BS142" s="3307">
        <f t="shared" ref="BS142:BS173" si="88">IF($D142="是",AP142-AQ142,0)</f>
        <v>0</v>
      </c>
      <c r="BT142" s="3359">
        <f t="shared" ref="BT142:BT173" si="89">IF($D142="是",AR142-AS142,0)</f>
        <v>0</v>
      </c>
    </row>
    <row r="143" spans="1:72">
      <c r="A143" s="3304"/>
      <c r="B143" s="3305"/>
      <c r="C143" s="3305"/>
      <c r="D143" s="3306"/>
      <c r="E143" s="3307">
        <f t="shared" si="61"/>
        <v>0</v>
      </c>
      <c r="F143" s="3308"/>
      <c r="G143" s="3309">
        <f t="shared" si="65"/>
        <v>0</v>
      </c>
      <c r="H143" s="3310">
        <f t="shared" si="66"/>
        <v>0</v>
      </c>
      <c r="I143" s="3317"/>
      <c r="J143" s="3317"/>
      <c r="K143" s="3317"/>
      <c r="L143" s="3317"/>
      <c r="M143" s="3317"/>
      <c r="N143" s="3317"/>
      <c r="O143" s="3317"/>
      <c r="P143" s="3317"/>
      <c r="Q143" s="3317"/>
      <c r="R143" s="3317"/>
      <c r="S143" s="3317"/>
      <c r="T143" s="3317"/>
      <c r="U143" s="3317"/>
      <c r="V143" s="3317"/>
      <c r="W143" s="3317"/>
      <c r="X143" s="3317"/>
      <c r="Y143" s="3317"/>
      <c r="Z143" s="3317"/>
      <c r="AA143" s="3317"/>
      <c r="AB143" s="3317"/>
      <c r="AC143" s="3307">
        <f t="shared" si="67"/>
        <v>0</v>
      </c>
      <c r="AD143" s="3327"/>
      <c r="AE143" s="3327"/>
      <c r="AF143" s="3327"/>
      <c r="AG143" s="3327"/>
      <c r="AH143" s="3327"/>
      <c r="AI143" s="3327"/>
      <c r="AJ143" s="3327"/>
      <c r="AK143" s="3327"/>
      <c r="AL143" s="3327"/>
      <c r="AM143" s="3327"/>
      <c r="AN143" s="3327"/>
      <c r="AO143" s="3327"/>
      <c r="AP143" s="3327"/>
      <c r="AQ143" s="3327"/>
      <c r="AR143" s="3327"/>
      <c r="AS143" s="3327"/>
      <c r="AT143" s="3337"/>
      <c r="AU143" s="3338"/>
      <c r="AV143" s="1410">
        <f t="shared" si="62"/>
        <v>0</v>
      </c>
      <c r="AW143" s="1410">
        <f t="shared" si="63"/>
        <v>0</v>
      </c>
      <c r="AX143" s="1410">
        <f t="shared" si="64"/>
        <v>0</v>
      </c>
      <c r="AY143" s="3352">
        <f t="shared" si="68"/>
        <v>0</v>
      </c>
      <c r="AZ143" s="3307">
        <f t="shared" si="69"/>
        <v>0</v>
      </c>
      <c r="BA143" s="3307">
        <f t="shared" si="70"/>
        <v>0</v>
      </c>
      <c r="BB143" s="3307">
        <f t="shared" si="71"/>
        <v>0</v>
      </c>
      <c r="BC143" s="3307">
        <f t="shared" si="72"/>
        <v>0</v>
      </c>
      <c r="BD143" s="3307">
        <f t="shared" si="73"/>
        <v>0</v>
      </c>
      <c r="BE143" s="3307">
        <f t="shared" si="74"/>
        <v>0</v>
      </c>
      <c r="BF143" s="3307">
        <f t="shared" si="75"/>
        <v>0</v>
      </c>
      <c r="BG143" s="3307">
        <f t="shared" si="76"/>
        <v>0</v>
      </c>
      <c r="BH143" s="3307">
        <f t="shared" si="77"/>
        <v>0</v>
      </c>
      <c r="BI143" s="3307">
        <f t="shared" si="78"/>
        <v>0</v>
      </c>
      <c r="BJ143" s="3307">
        <f t="shared" si="79"/>
        <v>0</v>
      </c>
      <c r="BK143" s="3307">
        <f t="shared" si="80"/>
        <v>0</v>
      </c>
      <c r="BL143" s="3307">
        <f t="shared" si="81"/>
        <v>0</v>
      </c>
      <c r="BM143" s="3307">
        <f t="shared" si="82"/>
        <v>0</v>
      </c>
      <c r="BN143" s="3307">
        <f t="shared" si="83"/>
        <v>0</v>
      </c>
      <c r="BO143" s="3307">
        <f t="shared" si="84"/>
        <v>0</v>
      </c>
      <c r="BP143" s="3307">
        <f t="shared" si="85"/>
        <v>0</v>
      </c>
      <c r="BQ143" s="3307">
        <f t="shared" si="86"/>
        <v>0</v>
      </c>
      <c r="BR143" s="3307">
        <f t="shared" si="87"/>
        <v>0</v>
      </c>
      <c r="BS143" s="3307">
        <f t="shared" si="88"/>
        <v>0</v>
      </c>
      <c r="BT143" s="3359">
        <f t="shared" si="89"/>
        <v>0</v>
      </c>
    </row>
    <row r="144" spans="1:72">
      <c r="A144" s="3304"/>
      <c r="B144" s="3305"/>
      <c r="C144" s="3305"/>
      <c r="D144" s="3306"/>
      <c r="E144" s="3307">
        <f t="shared" si="61"/>
        <v>0</v>
      </c>
      <c r="F144" s="3308"/>
      <c r="G144" s="3309">
        <f t="shared" si="65"/>
        <v>0</v>
      </c>
      <c r="H144" s="3310">
        <f t="shared" si="66"/>
        <v>0</v>
      </c>
      <c r="I144" s="3317"/>
      <c r="J144" s="3317"/>
      <c r="K144" s="3317"/>
      <c r="L144" s="3317"/>
      <c r="M144" s="3317"/>
      <c r="N144" s="3317"/>
      <c r="O144" s="3317"/>
      <c r="P144" s="3317"/>
      <c r="Q144" s="3317"/>
      <c r="R144" s="3317"/>
      <c r="S144" s="3317"/>
      <c r="T144" s="3317"/>
      <c r="U144" s="3317"/>
      <c r="V144" s="3317"/>
      <c r="W144" s="3317"/>
      <c r="X144" s="3317"/>
      <c r="Y144" s="3317"/>
      <c r="Z144" s="3317"/>
      <c r="AA144" s="3317"/>
      <c r="AB144" s="3317"/>
      <c r="AC144" s="3307">
        <f t="shared" si="67"/>
        <v>0</v>
      </c>
      <c r="AD144" s="3327"/>
      <c r="AE144" s="3327"/>
      <c r="AF144" s="3327"/>
      <c r="AG144" s="3327"/>
      <c r="AH144" s="3327"/>
      <c r="AI144" s="3327"/>
      <c r="AJ144" s="3327"/>
      <c r="AK144" s="3327"/>
      <c r="AL144" s="3327"/>
      <c r="AM144" s="3327"/>
      <c r="AN144" s="3327"/>
      <c r="AO144" s="3327"/>
      <c r="AP144" s="3327"/>
      <c r="AQ144" s="3327"/>
      <c r="AR144" s="3327"/>
      <c r="AS144" s="3327"/>
      <c r="AT144" s="3337"/>
      <c r="AU144" s="3338"/>
      <c r="AV144" s="1410">
        <f t="shared" si="62"/>
        <v>0</v>
      </c>
      <c r="AW144" s="1410">
        <f t="shared" si="63"/>
        <v>0</v>
      </c>
      <c r="AX144" s="1410">
        <f t="shared" si="64"/>
        <v>0</v>
      </c>
      <c r="AY144" s="3352">
        <f t="shared" si="68"/>
        <v>0</v>
      </c>
      <c r="AZ144" s="3307">
        <f t="shared" si="69"/>
        <v>0</v>
      </c>
      <c r="BA144" s="3307">
        <f t="shared" si="70"/>
        <v>0</v>
      </c>
      <c r="BB144" s="3307">
        <f t="shared" si="71"/>
        <v>0</v>
      </c>
      <c r="BC144" s="3307">
        <f t="shared" si="72"/>
        <v>0</v>
      </c>
      <c r="BD144" s="3307">
        <f t="shared" si="73"/>
        <v>0</v>
      </c>
      <c r="BE144" s="3307">
        <f t="shared" si="74"/>
        <v>0</v>
      </c>
      <c r="BF144" s="3307">
        <f t="shared" si="75"/>
        <v>0</v>
      </c>
      <c r="BG144" s="3307">
        <f t="shared" si="76"/>
        <v>0</v>
      </c>
      <c r="BH144" s="3307">
        <f t="shared" si="77"/>
        <v>0</v>
      </c>
      <c r="BI144" s="3307">
        <f t="shared" si="78"/>
        <v>0</v>
      </c>
      <c r="BJ144" s="3307">
        <f t="shared" si="79"/>
        <v>0</v>
      </c>
      <c r="BK144" s="3307">
        <f t="shared" si="80"/>
        <v>0</v>
      </c>
      <c r="BL144" s="3307">
        <f t="shared" si="81"/>
        <v>0</v>
      </c>
      <c r="BM144" s="3307">
        <f t="shared" si="82"/>
        <v>0</v>
      </c>
      <c r="BN144" s="3307">
        <f t="shared" si="83"/>
        <v>0</v>
      </c>
      <c r="BO144" s="3307">
        <f t="shared" si="84"/>
        <v>0</v>
      </c>
      <c r="BP144" s="3307">
        <f t="shared" si="85"/>
        <v>0</v>
      </c>
      <c r="BQ144" s="3307">
        <f t="shared" si="86"/>
        <v>0</v>
      </c>
      <c r="BR144" s="3307">
        <f t="shared" si="87"/>
        <v>0</v>
      </c>
      <c r="BS144" s="3307">
        <f t="shared" si="88"/>
        <v>0</v>
      </c>
      <c r="BT144" s="3359">
        <f t="shared" si="89"/>
        <v>0</v>
      </c>
    </row>
    <row r="145" spans="1:72">
      <c r="A145" s="3304"/>
      <c r="B145" s="3305"/>
      <c r="C145" s="3305"/>
      <c r="D145" s="3306"/>
      <c r="E145" s="3307">
        <f t="shared" ref="E145:E176" si="90">IF($C$3="是",ROUND($A$3*G145/$B$3,2),ROUND($A$3*(G145-AT145)/$B$3,2))</f>
        <v>0</v>
      </c>
      <c r="F145" s="3308"/>
      <c r="G145" s="3309">
        <f t="shared" si="65"/>
        <v>0</v>
      </c>
      <c r="H145" s="3310">
        <f t="shared" si="66"/>
        <v>0</v>
      </c>
      <c r="I145" s="3317"/>
      <c r="J145" s="3317"/>
      <c r="K145" s="3317"/>
      <c r="L145" s="3317"/>
      <c r="M145" s="3317"/>
      <c r="N145" s="3317"/>
      <c r="O145" s="3317"/>
      <c r="P145" s="3317"/>
      <c r="Q145" s="3317"/>
      <c r="R145" s="3317"/>
      <c r="S145" s="3317"/>
      <c r="T145" s="3317"/>
      <c r="U145" s="3317"/>
      <c r="V145" s="3317"/>
      <c r="W145" s="3317"/>
      <c r="X145" s="3317"/>
      <c r="Y145" s="3317"/>
      <c r="Z145" s="3317"/>
      <c r="AA145" s="3317"/>
      <c r="AB145" s="3317"/>
      <c r="AC145" s="3307">
        <f t="shared" si="67"/>
        <v>0</v>
      </c>
      <c r="AD145" s="3327"/>
      <c r="AE145" s="3327"/>
      <c r="AF145" s="3327"/>
      <c r="AG145" s="3327"/>
      <c r="AH145" s="3327"/>
      <c r="AI145" s="3327"/>
      <c r="AJ145" s="3327"/>
      <c r="AK145" s="3327"/>
      <c r="AL145" s="3327"/>
      <c r="AM145" s="3327"/>
      <c r="AN145" s="3327"/>
      <c r="AO145" s="3327"/>
      <c r="AP145" s="3327"/>
      <c r="AQ145" s="3327"/>
      <c r="AR145" s="3327"/>
      <c r="AS145" s="3327"/>
      <c r="AT145" s="3337"/>
      <c r="AU145" s="3338"/>
      <c r="AV145" s="1410">
        <f t="shared" ref="AV145:AV176" si="91">A145</f>
        <v>0</v>
      </c>
      <c r="AW145" s="1410">
        <f t="shared" ref="AW145:AW176" si="92">B145</f>
        <v>0</v>
      </c>
      <c r="AX145" s="1410">
        <f t="shared" ref="AX145:AX176" si="93">C145</f>
        <v>0</v>
      </c>
      <c r="AY145" s="3352">
        <f t="shared" si="68"/>
        <v>0</v>
      </c>
      <c r="AZ145" s="3307">
        <f t="shared" si="69"/>
        <v>0</v>
      </c>
      <c r="BA145" s="3307">
        <f t="shared" si="70"/>
        <v>0</v>
      </c>
      <c r="BB145" s="3307">
        <f t="shared" si="71"/>
        <v>0</v>
      </c>
      <c r="BC145" s="3307">
        <f t="shared" si="72"/>
        <v>0</v>
      </c>
      <c r="BD145" s="3307">
        <f t="shared" si="73"/>
        <v>0</v>
      </c>
      <c r="BE145" s="3307">
        <f t="shared" si="74"/>
        <v>0</v>
      </c>
      <c r="BF145" s="3307">
        <f t="shared" si="75"/>
        <v>0</v>
      </c>
      <c r="BG145" s="3307">
        <f t="shared" si="76"/>
        <v>0</v>
      </c>
      <c r="BH145" s="3307">
        <f t="shared" si="77"/>
        <v>0</v>
      </c>
      <c r="BI145" s="3307">
        <f t="shared" si="78"/>
        <v>0</v>
      </c>
      <c r="BJ145" s="3307">
        <f t="shared" si="79"/>
        <v>0</v>
      </c>
      <c r="BK145" s="3307">
        <f t="shared" si="80"/>
        <v>0</v>
      </c>
      <c r="BL145" s="3307">
        <f t="shared" si="81"/>
        <v>0</v>
      </c>
      <c r="BM145" s="3307">
        <f t="shared" si="82"/>
        <v>0</v>
      </c>
      <c r="BN145" s="3307">
        <f t="shared" si="83"/>
        <v>0</v>
      </c>
      <c r="BO145" s="3307">
        <f t="shared" si="84"/>
        <v>0</v>
      </c>
      <c r="BP145" s="3307">
        <f t="shared" si="85"/>
        <v>0</v>
      </c>
      <c r="BQ145" s="3307">
        <f t="shared" si="86"/>
        <v>0</v>
      </c>
      <c r="BR145" s="3307">
        <f t="shared" si="87"/>
        <v>0</v>
      </c>
      <c r="BS145" s="3307">
        <f t="shared" si="88"/>
        <v>0</v>
      </c>
      <c r="BT145" s="3359">
        <f t="shared" si="89"/>
        <v>0</v>
      </c>
    </row>
    <row r="146" spans="1:72">
      <c r="A146" s="3304"/>
      <c r="B146" s="3305"/>
      <c r="C146" s="3305"/>
      <c r="D146" s="3306"/>
      <c r="E146" s="3307">
        <f t="shared" si="90"/>
        <v>0</v>
      </c>
      <c r="F146" s="3308"/>
      <c r="G146" s="3309">
        <f t="shared" si="65"/>
        <v>0</v>
      </c>
      <c r="H146" s="3310">
        <f t="shared" si="66"/>
        <v>0</v>
      </c>
      <c r="I146" s="3317"/>
      <c r="J146" s="3317"/>
      <c r="K146" s="3317"/>
      <c r="L146" s="3317"/>
      <c r="M146" s="3317"/>
      <c r="N146" s="3317"/>
      <c r="O146" s="3317"/>
      <c r="P146" s="3317"/>
      <c r="Q146" s="3317"/>
      <c r="R146" s="3317"/>
      <c r="S146" s="3317"/>
      <c r="T146" s="3317"/>
      <c r="U146" s="3317"/>
      <c r="V146" s="3317"/>
      <c r="W146" s="3317"/>
      <c r="X146" s="3317"/>
      <c r="Y146" s="3317"/>
      <c r="Z146" s="3317"/>
      <c r="AA146" s="3317"/>
      <c r="AB146" s="3317"/>
      <c r="AC146" s="3307">
        <f t="shared" si="67"/>
        <v>0</v>
      </c>
      <c r="AD146" s="3327"/>
      <c r="AE146" s="3327"/>
      <c r="AF146" s="3327"/>
      <c r="AG146" s="3327"/>
      <c r="AH146" s="3327"/>
      <c r="AI146" s="3327"/>
      <c r="AJ146" s="3327"/>
      <c r="AK146" s="3327"/>
      <c r="AL146" s="3327"/>
      <c r="AM146" s="3327"/>
      <c r="AN146" s="3327"/>
      <c r="AO146" s="3327"/>
      <c r="AP146" s="3327"/>
      <c r="AQ146" s="3327"/>
      <c r="AR146" s="3327"/>
      <c r="AS146" s="3327"/>
      <c r="AT146" s="3337"/>
      <c r="AU146" s="3338"/>
      <c r="AV146" s="1410">
        <f t="shared" si="91"/>
        <v>0</v>
      </c>
      <c r="AW146" s="1410">
        <f t="shared" si="92"/>
        <v>0</v>
      </c>
      <c r="AX146" s="1410">
        <f t="shared" si="93"/>
        <v>0</v>
      </c>
      <c r="AY146" s="3352">
        <f t="shared" si="68"/>
        <v>0</v>
      </c>
      <c r="AZ146" s="3307">
        <f t="shared" si="69"/>
        <v>0</v>
      </c>
      <c r="BA146" s="3307">
        <f t="shared" si="70"/>
        <v>0</v>
      </c>
      <c r="BB146" s="3307">
        <f t="shared" si="71"/>
        <v>0</v>
      </c>
      <c r="BC146" s="3307">
        <f t="shared" si="72"/>
        <v>0</v>
      </c>
      <c r="BD146" s="3307">
        <f t="shared" si="73"/>
        <v>0</v>
      </c>
      <c r="BE146" s="3307">
        <f t="shared" si="74"/>
        <v>0</v>
      </c>
      <c r="BF146" s="3307">
        <f t="shared" si="75"/>
        <v>0</v>
      </c>
      <c r="BG146" s="3307">
        <f t="shared" si="76"/>
        <v>0</v>
      </c>
      <c r="BH146" s="3307">
        <f t="shared" si="77"/>
        <v>0</v>
      </c>
      <c r="BI146" s="3307">
        <f t="shared" si="78"/>
        <v>0</v>
      </c>
      <c r="BJ146" s="3307">
        <f t="shared" si="79"/>
        <v>0</v>
      </c>
      <c r="BK146" s="3307">
        <f t="shared" si="80"/>
        <v>0</v>
      </c>
      <c r="BL146" s="3307">
        <f t="shared" si="81"/>
        <v>0</v>
      </c>
      <c r="BM146" s="3307">
        <f t="shared" si="82"/>
        <v>0</v>
      </c>
      <c r="BN146" s="3307">
        <f t="shared" si="83"/>
        <v>0</v>
      </c>
      <c r="BO146" s="3307">
        <f t="shared" si="84"/>
        <v>0</v>
      </c>
      <c r="BP146" s="3307">
        <f t="shared" si="85"/>
        <v>0</v>
      </c>
      <c r="BQ146" s="3307">
        <f t="shared" si="86"/>
        <v>0</v>
      </c>
      <c r="BR146" s="3307">
        <f t="shared" si="87"/>
        <v>0</v>
      </c>
      <c r="BS146" s="3307">
        <f t="shared" si="88"/>
        <v>0</v>
      </c>
      <c r="BT146" s="3359">
        <f t="shared" si="89"/>
        <v>0</v>
      </c>
    </row>
    <row r="147" spans="1:72">
      <c r="A147" s="3304"/>
      <c r="B147" s="3305"/>
      <c r="C147" s="3305"/>
      <c r="D147" s="3306"/>
      <c r="E147" s="3307">
        <f t="shared" si="90"/>
        <v>0</v>
      </c>
      <c r="F147" s="3308"/>
      <c r="G147" s="3309">
        <f t="shared" si="65"/>
        <v>0</v>
      </c>
      <c r="H147" s="3310">
        <f t="shared" si="66"/>
        <v>0</v>
      </c>
      <c r="I147" s="3317"/>
      <c r="J147" s="3317"/>
      <c r="K147" s="3317"/>
      <c r="L147" s="3317"/>
      <c r="M147" s="3317"/>
      <c r="N147" s="3317"/>
      <c r="O147" s="3317"/>
      <c r="P147" s="3317"/>
      <c r="Q147" s="3317"/>
      <c r="R147" s="3317"/>
      <c r="S147" s="3317"/>
      <c r="T147" s="3317"/>
      <c r="U147" s="3317"/>
      <c r="V147" s="3317"/>
      <c r="W147" s="3317"/>
      <c r="X147" s="3317"/>
      <c r="Y147" s="3317"/>
      <c r="Z147" s="3317"/>
      <c r="AA147" s="3317"/>
      <c r="AB147" s="3317"/>
      <c r="AC147" s="3307">
        <f t="shared" si="67"/>
        <v>0</v>
      </c>
      <c r="AD147" s="3327"/>
      <c r="AE147" s="3327"/>
      <c r="AF147" s="3327"/>
      <c r="AG147" s="3327"/>
      <c r="AH147" s="3327"/>
      <c r="AI147" s="3327"/>
      <c r="AJ147" s="3327"/>
      <c r="AK147" s="3327"/>
      <c r="AL147" s="3327"/>
      <c r="AM147" s="3327"/>
      <c r="AN147" s="3327"/>
      <c r="AO147" s="3327"/>
      <c r="AP147" s="3327"/>
      <c r="AQ147" s="3327"/>
      <c r="AR147" s="3327"/>
      <c r="AS147" s="3327"/>
      <c r="AT147" s="3337"/>
      <c r="AU147" s="3338"/>
      <c r="AV147" s="1410">
        <f t="shared" si="91"/>
        <v>0</v>
      </c>
      <c r="AW147" s="1410">
        <f t="shared" si="92"/>
        <v>0</v>
      </c>
      <c r="AX147" s="1410">
        <f t="shared" si="93"/>
        <v>0</v>
      </c>
      <c r="AY147" s="3352">
        <f t="shared" si="68"/>
        <v>0</v>
      </c>
      <c r="AZ147" s="3307">
        <f t="shared" si="69"/>
        <v>0</v>
      </c>
      <c r="BA147" s="3307">
        <f t="shared" si="70"/>
        <v>0</v>
      </c>
      <c r="BB147" s="3307">
        <f t="shared" si="71"/>
        <v>0</v>
      </c>
      <c r="BC147" s="3307">
        <f t="shared" si="72"/>
        <v>0</v>
      </c>
      <c r="BD147" s="3307">
        <f t="shared" si="73"/>
        <v>0</v>
      </c>
      <c r="BE147" s="3307">
        <f t="shared" si="74"/>
        <v>0</v>
      </c>
      <c r="BF147" s="3307">
        <f t="shared" si="75"/>
        <v>0</v>
      </c>
      <c r="BG147" s="3307">
        <f t="shared" si="76"/>
        <v>0</v>
      </c>
      <c r="BH147" s="3307">
        <f t="shared" si="77"/>
        <v>0</v>
      </c>
      <c r="BI147" s="3307">
        <f t="shared" si="78"/>
        <v>0</v>
      </c>
      <c r="BJ147" s="3307">
        <f t="shared" si="79"/>
        <v>0</v>
      </c>
      <c r="BK147" s="3307">
        <f t="shared" si="80"/>
        <v>0</v>
      </c>
      <c r="BL147" s="3307">
        <f t="shared" si="81"/>
        <v>0</v>
      </c>
      <c r="BM147" s="3307">
        <f t="shared" si="82"/>
        <v>0</v>
      </c>
      <c r="BN147" s="3307">
        <f t="shared" si="83"/>
        <v>0</v>
      </c>
      <c r="BO147" s="3307">
        <f t="shared" si="84"/>
        <v>0</v>
      </c>
      <c r="BP147" s="3307">
        <f t="shared" si="85"/>
        <v>0</v>
      </c>
      <c r="BQ147" s="3307">
        <f t="shared" si="86"/>
        <v>0</v>
      </c>
      <c r="BR147" s="3307">
        <f t="shared" si="87"/>
        <v>0</v>
      </c>
      <c r="BS147" s="3307">
        <f t="shared" si="88"/>
        <v>0</v>
      </c>
      <c r="BT147" s="3359">
        <f t="shared" si="89"/>
        <v>0</v>
      </c>
    </row>
    <row r="148" spans="1:72">
      <c r="A148" s="3304"/>
      <c r="B148" s="3305"/>
      <c r="C148" s="3305"/>
      <c r="D148" s="3306"/>
      <c r="E148" s="3307">
        <f t="shared" si="90"/>
        <v>0</v>
      </c>
      <c r="F148" s="3308"/>
      <c r="G148" s="3309">
        <f t="shared" si="65"/>
        <v>0</v>
      </c>
      <c r="H148" s="3310">
        <f t="shared" si="66"/>
        <v>0</v>
      </c>
      <c r="I148" s="3317"/>
      <c r="J148" s="3317"/>
      <c r="K148" s="3317"/>
      <c r="L148" s="3317"/>
      <c r="M148" s="3317"/>
      <c r="N148" s="3317"/>
      <c r="O148" s="3317"/>
      <c r="P148" s="3317"/>
      <c r="Q148" s="3317"/>
      <c r="R148" s="3317"/>
      <c r="S148" s="3317"/>
      <c r="T148" s="3317"/>
      <c r="U148" s="3317"/>
      <c r="V148" s="3317"/>
      <c r="W148" s="3317"/>
      <c r="X148" s="3317"/>
      <c r="Y148" s="3317"/>
      <c r="Z148" s="3317"/>
      <c r="AA148" s="3317"/>
      <c r="AB148" s="3317"/>
      <c r="AC148" s="3307">
        <f t="shared" si="67"/>
        <v>0</v>
      </c>
      <c r="AD148" s="3327"/>
      <c r="AE148" s="3327"/>
      <c r="AF148" s="3327"/>
      <c r="AG148" s="3327"/>
      <c r="AH148" s="3327"/>
      <c r="AI148" s="3327"/>
      <c r="AJ148" s="3327"/>
      <c r="AK148" s="3327"/>
      <c r="AL148" s="3327"/>
      <c r="AM148" s="3327"/>
      <c r="AN148" s="3327"/>
      <c r="AO148" s="3327"/>
      <c r="AP148" s="3327"/>
      <c r="AQ148" s="3327"/>
      <c r="AR148" s="3327"/>
      <c r="AS148" s="3327"/>
      <c r="AT148" s="3337"/>
      <c r="AU148" s="3338"/>
      <c r="AV148" s="1410">
        <f t="shared" si="91"/>
        <v>0</v>
      </c>
      <c r="AW148" s="1410">
        <f t="shared" si="92"/>
        <v>0</v>
      </c>
      <c r="AX148" s="1410">
        <f t="shared" si="93"/>
        <v>0</v>
      </c>
      <c r="AY148" s="3352">
        <f t="shared" si="68"/>
        <v>0</v>
      </c>
      <c r="AZ148" s="3307">
        <f t="shared" si="69"/>
        <v>0</v>
      </c>
      <c r="BA148" s="3307">
        <f t="shared" si="70"/>
        <v>0</v>
      </c>
      <c r="BB148" s="3307">
        <f t="shared" si="71"/>
        <v>0</v>
      </c>
      <c r="BC148" s="3307">
        <f t="shared" si="72"/>
        <v>0</v>
      </c>
      <c r="BD148" s="3307">
        <f t="shared" si="73"/>
        <v>0</v>
      </c>
      <c r="BE148" s="3307">
        <f t="shared" si="74"/>
        <v>0</v>
      </c>
      <c r="BF148" s="3307">
        <f t="shared" si="75"/>
        <v>0</v>
      </c>
      <c r="BG148" s="3307">
        <f t="shared" si="76"/>
        <v>0</v>
      </c>
      <c r="BH148" s="3307">
        <f t="shared" si="77"/>
        <v>0</v>
      </c>
      <c r="BI148" s="3307">
        <f t="shared" si="78"/>
        <v>0</v>
      </c>
      <c r="BJ148" s="3307">
        <f t="shared" si="79"/>
        <v>0</v>
      </c>
      <c r="BK148" s="3307">
        <f t="shared" si="80"/>
        <v>0</v>
      </c>
      <c r="BL148" s="3307">
        <f t="shared" si="81"/>
        <v>0</v>
      </c>
      <c r="BM148" s="3307">
        <f t="shared" si="82"/>
        <v>0</v>
      </c>
      <c r="BN148" s="3307">
        <f t="shared" si="83"/>
        <v>0</v>
      </c>
      <c r="BO148" s="3307">
        <f t="shared" si="84"/>
        <v>0</v>
      </c>
      <c r="BP148" s="3307">
        <f t="shared" si="85"/>
        <v>0</v>
      </c>
      <c r="BQ148" s="3307">
        <f t="shared" si="86"/>
        <v>0</v>
      </c>
      <c r="BR148" s="3307">
        <f t="shared" si="87"/>
        <v>0</v>
      </c>
      <c r="BS148" s="3307">
        <f t="shared" si="88"/>
        <v>0</v>
      </c>
      <c r="BT148" s="3359">
        <f t="shared" si="89"/>
        <v>0</v>
      </c>
    </row>
    <row r="149" spans="1:72">
      <c r="A149" s="3304"/>
      <c r="B149" s="3305"/>
      <c r="C149" s="3305"/>
      <c r="D149" s="3306"/>
      <c r="E149" s="3307">
        <f t="shared" si="90"/>
        <v>0</v>
      </c>
      <c r="F149" s="3308"/>
      <c r="G149" s="3309">
        <f t="shared" si="65"/>
        <v>0</v>
      </c>
      <c r="H149" s="3310">
        <f t="shared" si="66"/>
        <v>0</v>
      </c>
      <c r="I149" s="3317"/>
      <c r="J149" s="3317"/>
      <c r="K149" s="3317"/>
      <c r="L149" s="3317"/>
      <c r="M149" s="3317"/>
      <c r="N149" s="3317"/>
      <c r="O149" s="3317"/>
      <c r="P149" s="3317"/>
      <c r="Q149" s="3317"/>
      <c r="R149" s="3317"/>
      <c r="S149" s="3317"/>
      <c r="T149" s="3317"/>
      <c r="U149" s="3317"/>
      <c r="V149" s="3317"/>
      <c r="W149" s="3317"/>
      <c r="X149" s="3317"/>
      <c r="Y149" s="3317"/>
      <c r="Z149" s="3317"/>
      <c r="AA149" s="3317"/>
      <c r="AB149" s="3317"/>
      <c r="AC149" s="3307">
        <f t="shared" si="67"/>
        <v>0</v>
      </c>
      <c r="AD149" s="3327"/>
      <c r="AE149" s="3327"/>
      <c r="AF149" s="3327"/>
      <c r="AG149" s="3327"/>
      <c r="AH149" s="3327"/>
      <c r="AI149" s="3327"/>
      <c r="AJ149" s="3327"/>
      <c r="AK149" s="3327"/>
      <c r="AL149" s="3327"/>
      <c r="AM149" s="3327"/>
      <c r="AN149" s="3327"/>
      <c r="AO149" s="3327"/>
      <c r="AP149" s="3327"/>
      <c r="AQ149" s="3327"/>
      <c r="AR149" s="3327"/>
      <c r="AS149" s="3327"/>
      <c r="AT149" s="3337"/>
      <c r="AU149" s="3338"/>
      <c r="AV149" s="1410">
        <f t="shared" si="91"/>
        <v>0</v>
      </c>
      <c r="AW149" s="1410">
        <f t="shared" si="92"/>
        <v>0</v>
      </c>
      <c r="AX149" s="1410">
        <f t="shared" si="93"/>
        <v>0</v>
      </c>
      <c r="AY149" s="3352">
        <f t="shared" si="68"/>
        <v>0</v>
      </c>
      <c r="AZ149" s="3307">
        <f t="shared" si="69"/>
        <v>0</v>
      </c>
      <c r="BA149" s="3307">
        <f t="shared" si="70"/>
        <v>0</v>
      </c>
      <c r="BB149" s="3307">
        <f t="shared" si="71"/>
        <v>0</v>
      </c>
      <c r="BC149" s="3307">
        <f t="shared" si="72"/>
        <v>0</v>
      </c>
      <c r="BD149" s="3307">
        <f t="shared" si="73"/>
        <v>0</v>
      </c>
      <c r="BE149" s="3307">
        <f t="shared" si="74"/>
        <v>0</v>
      </c>
      <c r="BF149" s="3307">
        <f t="shared" si="75"/>
        <v>0</v>
      </c>
      <c r="BG149" s="3307">
        <f t="shared" si="76"/>
        <v>0</v>
      </c>
      <c r="BH149" s="3307">
        <f t="shared" si="77"/>
        <v>0</v>
      </c>
      <c r="BI149" s="3307">
        <f t="shared" si="78"/>
        <v>0</v>
      </c>
      <c r="BJ149" s="3307">
        <f t="shared" si="79"/>
        <v>0</v>
      </c>
      <c r="BK149" s="3307">
        <f t="shared" si="80"/>
        <v>0</v>
      </c>
      <c r="BL149" s="3307">
        <f t="shared" si="81"/>
        <v>0</v>
      </c>
      <c r="BM149" s="3307">
        <f t="shared" si="82"/>
        <v>0</v>
      </c>
      <c r="BN149" s="3307">
        <f t="shared" si="83"/>
        <v>0</v>
      </c>
      <c r="BO149" s="3307">
        <f t="shared" si="84"/>
        <v>0</v>
      </c>
      <c r="BP149" s="3307">
        <f t="shared" si="85"/>
        <v>0</v>
      </c>
      <c r="BQ149" s="3307">
        <f t="shared" si="86"/>
        <v>0</v>
      </c>
      <c r="BR149" s="3307">
        <f t="shared" si="87"/>
        <v>0</v>
      </c>
      <c r="BS149" s="3307">
        <f t="shared" si="88"/>
        <v>0</v>
      </c>
      <c r="BT149" s="3359">
        <f t="shared" si="89"/>
        <v>0</v>
      </c>
    </row>
    <row r="150" spans="1:72">
      <c r="A150" s="3304"/>
      <c r="B150" s="3305"/>
      <c r="C150" s="3305"/>
      <c r="D150" s="3306"/>
      <c r="E150" s="3307">
        <f t="shared" si="90"/>
        <v>0</v>
      </c>
      <c r="F150" s="3308"/>
      <c r="G150" s="3309">
        <f t="shared" si="65"/>
        <v>0</v>
      </c>
      <c r="H150" s="3310">
        <f t="shared" si="66"/>
        <v>0</v>
      </c>
      <c r="I150" s="3317"/>
      <c r="J150" s="3317"/>
      <c r="K150" s="3317"/>
      <c r="L150" s="3317"/>
      <c r="M150" s="3317"/>
      <c r="N150" s="3317"/>
      <c r="O150" s="3317"/>
      <c r="P150" s="3317"/>
      <c r="Q150" s="3317"/>
      <c r="R150" s="3317"/>
      <c r="S150" s="3317"/>
      <c r="T150" s="3317"/>
      <c r="U150" s="3317"/>
      <c r="V150" s="3317"/>
      <c r="W150" s="3317"/>
      <c r="X150" s="3317"/>
      <c r="Y150" s="3317"/>
      <c r="Z150" s="3317"/>
      <c r="AA150" s="3317"/>
      <c r="AB150" s="3317"/>
      <c r="AC150" s="3307">
        <f t="shared" si="67"/>
        <v>0</v>
      </c>
      <c r="AD150" s="3327"/>
      <c r="AE150" s="3327"/>
      <c r="AF150" s="3327"/>
      <c r="AG150" s="3327"/>
      <c r="AH150" s="3327"/>
      <c r="AI150" s="3327"/>
      <c r="AJ150" s="3327"/>
      <c r="AK150" s="3327"/>
      <c r="AL150" s="3327"/>
      <c r="AM150" s="3327"/>
      <c r="AN150" s="3327"/>
      <c r="AO150" s="3327"/>
      <c r="AP150" s="3327"/>
      <c r="AQ150" s="3327"/>
      <c r="AR150" s="3327"/>
      <c r="AS150" s="3327"/>
      <c r="AT150" s="3337"/>
      <c r="AU150" s="3338"/>
      <c r="AV150" s="1410">
        <f t="shared" si="91"/>
        <v>0</v>
      </c>
      <c r="AW150" s="1410">
        <f t="shared" si="92"/>
        <v>0</v>
      </c>
      <c r="AX150" s="1410">
        <f t="shared" si="93"/>
        <v>0</v>
      </c>
      <c r="AY150" s="3352">
        <f t="shared" si="68"/>
        <v>0</v>
      </c>
      <c r="AZ150" s="3307">
        <f t="shared" si="69"/>
        <v>0</v>
      </c>
      <c r="BA150" s="3307">
        <f t="shared" si="70"/>
        <v>0</v>
      </c>
      <c r="BB150" s="3307">
        <f t="shared" si="71"/>
        <v>0</v>
      </c>
      <c r="BC150" s="3307">
        <f t="shared" si="72"/>
        <v>0</v>
      </c>
      <c r="BD150" s="3307">
        <f t="shared" si="73"/>
        <v>0</v>
      </c>
      <c r="BE150" s="3307">
        <f t="shared" si="74"/>
        <v>0</v>
      </c>
      <c r="BF150" s="3307">
        <f t="shared" si="75"/>
        <v>0</v>
      </c>
      <c r="BG150" s="3307">
        <f t="shared" si="76"/>
        <v>0</v>
      </c>
      <c r="BH150" s="3307">
        <f t="shared" si="77"/>
        <v>0</v>
      </c>
      <c r="BI150" s="3307">
        <f t="shared" si="78"/>
        <v>0</v>
      </c>
      <c r="BJ150" s="3307">
        <f t="shared" si="79"/>
        <v>0</v>
      </c>
      <c r="BK150" s="3307">
        <f t="shared" si="80"/>
        <v>0</v>
      </c>
      <c r="BL150" s="3307">
        <f t="shared" si="81"/>
        <v>0</v>
      </c>
      <c r="BM150" s="3307">
        <f t="shared" si="82"/>
        <v>0</v>
      </c>
      <c r="BN150" s="3307">
        <f t="shared" si="83"/>
        <v>0</v>
      </c>
      <c r="BO150" s="3307">
        <f t="shared" si="84"/>
        <v>0</v>
      </c>
      <c r="BP150" s="3307">
        <f t="shared" si="85"/>
        <v>0</v>
      </c>
      <c r="BQ150" s="3307">
        <f t="shared" si="86"/>
        <v>0</v>
      </c>
      <c r="BR150" s="3307">
        <f t="shared" si="87"/>
        <v>0</v>
      </c>
      <c r="BS150" s="3307">
        <f t="shared" si="88"/>
        <v>0</v>
      </c>
      <c r="BT150" s="3359">
        <f t="shared" si="89"/>
        <v>0</v>
      </c>
    </row>
    <row r="151" spans="1:72">
      <c r="A151" s="3304"/>
      <c r="B151" s="3305"/>
      <c r="C151" s="3305"/>
      <c r="D151" s="3306"/>
      <c r="E151" s="3307">
        <f t="shared" si="90"/>
        <v>0</v>
      </c>
      <c r="F151" s="3308"/>
      <c r="G151" s="3309">
        <f t="shared" si="65"/>
        <v>0</v>
      </c>
      <c r="H151" s="3310">
        <f t="shared" si="66"/>
        <v>0</v>
      </c>
      <c r="I151" s="3317"/>
      <c r="J151" s="3317"/>
      <c r="K151" s="3317"/>
      <c r="L151" s="3317"/>
      <c r="M151" s="3317"/>
      <c r="N151" s="3317"/>
      <c r="O151" s="3317"/>
      <c r="P151" s="3317"/>
      <c r="Q151" s="3317"/>
      <c r="R151" s="3317"/>
      <c r="S151" s="3317"/>
      <c r="T151" s="3317"/>
      <c r="U151" s="3317"/>
      <c r="V151" s="3317"/>
      <c r="W151" s="3317"/>
      <c r="X151" s="3317"/>
      <c r="Y151" s="3317"/>
      <c r="Z151" s="3317"/>
      <c r="AA151" s="3317"/>
      <c r="AB151" s="3317"/>
      <c r="AC151" s="3307">
        <f t="shared" si="67"/>
        <v>0</v>
      </c>
      <c r="AD151" s="3327"/>
      <c r="AE151" s="3327"/>
      <c r="AF151" s="3327"/>
      <c r="AG151" s="3327"/>
      <c r="AH151" s="3327"/>
      <c r="AI151" s="3327"/>
      <c r="AJ151" s="3327"/>
      <c r="AK151" s="3327"/>
      <c r="AL151" s="3327"/>
      <c r="AM151" s="3327"/>
      <c r="AN151" s="3327"/>
      <c r="AO151" s="3327"/>
      <c r="AP151" s="3327"/>
      <c r="AQ151" s="3327"/>
      <c r="AR151" s="3327"/>
      <c r="AS151" s="3327"/>
      <c r="AT151" s="3337"/>
      <c r="AU151" s="3338"/>
      <c r="AV151" s="1410">
        <f t="shared" si="91"/>
        <v>0</v>
      </c>
      <c r="AW151" s="1410">
        <f t="shared" si="92"/>
        <v>0</v>
      </c>
      <c r="AX151" s="1410">
        <f t="shared" si="93"/>
        <v>0</v>
      </c>
      <c r="AY151" s="3352">
        <f t="shared" si="68"/>
        <v>0</v>
      </c>
      <c r="AZ151" s="3307">
        <f t="shared" si="69"/>
        <v>0</v>
      </c>
      <c r="BA151" s="3307">
        <f t="shared" si="70"/>
        <v>0</v>
      </c>
      <c r="BB151" s="3307">
        <f t="shared" si="71"/>
        <v>0</v>
      </c>
      <c r="BC151" s="3307">
        <f t="shared" si="72"/>
        <v>0</v>
      </c>
      <c r="BD151" s="3307">
        <f t="shared" si="73"/>
        <v>0</v>
      </c>
      <c r="BE151" s="3307">
        <f t="shared" si="74"/>
        <v>0</v>
      </c>
      <c r="BF151" s="3307">
        <f t="shared" si="75"/>
        <v>0</v>
      </c>
      <c r="BG151" s="3307">
        <f t="shared" si="76"/>
        <v>0</v>
      </c>
      <c r="BH151" s="3307">
        <f t="shared" si="77"/>
        <v>0</v>
      </c>
      <c r="BI151" s="3307">
        <f t="shared" si="78"/>
        <v>0</v>
      </c>
      <c r="BJ151" s="3307">
        <f t="shared" si="79"/>
        <v>0</v>
      </c>
      <c r="BK151" s="3307">
        <f t="shared" si="80"/>
        <v>0</v>
      </c>
      <c r="BL151" s="3307">
        <f t="shared" si="81"/>
        <v>0</v>
      </c>
      <c r="BM151" s="3307">
        <f t="shared" si="82"/>
        <v>0</v>
      </c>
      <c r="BN151" s="3307">
        <f t="shared" si="83"/>
        <v>0</v>
      </c>
      <c r="BO151" s="3307">
        <f t="shared" si="84"/>
        <v>0</v>
      </c>
      <c r="BP151" s="3307">
        <f t="shared" si="85"/>
        <v>0</v>
      </c>
      <c r="BQ151" s="3307">
        <f t="shared" si="86"/>
        <v>0</v>
      </c>
      <c r="BR151" s="3307">
        <f t="shared" si="87"/>
        <v>0</v>
      </c>
      <c r="BS151" s="3307">
        <f t="shared" si="88"/>
        <v>0</v>
      </c>
      <c r="BT151" s="3359">
        <f t="shared" si="89"/>
        <v>0</v>
      </c>
    </row>
    <row r="152" spans="1:72">
      <c r="A152" s="3304"/>
      <c r="B152" s="3305"/>
      <c r="C152" s="3305"/>
      <c r="D152" s="3306"/>
      <c r="E152" s="3307">
        <f t="shared" si="90"/>
        <v>0</v>
      </c>
      <c r="F152" s="3308"/>
      <c r="G152" s="3309">
        <f t="shared" si="65"/>
        <v>0</v>
      </c>
      <c r="H152" s="3310">
        <f t="shared" si="66"/>
        <v>0</v>
      </c>
      <c r="I152" s="3317"/>
      <c r="J152" s="3317"/>
      <c r="K152" s="3317"/>
      <c r="L152" s="3317"/>
      <c r="M152" s="3317"/>
      <c r="N152" s="3317"/>
      <c r="O152" s="3317"/>
      <c r="P152" s="3317"/>
      <c r="Q152" s="3317"/>
      <c r="R152" s="3317"/>
      <c r="S152" s="3317"/>
      <c r="T152" s="3317"/>
      <c r="U152" s="3317"/>
      <c r="V152" s="3317"/>
      <c r="W152" s="3317"/>
      <c r="X152" s="3317"/>
      <c r="Y152" s="3317"/>
      <c r="Z152" s="3317"/>
      <c r="AA152" s="3317"/>
      <c r="AB152" s="3317"/>
      <c r="AC152" s="3307">
        <f t="shared" si="67"/>
        <v>0</v>
      </c>
      <c r="AD152" s="3327"/>
      <c r="AE152" s="3327"/>
      <c r="AF152" s="3327"/>
      <c r="AG152" s="3327"/>
      <c r="AH152" s="3327"/>
      <c r="AI152" s="3327"/>
      <c r="AJ152" s="3327"/>
      <c r="AK152" s="3327"/>
      <c r="AL152" s="3327"/>
      <c r="AM152" s="3327"/>
      <c r="AN152" s="3327"/>
      <c r="AO152" s="3327"/>
      <c r="AP152" s="3327"/>
      <c r="AQ152" s="3327"/>
      <c r="AR152" s="3327"/>
      <c r="AS152" s="3327"/>
      <c r="AT152" s="3337"/>
      <c r="AU152" s="3338"/>
      <c r="AV152" s="1410">
        <f t="shared" si="91"/>
        <v>0</v>
      </c>
      <c r="AW152" s="1410">
        <f t="shared" si="92"/>
        <v>0</v>
      </c>
      <c r="AX152" s="1410">
        <f t="shared" si="93"/>
        <v>0</v>
      </c>
      <c r="AY152" s="3352">
        <f t="shared" si="68"/>
        <v>0</v>
      </c>
      <c r="AZ152" s="3307">
        <f t="shared" si="69"/>
        <v>0</v>
      </c>
      <c r="BA152" s="3307">
        <f t="shared" si="70"/>
        <v>0</v>
      </c>
      <c r="BB152" s="3307">
        <f t="shared" si="71"/>
        <v>0</v>
      </c>
      <c r="BC152" s="3307">
        <f t="shared" si="72"/>
        <v>0</v>
      </c>
      <c r="BD152" s="3307">
        <f t="shared" si="73"/>
        <v>0</v>
      </c>
      <c r="BE152" s="3307">
        <f t="shared" si="74"/>
        <v>0</v>
      </c>
      <c r="BF152" s="3307">
        <f t="shared" si="75"/>
        <v>0</v>
      </c>
      <c r="BG152" s="3307">
        <f t="shared" si="76"/>
        <v>0</v>
      </c>
      <c r="BH152" s="3307">
        <f t="shared" si="77"/>
        <v>0</v>
      </c>
      <c r="BI152" s="3307">
        <f t="shared" si="78"/>
        <v>0</v>
      </c>
      <c r="BJ152" s="3307">
        <f t="shared" si="79"/>
        <v>0</v>
      </c>
      <c r="BK152" s="3307">
        <f t="shared" si="80"/>
        <v>0</v>
      </c>
      <c r="BL152" s="3307">
        <f t="shared" si="81"/>
        <v>0</v>
      </c>
      <c r="BM152" s="3307">
        <f t="shared" si="82"/>
        <v>0</v>
      </c>
      <c r="BN152" s="3307">
        <f t="shared" si="83"/>
        <v>0</v>
      </c>
      <c r="BO152" s="3307">
        <f t="shared" si="84"/>
        <v>0</v>
      </c>
      <c r="BP152" s="3307">
        <f t="shared" si="85"/>
        <v>0</v>
      </c>
      <c r="BQ152" s="3307">
        <f t="shared" si="86"/>
        <v>0</v>
      </c>
      <c r="BR152" s="3307">
        <f t="shared" si="87"/>
        <v>0</v>
      </c>
      <c r="BS152" s="3307">
        <f t="shared" si="88"/>
        <v>0</v>
      </c>
      <c r="BT152" s="3359">
        <f t="shared" si="89"/>
        <v>0</v>
      </c>
    </row>
    <row r="153" spans="1:72">
      <c r="A153" s="3304"/>
      <c r="B153" s="3305"/>
      <c r="C153" s="3305"/>
      <c r="D153" s="3306"/>
      <c r="E153" s="3307">
        <f t="shared" si="90"/>
        <v>0</v>
      </c>
      <c r="F153" s="3308"/>
      <c r="G153" s="3309">
        <f t="shared" si="65"/>
        <v>0</v>
      </c>
      <c r="H153" s="3310">
        <f t="shared" si="66"/>
        <v>0</v>
      </c>
      <c r="I153" s="3317"/>
      <c r="J153" s="3317"/>
      <c r="K153" s="3317"/>
      <c r="L153" s="3317"/>
      <c r="M153" s="3317"/>
      <c r="N153" s="3317"/>
      <c r="O153" s="3317"/>
      <c r="P153" s="3317"/>
      <c r="Q153" s="3317"/>
      <c r="R153" s="3317"/>
      <c r="S153" s="3317"/>
      <c r="T153" s="3317"/>
      <c r="U153" s="3317"/>
      <c r="V153" s="3317"/>
      <c r="W153" s="3317"/>
      <c r="X153" s="3317"/>
      <c r="Y153" s="3317"/>
      <c r="Z153" s="3317"/>
      <c r="AA153" s="3317"/>
      <c r="AB153" s="3317"/>
      <c r="AC153" s="3307">
        <f t="shared" si="67"/>
        <v>0</v>
      </c>
      <c r="AD153" s="3327"/>
      <c r="AE153" s="3327"/>
      <c r="AF153" s="3327"/>
      <c r="AG153" s="3327"/>
      <c r="AH153" s="3327"/>
      <c r="AI153" s="3327"/>
      <c r="AJ153" s="3327"/>
      <c r="AK153" s="3327"/>
      <c r="AL153" s="3327"/>
      <c r="AM153" s="3327"/>
      <c r="AN153" s="3327"/>
      <c r="AO153" s="3327"/>
      <c r="AP153" s="3327"/>
      <c r="AQ153" s="3327"/>
      <c r="AR153" s="3327"/>
      <c r="AS153" s="3327"/>
      <c r="AT153" s="3337"/>
      <c r="AU153" s="3338"/>
      <c r="AV153" s="1410">
        <f t="shared" si="91"/>
        <v>0</v>
      </c>
      <c r="AW153" s="1410">
        <f t="shared" si="92"/>
        <v>0</v>
      </c>
      <c r="AX153" s="1410">
        <f t="shared" si="93"/>
        <v>0</v>
      </c>
      <c r="AY153" s="3352">
        <f t="shared" si="68"/>
        <v>0</v>
      </c>
      <c r="AZ153" s="3307">
        <f t="shared" si="69"/>
        <v>0</v>
      </c>
      <c r="BA153" s="3307">
        <f t="shared" si="70"/>
        <v>0</v>
      </c>
      <c r="BB153" s="3307">
        <f t="shared" si="71"/>
        <v>0</v>
      </c>
      <c r="BC153" s="3307">
        <f t="shared" si="72"/>
        <v>0</v>
      </c>
      <c r="BD153" s="3307">
        <f t="shared" si="73"/>
        <v>0</v>
      </c>
      <c r="BE153" s="3307">
        <f t="shared" si="74"/>
        <v>0</v>
      </c>
      <c r="BF153" s="3307">
        <f t="shared" si="75"/>
        <v>0</v>
      </c>
      <c r="BG153" s="3307">
        <f t="shared" si="76"/>
        <v>0</v>
      </c>
      <c r="BH153" s="3307">
        <f t="shared" si="77"/>
        <v>0</v>
      </c>
      <c r="BI153" s="3307">
        <f t="shared" si="78"/>
        <v>0</v>
      </c>
      <c r="BJ153" s="3307">
        <f t="shared" si="79"/>
        <v>0</v>
      </c>
      <c r="BK153" s="3307">
        <f t="shared" si="80"/>
        <v>0</v>
      </c>
      <c r="BL153" s="3307">
        <f t="shared" si="81"/>
        <v>0</v>
      </c>
      <c r="BM153" s="3307">
        <f t="shared" si="82"/>
        <v>0</v>
      </c>
      <c r="BN153" s="3307">
        <f t="shared" si="83"/>
        <v>0</v>
      </c>
      <c r="BO153" s="3307">
        <f t="shared" si="84"/>
        <v>0</v>
      </c>
      <c r="BP153" s="3307">
        <f t="shared" si="85"/>
        <v>0</v>
      </c>
      <c r="BQ153" s="3307">
        <f t="shared" si="86"/>
        <v>0</v>
      </c>
      <c r="BR153" s="3307">
        <f t="shared" si="87"/>
        <v>0</v>
      </c>
      <c r="BS153" s="3307">
        <f t="shared" si="88"/>
        <v>0</v>
      </c>
      <c r="BT153" s="3359">
        <f t="shared" si="89"/>
        <v>0</v>
      </c>
    </row>
    <row r="154" spans="1:72">
      <c r="A154" s="3304"/>
      <c r="B154" s="3305"/>
      <c r="C154" s="3305"/>
      <c r="D154" s="3306"/>
      <c r="E154" s="3307">
        <f t="shared" si="90"/>
        <v>0</v>
      </c>
      <c r="F154" s="3308"/>
      <c r="G154" s="3309">
        <f t="shared" si="65"/>
        <v>0</v>
      </c>
      <c r="H154" s="3310">
        <f t="shared" si="66"/>
        <v>0</v>
      </c>
      <c r="I154" s="3317"/>
      <c r="J154" s="3317"/>
      <c r="K154" s="3317"/>
      <c r="L154" s="3317"/>
      <c r="M154" s="3317"/>
      <c r="N154" s="3317"/>
      <c r="O154" s="3317"/>
      <c r="P154" s="3317"/>
      <c r="Q154" s="3317"/>
      <c r="R154" s="3317"/>
      <c r="S154" s="3317"/>
      <c r="T154" s="3317"/>
      <c r="U154" s="3317"/>
      <c r="V154" s="3317"/>
      <c r="W154" s="3317"/>
      <c r="X154" s="3317"/>
      <c r="Y154" s="3317"/>
      <c r="Z154" s="3317"/>
      <c r="AA154" s="3317"/>
      <c r="AB154" s="3317"/>
      <c r="AC154" s="3307">
        <f t="shared" si="67"/>
        <v>0</v>
      </c>
      <c r="AD154" s="3327"/>
      <c r="AE154" s="3327"/>
      <c r="AF154" s="3327"/>
      <c r="AG154" s="3327"/>
      <c r="AH154" s="3327"/>
      <c r="AI154" s="3327"/>
      <c r="AJ154" s="3327"/>
      <c r="AK154" s="3327"/>
      <c r="AL154" s="3327"/>
      <c r="AM154" s="3327"/>
      <c r="AN154" s="3327"/>
      <c r="AO154" s="3327"/>
      <c r="AP154" s="3327"/>
      <c r="AQ154" s="3327"/>
      <c r="AR154" s="3327"/>
      <c r="AS154" s="3327"/>
      <c r="AT154" s="3337"/>
      <c r="AU154" s="3338"/>
      <c r="AV154" s="1410">
        <f t="shared" si="91"/>
        <v>0</v>
      </c>
      <c r="AW154" s="1410">
        <f t="shared" si="92"/>
        <v>0</v>
      </c>
      <c r="AX154" s="1410">
        <f t="shared" si="93"/>
        <v>0</v>
      </c>
      <c r="AY154" s="3352">
        <f t="shared" si="68"/>
        <v>0</v>
      </c>
      <c r="AZ154" s="3307">
        <f t="shared" si="69"/>
        <v>0</v>
      </c>
      <c r="BA154" s="3307">
        <f t="shared" si="70"/>
        <v>0</v>
      </c>
      <c r="BB154" s="3307">
        <f t="shared" si="71"/>
        <v>0</v>
      </c>
      <c r="BC154" s="3307">
        <f t="shared" si="72"/>
        <v>0</v>
      </c>
      <c r="BD154" s="3307">
        <f t="shared" si="73"/>
        <v>0</v>
      </c>
      <c r="BE154" s="3307">
        <f t="shared" si="74"/>
        <v>0</v>
      </c>
      <c r="BF154" s="3307">
        <f t="shared" si="75"/>
        <v>0</v>
      </c>
      <c r="BG154" s="3307">
        <f t="shared" si="76"/>
        <v>0</v>
      </c>
      <c r="BH154" s="3307">
        <f t="shared" si="77"/>
        <v>0</v>
      </c>
      <c r="BI154" s="3307">
        <f t="shared" si="78"/>
        <v>0</v>
      </c>
      <c r="BJ154" s="3307">
        <f t="shared" si="79"/>
        <v>0</v>
      </c>
      <c r="BK154" s="3307">
        <f t="shared" si="80"/>
        <v>0</v>
      </c>
      <c r="BL154" s="3307">
        <f t="shared" si="81"/>
        <v>0</v>
      </c>
      <c r="BM154" s="3307">
        <f t="shared" si="82"/>
        <v>0</v>
      </c>
      <c r="BN154" s="3307">
        <f t="shared" si="83"/>
        <v>0</v>
      </c>
      <c r="BO154" s="3307">
        <f t="shared" si="84"/>
        <v>0</v>
      </c>
      <c r="BP154" s="3307">
        <f t="shared" si="85"/>
        <v>0</v>
      </c>
      <c r="BQ154" s="3307">
        <f t="shared" si="86"/>
        <v>0</v>
      </c>
      <c r="BR154" s="3307">
        <f t="shared" si="87"/>
        <v>0</v>
      </c>
      <c r="BS154" s="3307">
        <f t="shared" si="88"/>
        <v>0</v>
      </c>
      <c r="BT154" s="3359">
        <f t="shared" si="89"/>
        <v>0</v>
      </c>
    </row>
    <row r="155" spans="1:72">
      <c r="A155" s="3304"/>
      <c r="B155" s="3305"/>
      <c r="C155" s="3305"/>
      <c r="D155" s="3306"/>
      <c r="E155" s="3307">
        <f t="shared" si="90"/>
        <v>0</v>
      </c>
      <c r="F155" s="3308"/>
      <c r="G155" s="3309">
        <f t="shared" si="65"/>
        <v>0</v>
      </c>
      <c r="H155" s="3310">
        <f t="shared" si="66"/>
        <v>0</v>
      </c>
      <c r="I155" s="3317"/>
      <c r="J155" s="3317"/>
      <c r="K155" s="3317"/>
      <c r="L155" s="3317"/>
      <c r="M155" s="3317"/>
      <c r="N155" s="3317"/>
      <c r="O155" s="3317"/>
      <c r="P155" s="3317"/>
      <c r="Q155" s="3317"/>
      <c r="R155" s="3317"/>
      <c r="S155" s="3317"/>
      <c r="T155" s="3317"/>
      <c r="U155" s="3317"/>
      <c r="V155" s="3317"/>
      <c r="W155" s="3317"/>
      <c r="X155" s="3317"/>
      <c r="Y155" s="3317"/>
      <c r="Z155" s="3317"/>
      <c r="AA155" s="3317"/>
      <c r="AB155" s="3317"/>
      <c r="AC155" s="3307">
        <f t="shared" si="67"/>
        <v>0</v>
      </c>
      <c r="AD155" s="3327"/>
      <c r="AE155" s="3327"/>
      <c r="AF155" s="3327"/>
      <c r="AG155" s="3327"/>
      <c r="AH155" s="3327"/>
      <c r="AI155" s="3327"/>
      <c r="AJ155" s="3327"/>
      <c r="AK155" s="3327"/>
      <c r="AL155" s="3327"/>
      <c r="AM155" s="3327"/>
      <c r="AN155" s="3327"/>
      <c r="AO155" s="3327"/>
      <c r="AP155" s="3327"/>
      <c r="AQ155" s="3327"/>
      <c r="AR155" s="3327"/>
      <c r="AS155" s="3327"/>
      <c r="AT155" s="3337"/>
      <c r="AU155" s="3338"/>
      <c r="AV155" s="1410">
        <f t="shared" si="91"/>
        <v>0</v>
      </c>
      <c r="AW155" s="1410">
        <f t="shared" si="92"/>
        <v>0</v>
      </c>
      <c r="AX155" s="1410">
        <f t="shared" si="93"/>
        <v>0</v>
      </c>
      <c r="AY155" s="3352">
        <f t="shared" si="68"/>
        <v>0</v>
      </c>
      <c r="AZ155" s="3307">
        <f t="shared" si="69"/>
        <v>0</v>
      </c>
      <c r="BA155" s="3307">
        <f t="shared" si="70"/>
        <v>0</v>
      </c>
      <c r="BB155" s="3307">
        <f t="shared" si="71"/>
        <v>0</v>
      </c>
      <c r="BC155" s="3307">
        <f t="shared" si="72"/>
        <v>0</v>
      </c>
      <c r="BD155" s="3307">
        <f t="shared" si="73"/>
        <v>0</v>
      </c>
      <c r="BE155" s="3307">
        <f t="shared" si="74"/>
        <v>0</v>
      </c>
      <c r="BF155" s="3307">
        <f t="shared" si="75"/>
        <v>0</v>
      </c>
      <c r="BG155" s="3307">
        <f t="shared" si="76"/>
        <v>0</v>
      </c>
      <c r="BH155" s="3307">
        <f t="shared" si="77"/>
        <v>0</v>
      </c>
      <c r="BI155" s="3307">
        <f t="shared" si="78"/>
        <v>0</v>
      </c>
      <c r="BJ155" s="3307">
        <f t="shared" si="79"/>
        <v>0</v>
      </c>
      <c r="BK155" s="3307">
        <f t="shared" si="80"/>
        <v>0</v>
      </c>
      <c r="BL155" s="3307">
        <f t="shared" si="81"/>
        <v>0</v>
      </c>
      <c r="BM155" s="3307">
        <f t="shared" si="82"/>
        <v>0</v>
      </c>
      <c r="BN155" s="3307">
        <f t="shared" si="83"/>
        <v>0</v>
      </c>
      <c r="BO155" s="3307">
        <f t="shared" si="84"/>
        <v>0</v>
      </c>
      <c r="BP155" s="3307">
        <f t="shared" si="85"/>
        <v>0</v>
      </c>
      <c r="BQ155" s="3307">
        <f t="shared" si="86"/>
        <v>0</v>
      </c>
      <c r="BR155" s="3307">
        <f t="shared" si="87"/>
        <v>0</v>
      </c>
      <c r="BS155" s="3307">
        <f t="shared" si="88"/>
        <v>0</v>
      </c>
      <c r="BT155" s="3359">
        <f t="shared" si="89"/>
        <v>0</v>
      </c>
    </row>
    <row r="156" spans="1:72">
      <c r="A156" s="3304"/>
      <c r="B156" s="3305"/>
      <c r="C156" s="3305"/>
      <c r="D156" s="3306"/>
      <c r="E156" s="3307">
        <f t="shared" si="90"/>
        <v>0</v>
      </c>
      <c r="F156" s="3308"/>
      <c r="G156" s="3309">
        <f t="shared" si="65"/>
        <v>0</v>
      </c>
      <c r="H156" s="3310">
        <f t="shared" si="66"/>
        <v>0</v>
      </c>
      <c r="I156" s="3317"/>
      <c r="J156" s="3317"/>
      <c r="K156" s="3317"/>
      <c r="L156" s="3317"/>
      <c r="M156" s="3317"/>
      <c r="N156" s="3317"/>
      <c r="O156" s="3317"/>
      <c r="P156" s="3317"/>
      <c r="Q156" s="3317"/>
      <c r="R156" s="3317"/>
      <c r="S156" s="3317"/>
      <c r="T156" s="3317"/>
      <c r="U156" s="3317"/>
      <c r="V156" s="3317"/>
      <c r="W156" s="3317"/>
      <c r="X156" s="3317"/>
      <c r="Y156" s="3317"/>
      <c r="Z156" s="3317"/>
      <c r="AA156" s="3317"/>
      <c r="AB156" s="3317"/>
      <c r="AC156" s="3307">
        <f t="shared" si="67"/>
        <v>0</v>
      </c>
      <c r="AD156" s="3327"/>
      <c r="AE156" s="3327"/>
      <c r="AF156" s="3327"/>
      <c r="AG156" s="3327"/>
      <c r="AH156" s="3327"/>
      <c r="AI156" s="3327"/>
      <c r="AJ156" s="3327"/>
      <c r="AK156" s="3327"/>
      <c r="AL156" s="3327"/>
      <c r="AM156" s="3327"/>
      <c r="AN156" s="3327"/>
      <c r="AO156" s="3327"/>
      <c r="AP156" s="3327"/>
      <c r="AQ156" s="3327"/>
      <c r="AR156" s="3327"/>
      <c r="AS156" s="3327"/>
      <c r="AT156" s="3337"/>
      <c r="AU156" s="3338"/>
      <c r="AV156" s="1410">
        <f t="shared" si="91"/>
        <v>0</v>
      </c>
      <c r="AW156" s="1410">
        <f t="shared" si="92"/>
        <v>0</v>
      </c>
      <c r="AX156" s="1410">
        <f t="shared" si="93"/>
        <v>0</v>
      </c>
      <c r="AY156" s="3352">
        <f t="shared" si="68"/>
        <v>0</v>
      </c>
      <c r="AZ156" s="3307">
        <f t="shared" si="69"/>
        <v>0</v>
      </c>
      <c r="BA156" s="3307">
        <f t="shared" si="70"/>
        <v>0</v>
      </c>
      <c r="BB156" s="3307">
        <f t="shared" si="71"/>
        <v>0</v>
      </c>
      <c r="BC156" s="3307">
        <f t="shared" si="72"/>
        <v>0</v>
      </c>
      <c r="BD156" s="3307">
        <f t="shared" si="73"/>
        <v>0</v>
      </c>
      <c r="BE156" s="3307">
        <f t="shared" si="74"/>
        <v>0</v>
      </c>
      <c r="BF156" s="3307">
        <f t="shared" si="75"/>
        <v>0</v>
      </c>
      <c r="BG156" s="3307">
        <f t="shared" si="76"/>
        <v>0</v>
      </c>
      <c r="BH156" s="3307">
        <f t="shared" si="77"/>
        <v>0</v>
      </c>
      <c r="BI156" s="3307">
        <f t="shared" si="78"/>
        <v>0</v>
      </c>
      <c r="BJ156" s="3307">
        <f t="shared" si="79"/>
        <v>0</v>
      </c>
      <c r="BK156" s="3307">
        <f t="shared" si="80"/>
        <v>0</v>
      </c>
      <c r="BL156" s="3307">
        <f t="shared" si="81"/>
        <v>0</v>
      </c>
      <c r="BM156" s="3307">
        <f t="shared" si="82"/>
        <v>0</v>
      </c>
      <c r="BN156" s="3307">
        <f t="shared" si="83"/>
        <v>0</v>
      </c>
      <c r="BO156" s="3307">
        <f t="shared" si="84"/>
        <v>0</v>
      </c>
      <c r="BP156" s="3307">
        <f t="shared" si="85"/>
        <v>0</v>
      </c>
      <c r="BQ156" s="3307">
        <f t="shared" si="86"/>
        <v>0</v>
      </c>
      <c r="BR156" s="3307">
        <f t="shared" si="87"/>
        <v>0</v>
      </c>
      <c r="BS156" s="3307">
        <f t="shared" si="88"/>
        <v>0</v>
      </c>
      <c r="BT156" s="3359">
        <f t="shared" si="89"/>
        <v>0</v>
      </c>
    </row>
    <row r="157" spans="1:72">
      <c r="A157" s="3304"/>
      <c r="B157" s="3305"/>
      <c r="C157" s="3305"/>
      <c r="D157" s="3306"/>
      <c r="E157" s="3307">
        <f t="shared" si="90"/>
        <v>0</v>
      </c>
      <c r="F157" s="3308"/>
      <c r="G157" s="3309">
        <f t="shared" si="65"/>
        <v>0</v>
      </c>
      <c r="H157" s="3310">
        <f t="shared" si="66"/>
        <v>0</v>
      </c>
      <c r="I157" s="3317"/>
      <c r="J157" s="3317"/>
      <c r="K157" s="3317"/>
      <c r="L157" s="3317"/>
      <c r="M157" s="3317"/>
      <c r="N157" s="3317"/>
      <c r="O157" s="3317"/>
      <c r="P157" s="3317"/>
      <c r="Q157" s="3317"/>
      <c r="R157" s="3317"/>
      <c r="S157" s="3317"/>
      <c r="T157" s="3317"/>
      <c r="U157" s="3317"/>
      <c r="V157" s="3317"/>
      <c r="W157" s="3317"/>
      <c r="X157" s="3317"/>
      <c r="Y157" s="3317"/>
      <c r="Z157" s="3317"/>
      <c r="AA157" s="3317"/>
      <c r="AB157" s="3317"/>
      <c r="AC157" s="3307">
        <f t="shared" si="67"/>
        <v>0</v>
      </c>
      <c r="AD157" s="3327"/>
      <c r="AE157" s="3327"/>
      <c r="AF157" s="3327"/>
      <c r="AG157" s="3327"/>
      <c r="AH157" s="3327"/>
      <c r="AI157" s="3327"/>
      <c r="AJ157" s="3327"/>
      <c r="AK157" s="3327"/>
      <c r="AL157" s="3327"/>
      <c r="AM157" s="3327"/>
      <c r="AN157" s="3327"/>
      <c r="AO157" s="3327"/>
      <c r="AP157" s="3327"/>
      <c r="AQ157" s="3327"/>
      <c r="AR157" s="3327"/>
      <c r="AS157" s="3327"/>
      <c r="AT157" s="3337"/>
      <c r="AU157" s="3338"/>
      <c r="AV157" s="1410">
        <f t="shared" si="91"/>
        <v>0</v>
      </c>
      <c r="AW157" s="1410">
        <f t="shared" si="92"/>
        <v>0</v>
      </c>
      <c r="AX157" s="1410">
        <f t="shared" si="93"/>
        <v>0</v>
      </c>
      <c r="AY157" s="3352">
        <f t="shared" si="68"/>
        <v>0</v>
      </c>
      <c r="AZ157" s="3307">
        <f t="shared" si="69"/>
        <v>0</v>
      </c>
      <c r="BA157" s="3307">
        <f t="shared" si="70"/>
        <v>0</v>
      </c>
      <c r="BB157" s="3307">
        <f t="shared" si="71"/>
        <v>0</v>
      </c>
      <c r="BC157" s="3307">
        <f t="shared" si="72"/>
        <v>0</v>
      </c>
      <c r="BD157" s="3307">
        <f t="shared" si="73"/>
        <v>0</v>
      </c>
      <c r="BE157" s="3307">
        <f t="shared" si="74"/>
        <v>0</v>
      </c>
      <c r="BF157" s="3307">
        <f t="shared" si="75"/>
        <v>0</v>
      </c>
      <c r="BG157" s="3307">
        <f t="shared" si="76"/>
        <v>0</v>
      </c>
      <c r="BH157" s="3307">
        <f t="shared" si="77"/>
        <v>0</v>
      </c>
      <c r="BI157" s="3307">
        <f t="shared" si="78"/>
        <v>0</v>
      </c>
      <c r="BJ157" s="3307">
        <f t="shared" si="79"/>
        <v>0</v>
      </c>
      <c r="BK157" s="3307">
        <f t="shared" si="80"/>
        <v>0</v>
      </c>
      <c r="BL157" s="3307">
        <f t="shared" si="81"/>
        <v>0</v>
      </c>
      <c r="BM157" s="3307">
        <f t="shared" si="82"/>
        <v>0</v>
      </c>
      <c r="BN157" s="3307">
        <f t="shared" si="83"/>
        <v>0</v>
      </c>
      <c r="BO157" s="3307">
        <f t="shared" si="84"/>
        <v>0</v>
      </c>
      <c r="BP157" s="3307">
        <f t="shared" si="85"/>
        <v>0</v>
      </c>
      <c r="BQ157" s="3307">
        <f t="shared" si="86"/>
        <v>0</v>
      </c>
      <c r="BR157" s="3307">
        <f t="shared" si="87"/>
        <v>0</v>
      </c>
      <c r="BS157" s="3307">
        <f t="shared" si="88"/>
        <v>0</v>
      </c>
      <c r="BT157" s="3359">
        <f t="shared" si="89"/>
        <v>0</v>
      </c>
    </row>
    <row r="158" spans="1:72">
      <c r="A158" s="3304"/>
      <c r="B158" s="3305"/>
      <c r="C158" s="3305"/>
      <c r="D158" s="3306"/>
      <c r="E158" s="3307">
        <f t="shared" si="90"/>
        <v>0</v>
      </c>
      <c r="F158" s="3308"/>
      <c r="G158" s="3309">
        <f t="shared" si="65"/>
        <v>0</v>
      </c>
      <c r="H158" s="3310">
        <f t="shared" si="66"/>
        <v>0</v>
      </c>
      <c r="I158" s="3317"/>
      <c r="J158" s="3317"/>
      <c r="K158" s="3317"/>
      <c r="L158" s="3317"/>
      <c r="M158" s="3317"/>
      <c r="N158" s="3317"/>
      <c r="O158" s="3317"/>
      <c r="P158" s="3317"/>
      <c r="Q158" s="3317"/>
      <c r="R158" s="3317"/>
      <c r="S158" s="3317"/>
      <c r="T158" s="3317"/>
      <c r="U158" s="3317"/>
      <c r="V158" s="3317"/>
      <c r="W158" s="3317"/>
      <c r="X158" s="3317"/>
      <c r="Y158" s="3317"/>
      <c r="Z158" s="3317"/>
      <c r="AA158" s="3317"/>
      <c r="AB158" s="3317"/>
      <c r="AC158" s="3307">
        <f t="shared" si="67"/>
        <v>0</v>
      </c>
      <c r="AD158" s="3327"/>
      <c r="AE158" s="3327"/>
      <c r="AF158" s="3327"/>
      <c r="AG158" s="3327"/>
      <c r="AH158" s="3327"/>
      <c r="AI158" s="3327"/>
      <c r="AJ158" s="3327"/>
      <c r="AK158" s="3327"/>
      <c r="AL158" s="3327"/>
      <c r="AM158" s="3327"/>
      <c r="AN158" s="3327"/>
      <c r="AO158" s="3327"/>
      <c r="AP158" s="3327"/>
      <c r="AQ158" s="3327"/>
      <c r="AR158" s="3327"/>
      <c r="AS158" s="3327"/>
      <c r="AT158" s="3337"/>
      <c r="AU158" s="3338"/>
      <c r="AV158" s="1410">
        <f t="shared" si="91"/>
        <v>0</v>
      </c>
      <c r="AW158" s="1410">
        <f t="shared" si="92"/>
        <v>0</v>
      </c>
      <c r="AX158" s="1410">
        <f t="shared" si="93"/>
        <v>0</v>
      </c>
      <c r="AY158" s="3352">
        <f t="shared" si="68"/>
        <v>0</v>
      </c>
      <c r="AZ158" s="3307">
        <f t="shared" si="69"/>
        <v>0</v>
      </c>
      <c r="BA158" s="3307">
        <f t="shared" si="70"/>
        <v>0</v>
      </c>
      <c r="BB158" s="3307">
        <f t="shared" si="71"/>
        <v>0</v>
      </c>
      <c r="BC158" s="3307">
        <f t="shared" si="72"/>
        <v>0</v>
      </c>
      <c r="BD158" s="3307">
        <f t="shared" si="73"/>
        <v>0</v>
      </c>
      <c r="BE158" s="3307">
        <f t="shared" si="74"/>
        <v>0</v>
      </c>
      <c r="BF158" s="3307">
        <f t="shared" si="75"/>
        <v>0</v>
      </c>
      <c r="BG158" s="3307">
        <f t="shared" si="76"/>
        <v>0</v>
      </c>
      <c r="BH158" s="3307">
        <f t="shared" si="77"/>
        <v>0</v>
      </c>
      <c r="BI158" s="3307">
        <f t="shared" si="78"/>
        <v>0</v>
      </c>
      <c r="BJ158" s="3307">
        <f t="shared" si="79"/>
        <v>0</v>
      </c>
      <c r="BK158" s="3307">
        <f t="shared" si="80"/>
        <v>0</v>
      </c>
      <c r="BL158" s="3307">
        <f t="shared" si="81"/>
        <v>0</v>
      </c>
      <c r="BM158" s="3307">
        <f t="shared" si="82"/>
        <v>0</v>
      </c>
      <c r="BN158" s="3307">
        <f t="shared" si="83"/>
        <v>0</v>
      </c>
      <c r="BO158" s="3307">
        <f t="shared" si="84"/>
        <v>0</v>
      </c>
      <c r="BP158" s="3307">
        <f t="shared" si="85"/>
        <v>0</v>
      </c>
      <c r="BQ158" s="3307">
        <f t="shared" si="86"/>
        <v>0</v>
      </c>
      <c r="BR158" s="3307">
        <f t="shared" si="87"/>
        <v>0</v>
      </c>
      <c r="BS158" s="3307">
        <f t="shared" si="88"/>
        <v>0</v>
      </c>
      <c r="BT158" s="3359">
        <f t="shared" si="89"/>
        <v>0</v>
      </c>
    </row>
    <row r="159" spans="1:72">
      <c r="A159" s="3304"/>
      <c r="B159" s="3305"/>
      <c r="C159" s="3305"/>
      <c r="D159" s="3306"/>
      <c r="E159" s="3307">
        <f t="shared" si="90"/>
        <v>0</v>
      </c>
      <c r="F159" s="3308"/>
      <c r="G159" s="3309">
        <f t="shared" si="65"/>
        <v>0</v>
      </c>
      <c r="H159" s="3310">
        <f t="shared" si="66"/>
        <v>0</v>
      </c>
      <c r="I159" s="3317"/>
      <c r="J159" s="3317"/>
      <c r="K159" s="3317"/>
      <c r="L159" s="3317"/>
      <c r="M159" s="3317"/>
      <c r="N159" s="3317"/>
      <c r="O159" s="3317"/>
      <c r="P159" s="3317"/>
      <c r="Q159" s="3317"/>
      <c r="R159" s="3317"/>
      <c r="S159" s="3317"/>
      <c r="T159" s="3317"/>
      <c r="U159" s="3317"/>
      <c r="V159" s="3317"/>
      <c r="W159" s="3317"/>
      <c r="X159" s="3317"/>
      <c r="Y159" s="3317"/>
      <c r="Z159" s="3317"/>
      <c r="AA159" s="3317"/>
      <c r="AB159" s="3317"/>
      <c r="AC159" s="3307">
        <f t="shared" si="67"/>
        <v>0</v>
      </c>
      <c r="AD159" s="3327"/>
      <c r="AE159" s="3327"/>
      <c r="AF159" s="3327"/>
      <c r="AG159" s="3327"/>
      <c r="AH159" s="3327"/>
      <c r="AI159" s="3327"/>
      <c r="AJ159" s="3327"/>
      <c r="AK159" s="3327"/>
      <c r="AL159" s="3327"/>
      <c r="AM159" s="3327"/>
      <c r="AN159" s="3327"/>
      <c r="AO159" s="3327"/>
      <c r="AP159" s="3327"/>
      <c r="AQ159" s="3327"/>
      <c r="AR159" s="3327"/>
      <c r="AS159" s="3327"/>
      <c r="AT159" s="3337"/>
      <c r="AU159" s="3338"/>
      <c r="AV159" s="1410">
        <f t="shared" si="91"/>
        <v>0</v>
      </c>
      <c r="AW159" s="1410">
        <f t="shared" si="92"/>
        <v>0</v>
      </c>
      <c r="AX159" s="1410">
        <f t="shared" si="93"/>
        <v>0</v>
      </c>
      <c r="AY159" s="3352">
        <f t="shared" si="68"/>
        <v>0</v>
      </c>
      <c r="AZ159" s="3307">
        <f t="shared" si="69"/>
        <v>0</v>
      </c>
      <c r="BA159" s="3307">
        <f t="shared" si="70"/>
        <v>0</v>
      </c>
      <c r="BB159" s="3307">
        <f t="shared" si="71"/>
        <v>0</v>
      </c>
      <c r="BC159" s="3307">
        <f t="shared" si="72"/>
        <v>0</v>
      </c>
      <c r="BD159" s="3307">
        <f t="shared" si="73"/>
        <v>0</v>
      </c>
      <c r="BE159" s="3307">
        <f t="shared" si="74"/>
        <v>0</v>
      </c>
      <c r="BF159" s="3307">
        <f t="shared" si="75"/>
        <v>0</v>
      </c>
      <c r="BG159" s="3307">
        <f t="shared" si="76"/>
        <v>0</v>
      </c>
      <c r="BH159" s="3307">
        <f t="shared" si="77"/>
        <v>0</v>
      </c>
      <c r="BI159" s="3307">
        <f t="shared" si="78"/>
        <v>0</v>
      </c>
      <c r="BJ159" s="3307">
        <f t="shared" si="79"/>
        <v>0</v>
      </c>
      <c r="BK159" s="3307">
        <f t="shared" si="80"/>
        <v>0</v>
      </c>
      <c r="BL159" s="3307">
        <f t="shared" si="81"/>
        <v>0</v>
      </c>
      <c r="BM159" s="3307">
        <f t="shared" si="82"/>
        <v>0</v>
      </c>
      <c r="BN159" s="3307">
        <f t="shared" si="83"/>
        <v>0</v>
      </c>
      <c r="BO159" s="3307">
        <f t="shared" si="84"/>
        <v>0</v>
      </c>
      <c r="BP159" s="3307">
        <f t="shared" si="85"/>
        <v>0</v>
      </c>
      <c r="BQ159" s="3307">
        <f t="shared" si="86"/>
        <v>0</v>
      </c>
      <c r="BR159" s="3307">
        <f t="shared" si="87"/>
        <v>0</v>
      </c>
      <c r="BS159" s="3307">
        <f t="shared" si="88"/>
        <v>0</v>
      </c>
      <c r="BT159" s="3359">
        <f t="shared" si="89"/>
        <v>0</v>
      </c>
    </row>
    <row r="160" spans="1:72">
      <c r="A160" s="3304"/>
      <c r="B160" s="3305"/>
      <c r="C160" s="3305"/>
      <c r="D160" s="3306"/>
      <c r="E160" s="3307">
        <f t="shared" si="90"/>
        <v>0</v>
      </c>
      <c r="F160" s="3308"/>
      <c r="G160" s="3309">
        <f t="shared" si="65"/>
        <v>0</v>
      </c>
      <c r="H160" s="3310">
        <f t="shared" si="66"/>
        <v>0</v>
      </c>
      <c r="I160" s="3317"/>
      <c r="J160" s="3317"/>
      <c r="K160" s="3317"/>
      <c r="L160" s="3317"/>
      <c r="M160" s="3317"/>
      <c r="N160" s="3317"/>
      <c r="O160" s="3317"/>
      <c r="P160" s="3317"/>
      <c r="Q160" s="3317"/>
      <c r="R160" s="3317"/>
      <c r="S160" s="3317"/>
      <c r="T160" s="3317"/>
      <c r="U160" s="3317"/>
      <c r="V160" s="3317"/>
      <c r="W160" s="3317"/>
      <c r="X160" s="3317"/>
      <c r="Y160" s="3317"/>
      <c r="Z160" s="3317"/>
      <c r="AA160" s="3317"/>
      <c r="AB160" s="3317"/>
      <c r="AC160" s="3307">
        <f t="shared" si="67"/>
        <v>0</v>
      </c>
      <c r="AD160" s="3327"/>
      <c r="AE160" s="3327"/>
      <c r="AF160" s="3327"/>
      <c r="AG160" s="3327"/>
      <c r="AH160" s="3327"/>
      <c r="AI160" s="3327"/>
      <c r="AJ160" s="3327"/>
      <c r="AK160" s="3327"/>
      <c r="AL160" s="3327"/>
      <c r="AM160" s="3327"/>
      <c r="AN160" s="3327"/>
      <c r="AO160" s="3327"/>
      <c r="AP160" s="3327"/>
      <c r="AQ160" s="3327"/>
      <c r="AR160" s="3327"/>
      <c r="AS160" s="3327"/>
      <c r="AT160" s="3337"/>
      <c r="AU160" s="3338"/>
      <c r="AV160" s="1410">
        <f t="shared" si="91"/>
        <v>0</v>
      </c>
      <c r="AW160" s="1410">
        <f t="shared" si="92"/>
        <v>0</v>
      </c>
      <c r="AX160" s="1410">
        <f t="shared" si="93"/>
        <v>0</v>
      </c>
      <c r="AY160" s="3352">
        <f t="shared" si="68"/>
        <v>0</v>
      </c>
      <c r="AZ160" s="3307">
        <f t="shared" si="69"/>
        <v>0</v>
      </c>
      <c r="BA160" s="3307">
        <f t="shared" si="70"/>
        <v>0</v>
      </c>
      <c r="BB160" s="3307">
        <f t="shared" si="71"/>
        <v>0</v>
      </c>
      <c r="BC160" s="3307">
        <f t="shared" si="72"/>
        <v>0</v>
      </c>
      <c r="BD160" s="3307">
        <f t="shared" si="73"/>
        <v>0</v>
      </c>
      <c r="BE160" s="3307">
        <f t="shared" si="74"/>
        <v>0</v>
      </c>
      <c r="BF160" s="3307">
        <f t="shared" si="75"/>
        <v>0</v>
      </c>
      <c r="BG160" s="3307">
        <f t="shared" si="76"/>
        <v>0</v>
      </c>
      <c r="BH160" s="3307">
        <f t="shared" si="77"/>
        <v>0</v>
      </c>
      <c r="BI160" s="3307">
        <f t="shared" si="78"/>
        <v>0</v>
      </c>
      <c r="BJ160" s="3307">
        <f t="shared" si="79"/>
        <v>0</v>
      </c>
      <c r="BK160" s="3307">
        <f t="shared" si="80"/>
        <v>0</v>
      </c>
      <c r="BL160" s="3307">
        <f t="shared" si="81"/>
        <v>0</v>
      </c>
      <c r="BM160" s="3307">
        <f t="shared" si="82"/>
        <v>0</v>
      </c>
      <c r="BN160" s="3307">
        <f t="shared" si="83"/>
        <v>0</v>
      </c>
      <c r="BO160" s="3307">
        <f t="shared" si="84"/>
        <v>0</v>
      </c>
      <c r="BP160" s="3307">
        <f t="shared" si="85"/>
        <v>0</v>
      </c>
      <c r="BQ160" s="3307">
        <f t="shared" si="86"/>
        <v>0</v>
      </c>
      <c r="BR160" s="3307">
        <f t="shared" si="87"/>
        <v>0</v>
      </c>
      <c r="BS160" s="3307">
        <f t="shared" si="88"/>
        <v>0</v>
      </c>
      <c r="BT160" s="3359">
        <f t="shared" si="89"/>
        <v>0</v>
      </c>
    </row>
    <row r="161" spans="1:72">
      <c r="A161" s="3304"/>
      <c r="B161" s="3305"/>
      <c r="C161" s="3305"/>
      <c r="D161" s="3306"/>
      <c r="E161" s="3307">
        <f t="shared" si="90"/>
        <v>0</v>
      </c>
      <c r="F161" s="3308"/>
      <c r="G161" s="3309">
        <f t="shared" si="65"/>
        <v>0</v>
      </c>
      <c r="H161" s="3310">
        <f t="shared" si="66"/>
        <v>0</v>
      </c>
      <c r="I161" s="3317"/>
      <c r="J161" s="3317"/>
      <c r="K161" s="3317"/>
      <c r="L161" s="3317"/>
      <c r="M161" s="3317"/>
      <c r="N161" s="3317"/>
      <c r="O161" s="3317"/>
      <c r="P161" s="3317"/>
      <c r="Q161" s="3317"/>
      <c r="R161" s="3317"/>
      <c r="S161" s="3317"/>
      <c r="T161" s="3317"/>
      <c r="U161" s="3317"/>
      <c r="V161" s="3317"/>
      <c r="W161" s="3317"/>
      <c r="X161" s="3317"/>
      <c r="Y161" s="3317"/>
      <c r="Z161" s="3317"/>
      <c r="AA161" s="3317"/>
      <c r="AB161" s="3317"/>
      <c r="AC161" s="3307">
        <f t="shared" si="67"/>
        <v>0</v>
      </c>
      <c r="AD161" s="3327"/>
      <c r="AE161" s="3327"/>
      <c r="AF161" s="3327"/>
      <c r="AG161" s="3327"/>
      <c r="AH161" s="3327"/>
      <c r="AI161" s="3327"/>
      <c r="AJ161" s="3327"/>
      <c r="AK161" s="3327"/>
      <c r="AL161" s="3327"/>
      <c r="AM161" s="3327"/>
      <c r="AN161" s="3327"/>
      <c r="AO161" s="3327"/>
      <c r="AP161" s="3327"/>
      <c r="AQ161" s="3327"/>
      <c r="AR161" s="3327"/>
      <c r="AS161" s="3327"/>
      <c r="AT161" s="3337"/>
      <c r="AU161" s="3338"/>
      <c r="AV161" s="1410">
        <f t="shared" si="91"/>
        <v>0</v>
      </c>
      <c r="AW161" s="1410">
        <f t="shared" si="92"/>
        <v>0</v>
      </c>
      <c r="AX161" s="1410">
        <f t="shared" si="93"/>
        <v>0</v>
      </c>
      <c r="AY161" s="3352">
        <f t="shared" si="68"/>
        <v>0</v>
      </c>
      <c r="AZ161" s="3307">
        <f t="shared" si="69"/>
        <v>0</v>
      </c>
      <c r="BA161" s="3307">
        <f t="shared" si="70"/>
        <v>0</v>
      </c>
      <c r="BB161" s="3307">
        <f t="shared" si="71"/>
        <v>0</v>
      </c>
      <c r="BC161" s="3307">
        <f t="shared" si="72"/>
        <v>0</v>
      </c>
      <c r="BD161" s="3307">
        <f t="shared" si="73"/>
        <v>0</v>
      </c>
      <c r="BE161" s="3307">
        <f t="shared" si="74"/>
        <v>0</v>
      </c>
      <c r="BF161" s="3307">
        <f t="shared" si="75"/>
        <v>0</v>
      </c>
      <c r="BG161" s="3307">
        <f t="shared" si="76"/>
        <v>0</v>
      </c>
      <c r="BH161" s="3307">
        <f t="shared" si="77"/>
        <v>0</v>
      </c>
      <c r="BI161" s="3307">
        <f t="shared" si="78"/>
        <v>0</v>
      </c>
      <c r="BJ161" s="3307">
        <f t="shared" si="79"/>
        <v>0</v>
      </c>
      <c r="BK161" s="3307">
        <f t="shared" si="80"/>
        <v>0</v>
      </c>
      <c r="BL161" s="3307">
        <f t="shared" si="81"/>
        <v>0</v>
      </c>
      <c r="BM161" s="3307">
        <f t="shared" si="82"/>
        <v>0</v>
      </c>
      <c r="BN161" s="3307">
        <f t="shared" si="83"/>
        <v>0</v>
      </c>
      <c r="BO161" s="3307">
        <f t="shared" si="84"/>
        <v>0</v>
      </c>
      <c r="BP161" s="3307">
        <f t="shared" si="85"/>
        <v>0</v>
      </c>
      <c r="BQ161" s="3307">
        <f t="shared" si="86"/>
        <v>0</v>
      </c>
      <c r="BR161" s="3307">
        <f t="shared" si="87"/>
        <v>0</v>
      </c>
      <c r="BS161" s="3307">
        <f t="shared" si="88"/>
        <v>0</v>
      </c>
      <c r="BT161" s="3359">
        <f t="shared" si="89"/>
        <v>0</v>
      </c>
    </row>
    <row r="162" spans="1:72">
      <c r="A162" s="3304"/>
      <c r="B162" s="3305"/>
      <c r="C162" s="3305"/>
      <c r="D162" s="3306"/>
      <c r="E162" s="3307">
        <f t="shared" si="90"/>
        <v>0</v>
      </c>
      <c r="F162" s="3308"/>
      <c r="G162" s="3309">
        <f t="shared" si="65"/>
        <v>0</v>
      </c>
      <c r="H162" s="3310">
        <f t="shared" si="66"/>
        <v>0</v>
      </c>
      <c r="I162" s="3317"/>
      <c r="J162" s="3317"/>
      <c r="K162" s="3317"/>
      <c r="L162" s="3317"/>
      <c r="M162" s="3317"/>
      <c r="N162" s="3317"/>
      <c r="O162" s="3317"/>
      <c r="P162" s="3317"/>
      <c r="Q162" s="3317"/>
      <c r="R162" s="3317"/>
      <c r="S162" s="3317"/>
      <c r="T162" s="3317"/>
      <c r="U162" s="3317"/>
      <c r="V162" s="3317"/>
      <c r="W162" s="3317"/>
      <c r="X162" s="3317"/>
      <c r="Y162" s="3317"/>
      <c r="Z162" s="3317"/>
      <c r="AA162" s="3317"/>
      <c r="AB162" s="3317"/>
      <c r="AC162" s="3307">
        <f t="shared" si="67"/>
        <v>0</v>
      </c>
      <c r="AD162" s="3327"/>
      <c r="AE162" s="3327"/>
      <c r="AF162" s="3327"/>
      <c r="AG162" s="3327"/>
      <c r="AH162" s="3327"/>
      <c r="AI162" s="3327"/>
      <c r="AJ162" s="3327"/>
      <c r="AK162" s="3327"/>
      <c r="AL162" s="3327"/>
      <c r="AM162" s="3327"/>
      <c r="AN162" s="3327"/>
      <c r="AO162" s="3327"/>
      <c r="AP162" s="3327"/>
      <c r="AQ162" s="3327"/>
      <c r="AR162" s="3327"/>
      <c r="AS162" s="3327"/>
      <c r="AT162" s="3337"/>
      <c r="AU162" s="3338"/>
      <c r="AV162" s="1410">
        <f t="shared" si="91"/>
        <v>0</v>
      </c>
      <c r="AW162" s="1410">
        <f t="shared" si="92"/>
        <v>0</v>
      </c>
      <c r="AX162" s="1410">
        <f t="shared" si="93"/>
        <v>0</v>
      </c>
      <c r="AY162" s="3352">
        <f t="shared" si="68"/>
        <v>0</v>
      </c>
      <c r="AZ162" s="3307">
        <f t="shared" si="69"/>
        <v>0</v>
      </c>
      <c r="BA162" s="3307">
        <f t="shared" si="70"/>
        <v>0</v>
      </c>
      <c r="BB162" s="3307">
        <f t="shared" si="71"/>
        <v>0</v>
      </c>
      <c r="BC162" s="3307">
        <f t="shared" si="72"/>
        <v>0</v>
      </c>
      <c r="BD162" s="3307">
        <f t="shared" si="73"/>
        <v>0</v>
      </c>
      <c r="BE162" s="3307">
        <f t="shared" si="74"/>
        <v>0</v>
      </c>
      <c r="BF162" s="3307">
        <f t="shared" si="75"/>
        <v>0</v>
      </c>
      <c r="BG162" s="3307">
        <f t="shared" si="76"/>
        <v>0</v>
      </c>
      <c r="BH162" s="3307">
        <f t="shared" si="77"/>
        <v>0</v>
      </c>
      <c r="BI162" s="3307">
        <f t="shared" si="78"/>
        <v>0</v>
      </c>
      <c r="BJ162" s="3307">
        <f t="shared" si="79"/>
        <v>0</v>
      </c>
      <c r="BK162" s="3307">
        <f t="shared" si="80"/>
        <v>0</v>
      </c>
      <c r="BL162" s="3307">
        <f t="shared" si="81"/>
        <v>0</v>
      </c>
      <c r="BM162" s="3307">
        <f t="shared" si="82"/>
        <v>0</v>
      </c>
      <c r="BN162" s="3307">
        <f t="shared" si="83"/>
        <v>0</v>
      </c>
      <c r="BO162" s="3307">
        <f t="shared" si="84"/>
        <v>0</v>
      </c>
      <c r="BP162" s="3307">
        <f t="shared" si="85"/>
        <v>0</v>
      </c>
      <c r="BQ162" s="3307">
        <f t="shared" si="86"/>
        <v>0</v>
      </c>
      <c r="BR162" s="3307">
        <f t="shared" si="87"/>
        <v>0</v>
      </c>
      <c r="BS162" s="3307">
        <f t="shared" si="88"/>
        <v>0</v>
      </c>
      <c r="BT162" s="3359">
        <f t="shared" si="89"/>
        <v>0</v>
      </c>
    </row>
    <row r="163" spans="1:72">
      <c r="A163" s="3304"/>
      <c r="B163" s="3305"/>
      <c r="C163" s="3305"/>
      <c r="D163" s="3306"/>
      <c r="E163" s="3307">
        <f t="shared" si="90"/>
        <v>0</v>
      </c>
      <c r="F163" s="3308"/>
      <c r="G163" s="3309">
        <f t="shared" si="65"/>
        <v>0</v>
      </c>
      <c r="H163" s="3310">
        <f t="shared" si="66"/>
        <v>0</v>
      </c>
      <c r="I163" s="3317"/>
      <c r="J163" s="3317"/>
      <c r="K163" s="3317"/>
      <c r="L163" s="3317"/>
      <c r="M163" s="3317"/>
      <c r="N163" s="3317"/>
      <c r="O163" s="3317"/>
      <c r="P163" s="3317"/>
      <c r="Q163" s="3317"/>
      <c r="R163" s="3317"/>
      <c r="S163" s="3317"/>
      <c r="T163" s="3317"/>
      <c r="U163" s="3317"/>
      <c r="V163" s="3317"/>
      <c r="W163" s="3317"/>
      <c r="X163" s="3317"/>
      <c r="Y163" s="3317"/>
      <c r="Z163" s="3317"/>
      <c r="AA163" s="3317"/>
      <c r="AB163" s="3317"/>
      <c r="AC163" s="3307">
        <f t="shared" si="67"/>
        <v>0</v>
      </c>
      <c r="AD163" s="3327"/>
      <c r="AE163" s="3327"/>
      <c r="AF163" s="3327"/>
      <c r="AG163" s="3327"/>
      <c r="AH163" s="3327"/>
      <c r="AI163" s="3327"/>
      <c r="AJ163" s="3327"/>
      <c r="AK163" s="3327"/>
      <c r="AL163" s="3327"/>
      <c r="AM163" s="3327"/>
      <c r="AN163" s="3327"/>
      <c r="AO163" s="3327"/>
      <c r="AP163" s="3327"/>
      <c r="AQ163" s="3327"/>
      <c r="AR163" s="3327"/>
      <c r="AS163" s="3327"/>
      <c r="AT163" s="3337"/>
      <c r="AU163" s="3338"/>
      <c r="AV163" s="1410">
        <f t="shared" si="91"/>
        <v>0</v>
      </c>
      <c r="AW163" s="1410">
        <f t="shared" si="92"/>
        <v>0</v>
      </c>
      <c r="AX163" s="1410">
        <f t="shared" si="93"/>
        <v>0</v>
      </c>
      <c r="AY163" s="3352">
        <f t="shared" si="68"/>
        <v>0</v>
      </c>
      <c r="AZ163" s="3307">
        <f t="shared" si="69"/>
        <v>0</v>
      </c>
      <c r="BA163" s="3307">
        <f t="shared" si="70"/>
        <v>0</v>
      </c>
      <c r="BB163" s="3307">
        <f t="shared" si="71"/>
        <v>0</v>
      </c>
      <c r="BC163" s="3307">
        <f t="shared" si="72"/>
        <v>0</v>
      </c>
      <c r="BD163" s="3307">
        <f t="shared" si="73"/>
        <v>0</v>
      </c>
      <c r="BE163" s="3307">
        <f t="shared" si="74"/>
        <v>0</v>
      </c>
      <c r="BF163" s="3307">
        <f t="shared" si="75"/>
        <v>0</v>
      </c>
      <c r="BG163" s="3307">
        <f t="shared" si="76"/>
        <v>0</v>
      </c>
      <c r="BH163" s="3307">
        <f t="shared" si="77"/>
        <v>0</v>
      </c>
      <c r="BI163" s="3307">
        <f t="shared" si="78"/>
        <v>0</v>
      </c>
      <c r="BJ163" s="3307">
        <f t="shared" si="79"/>
        <v>0</v>
      </c>
      <c r="BK163" s="3307">
        <f t="shared" si="80"/>
        <v>0</v>
      </c>
      <c r="BL163" s="3307">
        <f t="shared" si="81"/>
        <v>0</v>
      </c>
      <c r="BM163" s="3307">
        <f t="shared" si="82"/>
        <v>0</v>
      </c>
      <c r="BN163" s="3307">
        <f t="shared" si="83"/>
        <v>0</v>
      </c>
      <c r="BO163" s="3307">
        <f t="shared" si="84"/>
        <v>0</v>
      </c>
      <c r="BP163" s="3307">
        <f t="shared" si="85"/>
        <v>0</v>
      </c>
      <c r="BQ163" s="3307">
        <f t="shared" si="86"/>
        <v>0</v>
      </c>
      <c r="BR163" s="3307">
        <f t="shared" si="87"/>
        <v>0</v>
      </c>
      <c r="BS163" s="3307">
        <f t="shared" si="88"/>
        <v>0</v>
      </c>
      <c r="BT163" s="3359">
        <f t="shared" si="89"/>
        <v>0</v>
      </c>
    </row>
    <row r="164" spans="1:72">
      <c r="A164" s="3304"/>
      <c r="B164" s="3305"/>
      <c r="C164" s="3305"/>
      <c r="D164" s="3306"/>
      <c r="E164" s="3307">
        <f t="shared" si="90"/>
        <v>0</v>
      </c>
      <c r="F164" s="3308"/>
      <c r="G164" s="3309">
        <f t="shared" si="65"/>
        <v>0</v>
      </c>
      <c r="H164" s="3310">
        <f t="shared" si="66"/>
        <v>0</v>
      </c>
      <c r="I164" s="3317"/>
      <c r="J164" s="3317"/>
      <c r="K164" s="3317"/>
      <c r="L164" s="3317"/>
      <c r="M164" s="3317"/>
      <c r="N164" s="3317"/>
      <c r="O164" s="3317"/>
      <c r="P164" s="3317"/>
      <c r="Q164" s="3317"/>
      <c r="R164" s="3317"/>
      <c r="S164" s="3317"/>
      <c r="T164" s="3317"/>
      <c r="U164" s="3317"/>
      <c r="V164" s="3317"/>
      <c r="W164" s="3317"/>
      <c r="X164" s="3317"/>
      <c r="Y164" s="3317"/>
      <c r="Z164" s="3317"/>
      <c r="AA164" s="3317"/>
      <c r="AB164" s="3317"/>
      <c r="AC164" s="3307">
        <f t="shared" si="67"/>
        <v>0</v>
      </c>
      <c r="AD164" s="3327"/>
      <c r="AE164" s="3327"/>
      <c r="AF164" s="3327"/>
      <c r="AG164" s="3327"/>
      <c r="AH164" s="3327"/>
      <c r="AI164" s="3327"/>
      <c r="AJ164" s="3327"/>
      <c r="AK164" s="3327"/>
      <c r="AL164" s="3327"/>
      <c r="AM164" s="3327"/>
      <c r="AN164" s="3327"/>
      <c r="AO164" s="3327"/>
      <c r="AP164" s="3327"/>
      <c r="AQ164" s="3327"/>
      <c r="AR164" s="3327"/>
      <c r="AS164" s="3327"/>
      <c r="AT164" s="3337"/>
      <c r="AU164" s="3338"/>
      <c r="AV164" s="1410">
        <f t="shared" si="91"/>
        <v>0</v>
      </c>
      <c r="AW164" s="1410">
        <f t="shared" si="92"/>
        <v>0</v>
      </c>
      <c r="AX164" s="1410">
        <f t="shared" si="93"/>
        <v>0</v>
      </c>
      <c r="AY164" s="3352">
        <f t="shared" si="68"/>
        <v>0</v>
      </c>
      <c r="AZ164" s="3307">
        <f t="shared" si="69"/>
        <v>0</v>
      </c>
      <c r="BA164" s="3307">
        <f t="shared" si="70"/>
        <v>0</v>
      </c>
      <c r="BB164" s="3307">
        <f t="shared" si="71"/>
        <v>0</v>
      </c>
      <c r="BC164" s="3307">
        <f t="shared" si="72"/>
        <v>0</v>
      </c>
      <c r="BD164" s="3307">
        <f t="shared" si="73"/>
        <v>0</v>
      </c>
      <c r="BE164" s="3307">
        <f t="shared" si="74"/>
        <v>0</v>
      </c>
      <c r="BF164" s="3307">
        <f t="shared" si="75"/>
        <v>0</v>
      </c>
      <c r="BG164" s="3307">
        <f t="shared" si="76"/>
        <v>0</v>
      </c>
      <c r="BH164" s="3307">
        <f t="shared" si="77"/>
        <v>0</v>
      </c>
      <c r="BI164" s="3307">
        <f t="shared" si="78"/>
        <v>0</v>
      </c>
      <c r="BJ164" s="3307">
        <f t="shared" si="79"/>
        <v>0</v>
      </c>
      <c r="BK164" s="3307">
        <f t="shared" si="80"/>
        <v>0</v>
      </c>
      <c r="BL164" s="3307">
        <f t="shared" si="81"/>
        <v>0</v>
      </c>
      <c r="BM164" s="3307">
        <f t="shared" si="82"/>
        <v>0</v>
      </c>
      <c r="BN164" s="3307">
        <f t="shared" si="83"/>
        <v>0</v>
      </c>
      <c r="BO164" s="3307">
        <f t="shared" si="84"/>
        <v>0</v>
      </c>
      <c r="BP164" s="3307">
        <f t="shared" si="85"/>
        <v>0</v>
      </c>
      <c r="BQ164" s="3307">
        <f t="shared" si="86"/>
        <v>0</v>
      </c>
      <c r="BR164" s="3307">
        <f t="shared" si="87"/>
        <v>0</v>
      </c>
      <c r="BS164" s="3307">
        <f t="shared" si="88"/>
        <v>0</v>
      </c>
      <c r="BT164" s="3359">
        <f t="shared" si="89"/>
        <v>0</v>
      </c>
    </row>
    <row r="165" spans="1:72">
      <c r="A165" s="3304"/>
      <c r="B165" s="3305"/>
      <c r="C165" s="3305"/>
      <c r="D165" s="3306"/>
      <c r="E165" s="3307">
        <f t="shared" si="90"/>
        <v>0</v>
      </c>
      <c r="F165" s="3308"/>
      <c r="G165" s="3309">
        <f t="shared" si="65"/>
        <v>0</v>
      </c>
      <c r="H165" s="3310">
        <f t="shared" si="66"/>
        <v>0</v>
      </c>
      <c r="I165" s="3317"/>
      <c r="J165" s="3317"/>
      <c r="K165" s="3317"/>
      <c r="L165" s="3317"/>
      <c r="M165" s="3317"/>
      <c r="N165" s="3317"/>
      <c r="O165" s="3317"/>
      <c r="P165" s="3317"/>
      <c r="Q165" s="3317"/>
      <c r="R165" s="3317"/>
      <c r="S165" s="3317"/>
      <c r="T165" s="3317"/>
      <c r="U165" s="3317"/>
      <c r="V165" s="3317"/>
      <c r="W165" s="3317"/>
      <c r="X165" s="3317"/>
      <c r="Y165" s="3317"/>
      <c r="Z165" s="3317"/>
      <c r="AA165" s="3317"/>
      <c r="AB165" s="3317"/>
      <c r="AC165" s="3307">
        <f t="shared" si="67"/>
        <v>0</v>
      </c>
      <c r="AD165" s="3327"/>
      <c r="AE165" s="3327"/>
      <c r="AF165" s="3327"/>
      <c r="AG165" s="3327"/>
      <c r="AH165" s="3327"/>
      <c r="AI165" s="3327"/>
      <c r="AJ165" s="3327"/>
      <c r="AK165" s="3327"/>
      <c r="AL165" s="3327"/>
      <c r="AM165" s="3327"/>
      <c r="AN165" s="3327"/>
      <c r="AO165" s="3327"/>
      <c r="AP165" s="3327"/>
      <c r="AQ165" s="3327"/>
      <c r="AR165" s="3327"/>
      <c r="AS165" s="3327"/>
      <c r="AT165" s="3337"/>
      <c r="AU165" s="3338"/>
      <c r="AV165" s="1410">
        <f t="shared" si="91"/>
        <v>0</v>
      </c>
      <c r="AW165" s="1410">
        <f t="shared" si="92"/>
        <v>0</v>
      </c>
      <c r="AX165" s="1410">
        <f t="shared" si="93"/>
        <v>0</v>
      </c>
      <c r="AY165" s="3352">
        <f t="shared" si="68"/>
        <v>0</v>
      </c>
      <c r="AZ165" s="3307">
        <f t="shared" si="69"/>
        <v>0</v>
      </c>
      <c r="BA165" s="3307">
        <f t="shared" si="70"/>
        <v>0</v>
      </c>
      <c r="BB165" s="3307">
        <f t="shared" si="71"/>
        <v>0</v>
      </c>
      <c r="BC165" s="3307">
        <f t="shared" si="72"/>
        <v>0</v>
      </c>
      <c r="BD165" s="3307">
        <f t="shared" si="73"/>
        <v>0</v>
      </c>
      <c r="BE165" s="3307">
        <f t="shared" si="74"/>
        <v>0</v>
      </c>
      <c r="BF165" s="3307">
        <f t="shared" si="75"/>
        <v>0</v>
      </c>
      <c r="BG165" s="3307">
        <f t="shared" si="76"/>
        <v>0</v>
      </c>
      <c r="BH165" s="3307">
        <f t="shared" si="77"/>
        <v>0</v>
      </c>
      <c r="BI165" s="3307">
        <f t="shared" si="78"/>
        <v>0</v>
      </c>
      <c r="BJ165" s="3307">
        <f t="shared" si="79"/>
        <v>0</v>
      </c>
      <c r="BK165" s="3307">
        <f t="shared" si="80"/>
        <v>0</v>
      </c>
      <c r="BL165" s="3307">
        <f t="shared" si="81"/>
        <v>0</v>
      </c>
      <c r="BM165" s="3307">
        <f t="shared" si="82"/>
        <v>0</v>
      </c>
      <c r="BN165" s="3307">
        <f t="shared" si="83"/>
        <v>0</v>
      </c>
      <c r="BO165" s="3307">
        <f t="shared" si="84"/>
        <v>0</v>
      </c>
      <c r="BP165" s="3307">
        <f t="shared" si="85"/>
        <v>0</v>
      </c>
      <c r="BQ165" s="3307">
        <f t="shared" si="86"/>
        <v>0</v>
      </c>
      <c r="BR165" s="3307">
        <f t="shared" si="87"/>
        <v>0</v>
      </c>
      <c r="BS165" s="3307">
        <f t="shared" si="88"/>
        <v>0</v>
      </c>
      <c r="BT165" s="3359">
        <f t="shared" si="89"/>
        <v>0</v>
      </c>
    </row>
    <row r="166" spans="1:72">
      <c r="A166" s="3304"/>
      <c r="B166" s="3305"/>
      <c r="C166" s="3305"/>
      <c r="D166" s="3306"/>
      <c r="E166" s="3307">
        <f t="shared" si="90"/>
        <v>0</v>
      </c>
      <c r="F166" s="3308"/>
      <c r="G166" s="3309">
        <f t="shared" si="65"/>
        <v>0</v>
      </c>
      <c r="H166" s="3310">
        <f t="shared" si="66"/>
        <v>0</v>
      </c>
      <c r="I166" s="3317"/>
      <c r="J166" s="3317"/>
      <c r="K166" s="3317"/>
      <c r="L166" s="3317"/>
      <c r="M166" s="3317"/>
      <c r="N166" s="3317"/>
      <c r="O166" s="3317"/>
      <c r="P166" s="3317"/>
      <c r="Q166" s="3317"/>
      <c r="R166" s="3317"/>
      <c r="S166" s="3317"/>
      <c r="T166" s="3317"/>
      <c r="U166" s="3317"/>
      <c r="V166" s="3317"/>
      <c r="W166" s="3317"/>
      <c r="X166" s="3317"/>
      <c r="Y166" s="3317"/>
      <c r="Z166" s="3317"/>
      <c r="AA166" s="3317"/>
      <c r="AB166" s="3317"/>
      <c r="AC166" s="3307">
        <f t="shared" si="67"/>
        <v>0</v>
      </c>
      <c r="AD166" s="3327"/>
      <c r="AE166" s="3327"/>
      <c r="AF166" s="3327"/>
      <c r="AG166" s="3327"/>
      <c r="AH166" s="3327"/>
      <c r="AI166" s="3327"/>
      <c r="AJ166" s="3327"/>
      <c r="AK166" s="3327"/>
      <c r="AL166" s="3327"/>
      <c r="AM166" s="3327"/>
      <c r="AN166" s="3327"/>
      <c r="AO166" s="3327"/>
      <c r="AP166" s="3327"/>
      <c r="AQ166" s="3327"/>
      <c r="AR166" s="3327"/>
      <c r="AS166" s="3327"/>
      <c r="AT166" s="3337"/>
      <c r="AU166" s="3338"/>
      <c r="AV166" s="1410">
        <f t="shared" si="91"/>
        <v>0</v>
      </c>
      <c r="AW166" s="1410">
        <f t="shared" si="92"/>
        <v>0</v>
      </c>
      <c r="AX166" s="1410">
        <f t="shared" si="93"/>
        <v>0</v>
      </c>
      <c r="AY166" s="3352">
        <f t="shared" si="68"/>
        <v>0</v>
      </c>
      <c r="AZ166" s="3307">
        <f t="shared" si="69"/>
        <v>0</v>
      </c>
      <c r="BA166" s="3307">
        <f t="shared" si="70"/>
        <v>0</v>
      </c>
      <c r="BB166" s="3307">
        <f t="shared" si="71"/>
        <v>0</v>
      </c>
      <c r="BC166" s="3307">
        <f t="shared" si="72"/>
        <v>0</v>
      </c>
      <c r="BD166" s="3307">
        <f t="shared" si="73"/>
        <v>0</v>
      </c>
      <c r="BE166" s="3307">
        <f t="shared" si="74"/>
        <v>0</v>
      </c>
      <c r="BF166" s="3307">
        <f t="shared" si="75"/>
        <v>0</v>
      </c>
      <c r="BG166" s="3307">
        <f t="shared" si="76"/>
        <v>0</v>
      </c>
      <c r="BH166" s="3307">
        <f t="shared" si="77"/>
        <v>0</v>
      </c>
      <c r="BI166" s="3307">
        <f t="shared" si="78"/>
        <v>0</v>
      </c>
      <c r="BJ166" s="3307">
        <f t="shared" si="79"/>
        <v>0</v>
      </c>
      <c r="BK166" s="3307">
        <f t="shared" si="80"/>
        <v>0</v>
      </c>
      <c r="BL166" s="3307">
        <f t="shared" si="81"/>
        <v>0</v>
      </c>
      <c r="BM166" s="3307">
        <f t="shared" si="82"/>
        <v>0</v>
      </c>
      <c r="BN166" s="3307">
        <f t="shared" si="83"/>
        <v>0</v>
      </c>
      <c r="BO166" s="3307">
        <f t="shared" si="84"/>
        <v>0</v>
      </c>
      <c r="BP166" s="3307">
        <f t="shared" si="85"/>
        <v>0</v>
      </c>
      <c r="BQ166" s="3307">
        <f t="shared" si="86"/>
        <v>0</v>
      </c>
      <c r="BR166" s="3307">
        <f t="shared" si="87"/>
        <v>0</v>
      </c>
      <c r="BS166" s="3307">
        <f t="shared" si="88"/>
        <v>0</v>
      </c>
      <c r="BT166" s="3359">
        <f t="shared" si="89"/>
        <v>0</v>
      </c>
    </row>
    <row r="167" spans="1:72">
      <c r="A167" s="3304"/>
      <c r="B167" s="3305"/>
      <c r="C167" s="3305"/>
      <c r="D167" s="3306"/>
      <c r="E167" s="3307">
        <f t="shared" si="90"/>
        <v>0</v>
      </c>
      <c r="F167" s="3308"/>
      <c r="G167" s="3309">
        <f t="shared" si="65"/>
        <v>0</v>
      </c>
      <c r="H167" s="3310">
        <f t="shared" si="66"/>
        <v>0</v>
      </c>
      <c r="I167" s="3317"/>
      <c r="J167" s="3317"/>
      <c r="K167" s="3317"/>
      <c r="L167" s="3317"/>
      <c r="M167" s="3317"/>
      <c r="N167" s="3317"/>
      <c r="O167" s="3317"/>
      <c r="P167" s="3317"/>
      <c r="Q167" s="3317"/>
      <c r="R167" s="3317"/>
      <c r="S167" s="3317"/>
      <c r="T167" s="3317"/>
      <c r="U167" s="3317"/>
      <c r="V167" s="3317"/>
      <c r="W167" s="3317"/>
      <c r="X167" s="3317"/>
      <c r="Y167" s="3317"/>
      <c r="Z167" s="3317"/>
      <c r="AA167" s="3317"/>
      <c r="AB167" s="3317"/>
      <c r="AC167" s="3307">
        <f t="shared" si="67"/>
        <v>0</v>
      </c>
      <c r="AD167" s="3327"/>
      <c r="AE167" s="3327"/>
      <c r="AF167" s="3327"/>
      <c r="AG167" s="3327"/>
      <c r="AH167" s="3327"/>
      <c r="AI167" s="3327"/>
      <c r="AJ167" s="3327"/>
      <c r="AK167" s="3327"/>
      <c r="AL167" s="3327"/>
      <c r="AM167" s="3327"/>
      <c r="AN167" s="3327"/>
      <c r="AO167" s="3327"/>
      <c r="AP167" s="3327"/>
      <c r="AQ167" s="3327"/>
      <c r="AR167" s="3327"/>
      <c r="AS167" s="3327"/>
      <c r="AT167" s="3337"/>
      <c r="AU167" s="3338"/>
      <c r="AV167" s="1410">
        <f t="shared" si="91"/>
        <v>0</v>
      </c>
      <c r="AW167" s="1410">
        <f t="shared" si="92"/>
        <v>0</v>
      </c>
      <c r="AX167" s="1410">
        <f t="shared" si="93"/>
        <v>0</v>
      </c>
      <c r="AY167" s="3352">
        <f t="shared" si="68"/>
        <v>0</v>
      </c>
      <c r="AZ167" s="3307">
        <f t="shared" si="69"/>
        <v>0</v>
      </c>
      <c r="BA167" s="3307">
        <f t="shared" si="70"/>
        <v>0</v>
      </c>
      <c r="BB167" s="3307">
        <f t="shared" si="71"/>
        <v>0</v>
      </c>
      <c r="BC167" s="3307">
        <f t="shared" si="72"/>
        <v>0</v>
      </c>
      <c r="BD167" s="3307">
        <f t="shared" si="73"/>
        <v>0</v>
      </c>
      <c r="BE167" s="3307">
        <f t="shared" si="74"/>
        <v>0</v>
      </c>
      <c r="BF167" s="3307">
        <f t="shared" si="75"/>
        <v>0</v>
      </c>
      <c r="BG167" s="3307">
        <f t="shared" si="76"/>
        <v>0</v>
      </c>
      <c r="BH167" s="3307">
        <f t="shared" si="77"/>
        <v>0</v>
      </c>
      <c r="BI167" s="3307">
        <f t="shared" si="78"/>
        <v>0</v>
      </c>
      <c r="BJ167" s="3307">
        <f t="shared" si="79"/>
        <v>0</v>
      </c>
      <c r="BK167" s="3307">
        <f t="shared" si="80"/>
        <v>0</v>
      </c>
      <c r="BL167" s="3307">
        <f t="shared" si="81"/>
        <v>0</v>
      </c>
      <c r="BM167" s="3307">
        <f t="shared" si="82"/>
        <v>0</v>
      </c>
      <c r="BN167" s="3307">
        <f t="shared" si="83"/>
        <v>0</v>
      </c>
      <c r="BO167" s="3307">
        <f t="shared" si="84"/>
        <v>0</v>
      </c>
      <c r="BP167" s="3307">
        <f t="shared" si="85"/>
        <v>0</v>
      </c>
      <c r="BQ167" s="3307">
        <f t="shared" si="86"/>
        <v>0</v>
      </c>
      <c r="BR167" s="3307">
        <f t="shared" si="87"/>
        <v>0</v>
      </c>
      <c r="BS167" s="3307">
        <f t="shared" si="88"/>
        <v>0</v>
      </c>
      <c r="BT167" s="3359">
        <f t="shared" si="89"/>
        <v>0</v>
      </c>
    </row>
    <row r="168" spans="1:72">
      <c r="A168" s="3304"/>
      <c r="B168" s="3305"/>
      <c r="C168" s="3305"/>
      <c r="D168" s="3306"/>
      <c r="E168" s="3307">
        <f t="shared" si="90"/>
        <v>0</v>
      </c>
      <c r="F168" s="3308"/>
      <c r="G168" s="3309">
        <f t="shared" si="65"/>
        <v>0</v>
      </c>
      <c r="H168" s="3310">
        <f t="shared" si="66"/>
        <v>0</v>
      </c>
      <c r="I168" s="3317"/>
      <c r="J168" s="3317"/>
      <c r="K168" s="3317"/>
      <c r="L168" s="3317"/>
      <c r="M168" s="3317"/>
      <c r="N168" s="3317"/>
      <c r="O168" s="3317"/>
      <c r="P168" s="3317"/>
      <c r="Q168" s="3317"/>
      <c r="R168" s="3317"/>
      <c r="S168" s="3317"/>
      <c r="T168" s="3317"/>
      <c r="U168" s="3317"/>
      <c r="V168" s="3317"/>
      <c r="W168" s="3317"/>
      <c r="X168" s="3317"/>
      <c r="Y168" s="3317"/>
      <c r="Z168" s="3317"/>
      <c r="AA168" s="3317"/>
      <c r="AB168" s="3317"/>
      <c r="AC168" s="3307">
        <f t="shared" si="67"/>
        <v>0</v>
      </c>
      <c r="AD168" s="3327"/>
      <c r="AE168" s="3327"/>
      <c r="AF168" s="3327"/>
      <c r="AG168" s="3327"/>
      <c r="AH168" s="3327"/>
      <c r="AI168" s="3327"/>
      <c r="AJ168" s="3327"/>
      <c r="AK168" s="3327"/>
      <c r="AL168" s="3327"/>
      <c r="AM168" s="3327"/>
      <c r="AN168" s="3327"/>
      <c r="AO168" s="3327"/>
      <c r="AP168" s="3327"/>
      <c r="AQ168" s="3327"/>
      <c r="AR168" s="3327"/>
      <c r="AS168" s="3327"/>
      <c r="AT168" s="3337"/>
      <c r="AU168" s="3338"/>
      <c r="AV168" s="1410">
        <f t="shared" si="91"/>
        <v>0</v>
      </c>
      <c r="AW168" s="1410">
        <f t="shared" si="92"/>
        <v>0</v>
      </c>
      <c r="AX168" s="1410">
        <f t="shared" si="93"/>
        <v>0</v>
      </c>
      <c r="AY168" s="3352">
        <f t="shared" si="68"/>
        <v>0</v>
      </c>
      <c r="AZ168" s="3307">
        <f t="shared" si="69"/>
        <v>0</v>
      </c>
      <c r="BA168" s="3307">
        <f t="shared" si="70"/>
        <v>0</v>
      </c>
      <c r="BB168" s="3307">
        <f t="shared" si="71"/>
        <v>0</v>
      </c>
      <c r="BC168" s="3307">
        <f t="shared" si="72"/>
        <v>0</v>
      </c>
      <c r="BD168" s="3307">
        <f t="shared" si="73"/>
        <v>0</v>
      </c>
      <c r="BE168" s="3307">
        <f t="shared" si="74"/>
        <v>0</v>
      </c>
      <c r="BF168" s="3307">
        <f t="shared" si="75"/>
        <v>0</v>
      </c>
      <c r="BG168" s="3307">
        <f t="shared" si="76"/>
        <v>0</v>
      </c>
      <c r="BH168" s="3307">
        <f t="shared" si="77"/>
        <v>0</v>
      </c>
      <c r="BI168" s="3307">
        <f t="shared" si="78"/>
        <v>0</v>
      </c>
      <c r="BJ168" s="3307">
        <f t="shared" si="79"/>
        <v>0</v>
      </c>
      <c r="BK168" s="3307">
        <f t="shared" si="80"/>
        <v>0</v>
      </c>
      <c r="BL168" s="3307">
        <f t="shared" si="81"/>
        <v>0</v>
      </c>
      <c r="BM168" s="3307">
        <f t="shared" si="82"/>
        <v>0</v>
      </c>
      <c r="BN168" s="3307">
        <f t="shared" si="83"/>
        <v>0</v>
      </c>
      <c r="BO168" s="3307">
        <f t="shared" si="84"/>
        <v>0</v>
      </c>
      <c r="BP168" s="3307">
        <f t="shared" si="85"/>
        <v>0</v>
      </c>
      <c r="BQ168" s="3307">
        <f t="shared" si="86"/>
        <v>0</v>
      </c>
      <c r="BR168" s="3307">
        <f t="shared" si="87"/>
        <v>0</v>
      </c>
      <c r="BS168" s="3307">
        <f t="shared" si="88"/>
        <v>0</v>
      </c>
      <c r="BT168" s="3359">
        <f t="shared" si="89"/>
        <v>0</v>
      </c>
    </row>
    <row r="169" spans="1:72">
      <c r="A169" s="3304"/>
      <c r="B169" s="3305"/>
      <c r="C169" s="3305"/>
      <c r="D169" s="3306"/>
      <c r="E169" s="3307">
        <f t="shared" si="90"/>
        <v>0</v>
      </c>
      <c r="F169" s="3308"/>
      <c r="G169" s="3309">
        <f t="shared" si="65"/>
        <v>0</v>
      </c>
      <c r="H169" s="3310">
        <f t="shared" si="66"/>
        <v>0</v>
      </c>
      <c r="I169" s="3317"/>
      <c r="J169" s="3317"/>
      <c r="K169" s="3317"/>
      <c r="L169" s="3317"/>
      <c r="M169" s="3317"/>
      <c r="N169" s="3317"/>
      <c r="O169" s="3317"/>
      <c r="P169" s="3317"/>
      <c r="Q169" s="3317"/>
      <c r="R169" s="3317"/>
      <c r="S169" s="3317"/>
      <c r="T169" s="3317"/>
      <c r="U169" s="3317"/>
      <c r="V169" s="3317"/>
      <c r="W169" s="3317"/>
      <c r="X169" s="3317"/>
      <c r="Y169" s="3317"/>
      <c r="Z169" s="3317"/>
      <c r="AA169" s="3317"/>
      <c r="AB169" s="3317"/>
      <c r="AC169" s="3307">
        <f t="shared" si="67"/>
        <v>0</v>
      </c>
      <c r="AD169" s="3327"/>
      <c r="AE169" s="3327"/>
      <c r="AF169" s="3327"/>
      <c r="AG169" s="3327"/>
      <c r="AH169" s="3327"/>
      <c r="AI169" s="3327"/>
      <c r="AJ169" s="3327"/>
      <c r="AK169" s="3327"/>
      <c r="AL169" s="3327"/>
      <c r="AM169" s="3327"/>
      <c r="AN169" s="3327"/>
      <c r="AO169" s="3327"/>
      <c r="AP169" s="3327"/>
      <c r="AQ169" s="3327"/>
      <c r="AR169" s="3327"/>
      <c r="AS169" s="3327"/>
      <c r="AT169" s="3337"/>
      <c r="AU169" s="3338"/>
      <c r="AV169" s="1410">
        <f t="shared" si="91"/>
        <v>0</v>
      </c>
      <c r="AW169" s="1410">
        <f t="shared" si="92"/>
        <v>0</v>
      </c>
      <c r="AX169" s="1410">
        <f t="shared" si="93"/>
        <v>0</v>
      </c>
      <c r="AY169" s="3352">
        <f t="shared" si="68"/>
        <v>0</v>
      </c>
      <c r="AZ169" s="3307">
        <f t="shared" si="69"/>
        <v>0</v>
      </c>
      <c r="BA169" s="3307">
        <f t="shared" si="70"/>
        <v>0</v>
      </c>
      <c r="BB169" s="3307">
        <f t="shared" si="71"/>
        <v>0</v>
      </c>
      <c r="BC169" s="3307">
        <f t="shared" si="72"/>
        <v>0</v>
      </c>
      <c r="BD169" s="3307">
        <f t="shared" si="73"/>
        <v>0</v>
      </c>
      <c r="BE169" s="3307">
        <f t="shared" si="74"/>
        <v>0</v>
      </c>
      <c r="BF169" s="3307">
        <f t="shared" si="75"/>
        <v>0</v>
      </c>
      <c r="BG169" s="3307">
        <f t="shared" si="76"/>
        <v>0</v>
      </c>
      <c r="BH169" s="3307">
        <f t="shared" si="77"/>
        <v>0</v>
      </c>
      <c r="BI169" s="3307">
        <f t="shared" si="78"/>
        <v>0</v>
      </c>
      <c r="BJ169" s="3307">
        <f t="shared" si="79"/>
        <v>0</v>
      </c>
      <c r="BK169" s="3307">
        <f t="shared" si="80"/>
        <v>0</v>
      </c>
      <c r="BL169" s="3307">
        <f t="shared" si="81"/>
        <v>0</v>
      </c>
      <c r="BM169" s="3307">
        <f t="shared" si="82"/>
        <v>0</v>
      </c>
      <c r="BN169" s="3307">
        <f t="shared" si="83"/>
        <v>0</v>
      </c>
      <c r="BO169" s="3307">
        <f t="shared" si="84"/>
        <v>0</v>
      </c>
      <c r="BP169" s="3307">
        <f t="shared" si="85"/>
        <v>0</v>
      </c>
      <c r="BQ169" s="3307">
        <f t="shared" si="86"/>
        <v>0</v>
      </c>
      <c r="BR169" s="3307">
        <f t="shared" si="87"/>
        <v>0</v>
      </c>
      <c r="BS169" s="3307">
        <f t="shared" si="88"/>
        <v>0</v>
      </c>
      <c r="BT169" s="3359">
        <f t="shared" si="89"/>
        <v>0</v>
      </c>
    </row>
    <row r="170" spans="1:72">
      <c r="A170" s="3304"/>
      <c r="B170" s="3305"/>
      <c r="C170" s="3305"/>
      <c r="D170" s="3306"/>
      <c r="E170" s="3307">
        <f t="shared" si="90"/>
        <v>0</v>
      </c>
      <c r="F170" s="3308"/>
      <c r="G170" s="3309">
        <f t="shared" si="65"/>
        <v>0</v>
      </c>
      <c r="H170" s="3310">
        <f t="shared" si="66"/>
        <v>0</v>
      </c>
      <c r="I170" s="3317"/>
      <c r="J170" s="3317"/>
      <c r="K170" s="3317"/>
      <c r="L170" s="3317"/>
      <c r="M170" s="3317"/>
      <c r="N170" s="3317"/>
      <c r="O170" s="3317"/>
      <c r="P170" s="3317"/>
      <c r="Q170" s="3317"/>
      <c r="R170" s="3317"/>
      <c r="S170" s="3317"/>
      <c r="T170" s="3317"/>
      <c r="U170" s="3317"/>
      <c r="V170" s="3317"/>
      <c r="W170" s="3317"/>
      <c r="X170" s="3317"/>
      <c r="Y170" s="3317"/>
      <c r="Z170" s="3317"/>
      <c r="AA170" s="3317"/>
      <c r="AB170" s="3317"/>
      <c r="AC170" s="3307">
        <f t="shared" si="67"/>
        <v>0</v>
      </c>
      <c r="AD170" s="3327"/>
      <c r="AE170" s="3327"/>
      <c r="AF170" s="3327"/>
      <c r="AG170" s="3327"/>
      <c r="AH170" s="3327"/>
      <c r="AI170" s="3327"/>
      <c r="AJ170" s="3327"/>
      <c r="AK170" s="3327"/>
      <c r="AL170" s="3327"/>
      <c r="AM170" s="3327"/>
      <c r="AN170" s="3327"/>
      <c r="AO170" s="3327"/>
      <c r="AP170" s="3327"/>
      <c r="AQ170" s="3327"/>
      <c r="AR170" s="3327"/>
      <c r="AS170" s="3327"/>
      <c r="AT170" s="3337"/>
      <c r="AU170" s="3338"/>
      <c r="AV170" s="1410">
        <f t="shared" si="91"/>
        <v>0</v>
      </c>
      <c r="AW170" s="1410">
        <f t="shared" si="92"/>
        <v>0</v>
      </c>
      <c r="AX170" s="1410">
        <f t="shared" si="93"/>
        <v>0</v>
      </c>
      <c r="AY170" s="3352">
        <f t="shared" si="68"/>
        <v>0</v>
      </c>
      <c r="AZ170" s="3307">
        <f t="shared" si="69"/>
        <v>0</v>
      </c>
      <c r="BA170" s="3307">
        <f t="shared" si="70"/>
        <v>0</v>
      </c>
      <c r="BB170" s="3307">
        <f t="shared" si="71"/>
        <v>0</v>
      </c>
      <c r="BC170" s="3307">
        <f t="shared" si="72"/>
        <v>0</v>
      </c>
      <c r="BD170" s="3307">
        <f t="shared" si="73"/>
        <v>0</v>
      </c>
      <c r="BE170" s="3307">
        <f t="shared" si="74"/>
        <v>0</v>
      </c>
      <c r="BF170" s="3307">
        <f t="shared" si="75"/>
        <v>0</v>
      </c>
      <c r="BG170" s="3307">
        <f t="shared" si="76"/>
        <v>0</v>
      </c>
      <c r="BH170" s="3307">
        <f t="shared" si="77"/>
        <v>0</v>
      </c>
      <c r="BI170" s="3307">
        <f t="shared" si="78"/>
        <v>0</v>
      </c>
      <c r="BJ170" s="3307">
        <f t="shared" si="79"/>
        <v>0</v>
      </c>
      <c r="BK170" s="3307">
        <f t="shared" si="80"/>
        <v>0</v>
      </c>
      <c r="BL170" s="3307">
        <f t="shared" si="81"/>
        <v>0</v>
      </c>
      <c r="BM170" s="3307">
        <f t="shared" si="82"/>
        <v>0</v>
      </c>
      <c r="BN170" s="3307">
        <f t="shared" si="83"/>
        <v>0</v>
      </c>
      <c r="BO170" s="3307">
        <f t="shared" si="84"/>
        <v>0</v>
      </c>
      <c r="BP170" s="3307">
        <f t="shared" si="85"/>
        <v>0</v>
      </c>
      <c r="BQ170" s="3307">
        <f t="shared" si="86"/>
        <v>0</v>
      </c>
      <c r="BR170" s="3307">
        <f t="shared" si="87"/>
        <v>0</v>
      </c>
      <c r="BS170" s="3307">
        <f t="shared" si="88"/>
        <v>0</v>
      </c>
      <c r="BT170" s="3359">
        <f t="shared" si="89"/>
        <v>0</v>
      </c>
    </row>
    <row r="171" spans="1:72">
      <c r="A171" s="3304"/>
      <c r="B171" s="3305"/>
      <c r="C171" s="3305"/>
      <c r="D171" s="3306"/>
      <c r="E171" s="3307">
        <f t="shared" si="90"/>
        <v>0</v>
      </c>
      <c r="F171" s="3308"/>
      <c r="G171" s="3309">
        <f t="shared" si="65"/>
        <v>0</v>
      </c>
      <c r="H171" s="3310">
        <f t="shared" si="66"/>
        <v>0</v>
      </c>
      <c r="I171" s="3317"/>
      <c r="J171" s="3317"/>
      <c r="K171" s="3317"/>
      <c r="L171" s="3317"/>
      <c r="M171" s="3317"/>
      <c r="N171" s="3317"/>
      <c r="O171" s="3317"/>
      <c r="P171" s="3317"/>
      <c r="Q171" s="3317"/>
      <c r="R171" s="3317"/>
      <c r="S171" s="3317"/>
      <c r="T171" s="3317"/>
      <c r="U171" s="3317"/>
      <c r="V171" s="3317"/>
      <c r="W171" s="3317"/>
      <c r="X171" s="3317"/>
      <c r="Y171" s="3317"/>
      <c r="Z171" s="3317"/>
      <c r="AA171" s="3317"/>
      <c r="AB171" s="3317"/>
      <c r="AC171" s="3307">
        <f t="shared" si="67"/>
        <v>0</v>
      </c>
      <c r="AD171" s="3327"/>
      <c r="AE171" s="3327"/>
      <c r="AF171" s="3327"/>
      <c r="AG171" s="3327"/>
      <c r="AH171" s="3327"/>
      <c r="AI171" s="3327"/>
      <c r="AJ171" s="3327"/>
      <c r="AK171" s="3327"/>
      <c r="AL171" s="3327"/>
      <c r="AM171" s="3327"/>
      <c r="AN171" s="3327"/>
      <c r="AO171" s="3327"/>
      <c r="AP171" s="3327"/>
      <c r="AQ171" s="3327"/>
      <c r="AR171" s="3327"/>
      <c r="AS171" s="3327"/>
      <c r="AT171" s="3337"/>
      <c r="AU171" s="3338"/>
      <c r="AV171" s="1410">
        <f t="shared" si="91"/>
        <v>0</v>
      </c>
      <c r="AW171" s="1410">
        <f t="shared" si="92"/>
        <v>0</v>
      </c>
      <c r="AX171" s="1410">
        <f t="shared" si="93"/>
        <v>0</v>
      </c>
      <c r="AY171" s="3352">
        <f t="shared" si="68"/>
        <v>0</v>
      </c>
      <c r="AZ171" s="3307">
        <f t="shared" si="69"/>
        <v>0</v>
      </c>
      <c r="BA171" s="3307">
        <f t="shared" si="70"/>
        <v>0</v>
      </c>
      <c r="BB171" s="3307">
        <f t="shared" si="71"/>
        <v>0</v>
      </c>
      <c r="BC171" s="3307">
        <f t="shared" si="72"/>
        <v>0</v>
      </c>
      <c r="BD171" s="3307">
        <f t="shared" si="73"/>
        <v>0</v>
      </c>
      <c r="BE171" s="3307">
        <f t="shared" si="74"/>
        <v>0</v>
      </c>
      <c r="BF171" s="3307">
        <f t="shared" si="75"/>
        <v>0</v>
      </c>
      <c r="BG171" s="3307">
        <f t="shared" si="76"/>
        <v>0</v>
      </c>
      <c r="BH171" s="3307">
        <f t="shared" si="77"/>
        <v>0</v>
      </c>
      <c r="BI171" s="3307">
        <f t="shared" si="78"/>
        <v>0</v>
      </c>
      <c r="BJ171" s="3307">
        <f t="shared" si="79"/>
        <v>0</v>
      </c>
      <c r="BK171" s="3307">
        <f t="shared" si="80"/>
        <v>0</v>
      </c>
      <c r="BL171" s="3307">
        <f t="shared" si="81"/>
        <v>0</v>
      </c>
      <c r="BM171" s="3307">
        <f t="shared" si="82"/>
        <v>0</v>
      </c>
      <c r="BN171" s="3307">
        <f t="shared" si="83"/>
        <v>0</v>
      </c>
      <c r="BO171" s="3307">
        <f t="shared" si="84"/>
        <v>0</v>
      </c>
      <c r="BP171" s="3307">
        <f t="shared" si="85"/>
        <v>0</v>
      </c>
      <c r="BQ171" s="3307">
        <f t="shared" si="86"/>
        <v>0</v>
      </c>
      <c r="BR171" s="3307">
        <f t="shared" si="87"/>
        <v>0</v>
      </c>
      <c r="BS171" s="3307">
        <f t="shared" si="88"/>
        <v>0</v>
      </c>
      <c r="BT171" s="3359">
        <f t="shared" si="89"/>
        <v>0</v>
      </c>
    </row>
    <row r="172" spans="1:72">
      <c r="A172" s="3304"/>
      <c r="B172" s="3305"/>
      <c r="C172" s="3305"/>
      <c r="D172" s="3306"/>
      <c r="E172" s="3307">
        <f t="shared" si="90"/>
        <v>0</v>
      </c>
      <c r="F172" s="3308"/>
      <c r="G172" s="3309">
        <f t="shared" si="65"/>
        <v>0</v>
      </c>
      <c r="H172" s="3310">
        <f t="shared" si="66"/>
        <v>0</v>
      </c>
      <c r="I172" s="3317"/>
      <c r="J172" s="3317"/>
      <c r="K172" s="3317"/>
      <c r="L172" s="3317"/>
      <c r="M172" s="3317"/>
      <c r="N172" s="3317"/>
      <c r="O172" s="3317"/>
      <c r="P172" s="3317"/>
      <c r="Q172" s="3317"/>
      <c r="R172" s="3317"/>
      <c r="S172" s="3317"/>
      <c r="T172" s="3317"/>
      <c r="U172" s="3317"/>
      <c r="V172" s="3317"/>
      <c r="W172" s="3317"/>
      <c r="X172" s="3317"/>
      <c r="Y172" s="3317"/>
      <c r="Z172" s="3317"/>
      <c r="AA172" s="3317"/>
      <c r="AB172" s="3317"/>
      <c r="AC172" s="3307">
        <f t="shared" si="67"/>
        <v>0</v>
      </c>
      <c r="AD172" s="3327"/>
      <c r="AE172" s="3327"/>
      <c r="AF172" s="3327"/>
      <c r="AG172" s="3327"/>
      <c r="AH172" s="3327"/>
      <c r="AI172" s="3327"/>
      <c r="AJ172" s="3327"/>
      <c r="AK172" s="3327"/>
      <c r="AL172" s="3327"/>
      <c r="AM172" s="3327"/>
      <c r="AN172" s="3327"/>
      <c r="AO172" s="3327"/>
      <c r="AP172" s="3327"/>
      <c r="AQ172" s="3327"/>
      <c r="AR172" s="3327"/>
      <c r="AS172" s="3327"/>
      <c r="AT172" s="3337"/>
      <c r="AU172" s="3338"/>
      <c r="AV172" s="1410">
        <f t="shared" si="91"/>
        <v>0</v>
      </c>
      <c r="AW172" s="1410">
        <f t="shared" si="92"/>
        <v>0</v>
      </c>
      <c r="AX172" s="1410">
        <f t="shared" si="93"/>
        <v>0</v>
      </c>
      <c r="AY172" s="3352">
        <f t="shared" si="68"/>
        <v>0</v>
      </c>
      <c r="AZ172" s="3307">
        <f t="shared" si="69"/>
        <v>0</v>
      </c>
      <c r="BA172" s="3307">
        <f t="shared" si="70"/>
        <v>0</v>
      </c>
      <c r="BB172" s="3307">
        <f t="shared" si="71"/>
        <v>0</v>
      </c>
      <c r="BC172" s="3307">
        <f t="shared" si="72"/>
        <v>0</v>
      </c>
      <c r="BD172" s="3307">
        <f t="shared" si="73"/>
        <v>0</v>
      </c>
      <c r="BE172" s="3307">
        <f t="shared" si="74"/>
        <v>0</v>
      </c>
      <c r="BF172" s="3307">
        <f t="shared" si="75"/>
        <v>0</v>
      </c>
      <c r="BG172" s="3307">
        <f t="shared" si="76"/>
        <v>0</v>
      </c>
      <c r="BH172" s="3307">
        <f t="shared" si="77"/>
        <v>0</v>
      </c>
      <c r="BI172" s="3307">
        <f t="shared" si="78"/>
        <v>0</v>
      </c>
      <c r="BJ172" s="3307">
        <f t="shared" si="79"/>
        <v>0</v>
      </c>
      <c r="BK172" s="3307">
        <f t="shared" si="80"/>
        <v>0</v>
      </c>
      <c r="BL172" s="3307">
        <f t="shared" si="81"/>
        <v>0</v>
      </c>
      <c r="BM172" s="3307">
        <f t="shared" si="82"/>
        <v>0</v>
      </c>
      <c r="BN172" s="3307">
        <f t="shared" si="83"/>
        <v>0</v>
      </c>
      <c r="BO172" s="3307">
        <f t="shared" si="84"/>
        <v>0</v>
      </c>
      <c r="BP172" s="3307">
        <f t="shared" si="85"/>
        <v>0</v>
      </c>
      <c r="BQ172" s="3307">
        <f t="shared" si="86"/>
        <v>0</v>
      </c>
      <c r="BR172" s="3307">
        <f t="shared" si="87"/>
        <v>0</v>
      </c>
      <c r="BS172" s="3307">
        <f t="shared" si="88"/>
        <v>0</v>
      </c>
      <c r="BT172" s="3359">
        <f t="shared" si="89"/>
        <v>0</v>
      </c>
    </row>
    <row r="173" spans="1:72">
      <c r="A173" s="3304"/>
      <c r="B173" s="3305"/>
      <c r="C173" s="3305"/>
      <c r="D173" s="3306"/>
      <c r="E173" s="3307">
        <f t="shared" si="90"/>
        <v>0</v>
      </c>
      <c r="F173" s="3308"/>
      <c r="G173" s="3309">
        <f t="shared" si="65"/>
        <v>0</v>
      </c>
      <c r="H173" s="3310">
        <f t="shared" si="66"/>
        <v>0</v>
      </c>
      <c r="I173" s="3317"/>
      <c r="J173" s="3317"/>
      <c r="K173" s="3317"/>
      <c r="L173" s="3317"/>
      <c r="M173" s="3317"/>
      <c r="N173" s="3317"/>
      <c r="O173" s="3317"/>
      <c r="P173" s="3317"/>
      <c r="Q173" s="3317"/>
      <c r="R173" s="3317"/>
      <c r="S173" s="3317"/>
      <c r="T173" s="3317"/>
      <c r="U173" s="3317"/>
      <c r="V173" s="3317"/>
      <c r="W173" s="3317"/>
      <c r="X173" s="3317"/>
      <c r="Y173" s="3317"/>
      <c r="Z173" s="3317"/>
      <c r="AA173" s="3317"/>
      <c r="AB173" s="3317"/>
      <c r="AC173" s="3307">
        <f t="shared" si="67"/>
        <v>0</v>
      </c>
      <c r="AD173" s="3327"/>
      <c r="AE173" s="3327"/>
      <c r="AF173" s="3327"/>
      <c r="AG173" s="3327"/>
      <c r="AH173" s="3327"/>
      <c r="AI173" s="3327"/>
      <c r="AJ173" s="3327"/>
      <c r="AK173" s="3327"/>
      <c r="AL173" s="3327"/>
      <c r="AM173" s="3327"/>
      <c r="AN173" s="3327"/>
      <c r="AO173" s="3327"/>
      <c r="AP173" s="3327"/>
      <c r="AQ173" s="3327"/>
      <c r="AR173" s="3327"/>
      <c r="AS173" s="3327"/>
      <c r="AT173" s="3337"/>
      <c r="AU173" s="3338"/>
      <c r="AV173" s="1410">
        <f t="shared" si="91"/>
        <v>0</v>
      </c>
      <c r="AW173" s="1410">
        <f t="shared" si="92"/>
        <v>0</v>
      </c>
      <c r="AX173" s="1410">
        <f t="shared" si="93"/>
        <v>0</v>
      </c>
      <c r="AY173" s="3352">
        <f t="shared" si="68"/>
        <v>0</v>
      </c>
      <c r="AZ173" s="3307">
        <f t="shared" si="69"/>
        <v>0</v>
      </c>
      <c r="BA173" s="3307">
        <f t="shared" si="70"/>
        <v>0</v>
      </c>
      <c r="BB173" s="3307">
        <f t="shared" si="71"/>
        <v>0</v>
      </c>
      <c r="BC173" s="3307">
        <f t="shared" si="72"/>
        <v>0</v>
      </c>
      <c r="BD173" s="3307">
        <f t="shared" si="73"/>
        <v>0</v>
      </c>
      <c r="BE173" s="3307">
        <f t="shared" si="74"/>
        <v>0</v>
      </c>
      <c r="BF173" s="3307">
        <f t="shared" si="75"/>
        <v>0</v>
      </c>
      <c r="BG173" s="3307">
        <f t="shared" si="76"/>
        <v>0</v>
      </c>
      <c r="BH173" s="3307">
        <f t="shared" si="77"/>
        <v>0</v>
      </c>
      <c r="BI173" s="3307">
        <f t="shared" si="78"/>
        <v>0</v>
      </c>
      <c r="BJ173" s="3307">
        <f t="shared" si="79"/>
        <v>0</v>
      </c>
      <c r="BK173" s="3307">
        <f t="shared" si="80"/>
        <v>0</v>
      </c>
      <c r="BL173" s="3307">
        <f t="shared" si="81"/>
        <v>0</v>
      </c>
      <c r="BM173" s="3307">
        <f t="shared" si="82"/>
        <v>0</v>
      </c>
      <c r="BN173" s="3307">
        <f t="shared" si="83"/>
        <v>0</v>
      </c>
      <c r="BO173" s="3307">
        <f t="shared" si="84"/>
        <v>0</v>
      </c>
      <c r="BP173" s="3307">
        <f t="shared" si="85"/>
        <v>0</v>
      </c>
      <c r="BQ173" s="3307">
        <f t="shared" si="86"/>
        <v>0</v>
      </c>
      <c r="BR173" s="3307">
        <f t="shared" si="87"/>
        <v>0</v>
      </c>
      <c r="BS173" s="3307">
        <f t="shared" si="88"/>
        <v>0</v>
      </c>
      <c r="BT173" s="3359">
        <f t="shared" si="89"/>
        <v>0</v>
      </c>
    </row>
    <row r="174" spans="1:72">
      <c r="A174" s="3304"/>
      <c r="B174" s="3305"/>
      <c r="C174" s="3305"/>
      <c r="D174" s="3306"/>
      <c r="E174" s="3307">
        <f t="shared" si="90"/>
        <v>0</v>
      </c>
      <c r="F174" s="3308"/>
      <c r="G174" s="3309">
        <f t="shared" ref="G174:G207" si="94">H174+AC174+AT174</f>
        <v>0</v>
      </c>
      <c r="H174" s="3310">
        <f t="shared" ref="H174:H207" si="95">SUMIF(I$12:AB$12,"总值",I174:AB174)</f>
        <v>0</v>
      </c>
      <c r="I174" s="3317"/>
      <c r="J174" s="3317"/>
      <c r="K174" s="3317"/>
      <c r="L174" s="3317"/>
      <c r="M174" s="3317"/>
      <c r="N174" s="3317"/>
      <c r="O174" s="3317"/>
      <c r="P174" s="3317"/>
      <c r="Q174" s="3317"/>
      <c r="R174" s="3317"/>
      <c r="S174" s="3317"/>
      <c r="T174" s="3317"/>
      <c r="U174" s="3317"/>
      <c r="V174" s="3317"/>
      <c r="W174" s="3317"/>
      <c r="X174" s="3317"/>
      <c r="Y174" s="3317"/>
      <c r="Z174" s="3317"/>
      <c r="AA174" s="3317"/>
      <c r="AB174" s="3317"/>
      <c r="AC174" s="3307">
        <f t="shared" ref="AC174:AC207" si="96">SUMIF(AD$12:AS$12,"总值",AD174:AS174)</f>
        <v>0</v>
      </c>
      <c r="AD174" s="3327"/>
      <c r="AE174" s="3327"/>
      <c r="AF174" s="3327"/>
      <c r="AG174" s="3327"/>
      <c r="AH174" s="3327"/>
      <c r="AI174" s="3327"/>
      <c r="AJ174" s="3327"/>
      <c r="AK174" s="3327"/>
      <c r="AL174" s="3327"/>
      <c r="AM174" s="3327"/>
      <c r="AN174" s="3327"/>
      <c r="AO174" s="3327"/>
      <c r="AP174" s="3327"/>
      <c r="AQ174" s="3327"/>
      <c r="AR174" s="3327"/>
      <c r="AS174" s="3327"/>
      <c r="AT174" s="3337"/>
      <c r="AU174" s="3338"/>
      <c r="AV174" s="1410">
        <f t="shared" si="91"/>
        <v>0</v>
      </c>
      <c r="AW174" s="1410">
        <f t="shared" si="92"/>
        <v>0</v>
      </c>
      <c r="AX174" s="1410">
        <f t="shared" si="93"/>
        <v>0</v>
      </c>
      <c r="AY174" s="3352">
        <f t="shared" ref="AY174:AY207" si="97">ROUND($AY$6*AZ174/$AZ$5,2)</f>
        <v>0</v>
      </c>
      <c r="AZ174" s="3307">
        <f t="shared" ref="AZ174:AZ207" si="98">BA174+BL174</f>
        <v>0</v>
      </c>
      <c r="BA174" s="3307">
        <f t="shared" ref="BA174:BA207" si="99">SUM(BB174:BK174)</f>
        <v>0</v>
      </c>
      <c r="BB174" s="3307">
        <f t="shared" ref="BB174:BB207" si="100">IF($D174="是",I174-J174,0)</f>
        <v>0</v>
      </c>
      <c r="BC174" s="3307">
        <f t="shared" ref="BC174:BC207" si="101">IF($D174="是",K174-L174,0)</f>
        <v>0</v>
      </c>
      <c r="BD174" s="3307">
        <f t="shared" ref="BD174:BD207" si="102">IF($D174="是",M174-N174,0)</f>
        <v>0</v>
      </c>
      <c r="BE174" s="3307">
        <f t="shared" ref="BE174:BE207" si="103">IF($D174="是",O174-P174,0)</f>
        <v>0</v>
      </c>
      <c r="BF174" s="3307">
        <f t="shared" ref="BF174:BF207" si="104">IF($D174="是",Q174-R174,0)</f>
        <v>0</v>
      </c>
      <c r="BG174" s="3307">
        <f t="shared" ref="BG174:BG207" si="105">IF($D174="是",S174-T174,0)</f>
        <v>0</v>
      </c>
      <c r="BH174" s="3307">
        <f t="shared" ref="BH174:BH207" si="106">IF($D174="是",U174-V174,0)</f>
        <v>0</v>
      </c>
      <c r="BI174" s="3307">
        <f t="shared" ref="BI174:BI207" si="107">IF($D174="是",W174-X174,0)</f>
        <v>0</v>
      </c>
      <c r="BJ174" s="3307">
        <f t="shared" ref="BJ174:BJ207" si="108">IF($D174="是",Y174-Z174,0)</f>
        <v>0</v>
      </c>
      <c r="BK174" s="3307">
        <f t="shared" ref="BK174:BK207" si="109">IF($D174="是",AA174-AB174,0)</f>
        <v>0</v>
      </c>
      <c r="BL174" s="3307">
        <f t="shared" ref="BL174:BL207" si="110">SUM(BM174:BT174)</f>
        <v>0</v>
      </c>
      <c r="BM174" s="3307">
        <f t="shared" ref="BM174:BM207" si="111">IF($D174="是",AD174-AE174,0)</f>
        <v>0</v>
      </c>
      <c r="BN174" s="3307">
        <f t="shared" ref="BN174:BN207" si="112">IF($D174="是",AF174-AG174,0)</f>
        <v>0</v>
      </c>
      <c r="BO174" s="3307">
        <f t="shared" ref="BO174:BO207" si="113">IF($D174="是",AH174-AI174,0)</f>
        <v>0</v>
      </c>
      <c r="BP174" s="3307">
        <f t="shared" ref="BP174:BP207" si="114">IF($D174="是",AJ174-AK174,0)</f>
        <v>0</v>
      </c>
      <c r="BQ174" s="3307">
        <f t="shared" ref="BQ174:BQ207" si="115">IF($D174="是",AL174-AM174,0)</f>
        <v>0</v>
      </c>
      <c r="BR174" s="3307">
        <f t="shared" ref="BR174:BR207" si="116">IF($D174="是",AN174-AO174,0)</f>
        <v>0</v>
      </c>
      <c r="BS174" s="3307">
        <f t="shared" ref="BS174:BS207" si="117">IF($D174="是",AP174-AQ174,0)</f>
        <v>0</v>
      </c>
      <c r="BT174" s="3359">
        <f t="shared" ref="BT174:BT207" si="118">IF($D174="是",AR174-AS174,0)</f>
        <v>0</v>
      </c>
    </row>
    <row r="175" spans="1:72">
      <c r="A175" s="3304"/>
      <c r="B175" s="3305"/>
      <c r="C175" s="3305"/>
      <c r="D175" s="3306"/>
      <c r="E175" s="3307">
        <f t="shared" si="90"/>
        <v>0</v>
      </c>
      <c r="F175" s="3308"/>
      <c r="G175" s="3309">
        <f t="shared" si="94"/>
        <v>0</v>
      </c>
      <c r="H175" s="3310">
        <f t="shared" si="95"/>
        <v>0</v>
      </c>
      <c r="I175" s="3317"/>
      <c r="J175" s="3317"/>
      <c r="K175" s="3317"/>
      <c r="L175" s="3317"/>
      <c r="M175" s="3317"/>
      <c r="N175" s="3317"/>
      <c r="O175" s="3317"/>
      <c r="P175" s="3317"/>
      <c r="Q175" s="3317"/>
      <c r="R175" s="3317"/>
      <c r="S175" s="3317"/>
      <c r="T175" s="3317"/>
      <c r="U175" s="3317"/>
      <c r="V175" s="3317"/>
      <c r="W175" s="3317"/>
      <c r="X175" s="3317"/>
      <c r="Y175" s="3317"/>
      <c r="Z175" s="3317"/>
      <c r="AA175" s="3317"/>
      <c r="AB175" s="3317"/>
      <c r="AC175" s="3307">
        <f t="shared" si="96"/>
        <v>0</v>
      </c>
      <c r="AD175" s="3327"/>
      <c r="AE175" s="3327"/>
      <c r="AF175" s="3327"/>
      <c r="AG175" s="3327"/>
      <c r="AH175" s="3327"/>
      <c r="AI175" s="3327"/>
      <c r="AJ175" s="3327"/>
      <c r="AK175" s="3327"/>
      <c r="AL175" s="3327"/>
      <c r="AM175" s="3327"/>
      <c r="AN175" s="3327"/>
      <c r="AO175" s="3327"/>
      <c r="AP175" s="3327"/>
      <c r="AQ175" s="3327"/>
      <c r="AR175" s="3327"/>
      <c r="AS175" s="3327"/>
      <c r="AT175" s="3337"/>
      <c r="AU175" s="3338"/>
      <c r="AV175" s="1410">
        <f t="shared" si="91"/>
        <v>0</v>
      </c>
      <c r="AW175" s="1410">
        <f t="shared" si="92"/>
        <v>0</v>
      </c>
      <c r="AX175" s="1410">
        <f t="shared" si="93"/>
        <v>0</v>
      </c>
      <c r="AY175" s="3352">
        <f t="shared" si="97"/>
        <v>0</v>
      </c>
      <c r="AZ175" s="3307">
        <f t="shared" si="98"/>
        <v>0</v>
      </c>
      <c r="BA175" s="3307">
        <f t="shared" si="99"/>
        <v>0</v>
      </c>
      <c r="BB175" s="3307">
        <f t="shared" si="100"/>
        <v>0</v>
      </c>
      <c r="BC175" s="3307">
        <f t="shared" si="101"/>
        <v>0</v>
      </c>
      <c r="BD175" s="3307">
        <f t="shared" si="102"/>
        <v>0</v>
      </c>
      <c r="BE175" s="3307">
        <f t="shared" si="103"/>
        <v>0</v>
      </c>
      <c r="BF175" s="3307">
        <f t="shared" si="104"/>
        <v>0</v>
      </c>
      <c r="BG175" s="3307">
        <f t="shared" si="105"/>
        <v>0</v>
      </c>
      <c r="BH175" s="3307">
        <f t="shared" si="106"/>
        <v>0</v>
      </c>
      <c r="BI175" s="3307">
        <f t="shared" si="107"/>
        <v>0</v>
      </c>
      <c r="BJ175" s="3307">
        <f t="shared" si="108"/>
        <v>0</v>
      </c>
      <c r="BK175" s="3307">
        <f t="shared" si="109"/>
        <v>0</v>
      </c>
      <c r="BL175" s="3307">
        <f t="shared" si="110"/>
        <v>0</v>
      </c>
      <c r="BM175" s="3307">
        <f t="shared" si="111"/>
        <v>0</v>
      </c>
      <c r="BN175" s="3307">
        <f t="shared" si="112"/>
        <v>0</v>
      </c>
      <c r="BO175" s="3307">
        <f t="shared" si="113"/>
        <v>0</v>
      </c>
      <c r="BP175" s="3307">
        <f t="shared" si="114"/>
        <v>0</v>
      </c>
      <c r="BQ175" s="3307">
        <f t="shared" si="115"/>
        <v>0</v>
      </c>
      <c r="BR175" s="3307">
        <f t="shared" si="116"/>
        <v>0</v>
      </c>
      <c r="BS175" s="3307">
        <f t="shared" si="117"/>
        <v>0</v>
      </c>
      <c r="BT175" s="3359">
        <f t="shared" si="118"/>
        <v>0</v>
      </c>
    </row>
    <row r="176" spans="1:72">
      <c r="A176" s="3304"/>
      <c r="B176" s="3305"/>
      <c r="C176" s="3305"/>
      <c r="D176" s="3306"/>
      <c r="E176" s="3307">
        <f t="shared" si="90"/>
        <v>0</v>
      </c>
      <c r="F176" s="3308"/>
      <c r="G176" s="3309">
        <f t="shared" si="94"/>
        <v>0</v>
      </c>
      <c r="H176" s="3310">
        <f t="shared" si="95"/>
        <v>0</v>
      </c>
      <c r="I176" s="3317"/>
      <c r="J176" s="3317"/>
      <c r="K176" s="3317"/>
      <c r="L176" s="3317"/>
      <c r="M176" s="3317"/>
      <c r="N176" s="3317"/>
      <c r="O176" s="3317"/>
      <c r="P176" s="3317"/>
      <c r="Q176" s="3317"/>
      <c r="R176" s="3317"/>
      <c r="S176" s="3317"/>
      <c r="T176" s="3317"/>
      <c r="U176" s="3317"/>
      <c r="V176" s="3317"/>
      <c r="W176" s="3317"/>
      <c r="X176" s="3317"/>
      <c r="Y176" s="3317"/>
      <c r="Z176" s="3317"/>
      <c r="AA176" s="3317"/>
      <c r="AB176" s="3317"/>
      <c r="AC176" s="3307">
        <f t="shared" si="96"/>
        <v>0</v>
      </c>
      <c r="AD176" s="3327"/>
      <c r="AE176" s="3327"/>
      <c r="AF176" s="3327"/>
      <c r="AG176" s="3327"/>
      <c r="AH176" s="3327"/>
      <c r="AI176" s="3327"/>
      <c r="AJ176" s="3327"/>
      <c r="AK176" s="3327"/>
      <c r="AL176" s="3327"/>
      <c r="AM176" s="3327"/>
      <c r="AN176" s="3327"/>
      <c r="AO176" s="3327"/>
      <c r="AP176" s="3327"/>
      <c r="AQ176" s="3327"/>
      <c r="AR176" s="3327"/>
      <c r="AS176" s="3327"/>
      <c r="AT176" s="3337"/>
      <c r="AU176" s="3338"/>
      <c r="AV176" s="1410">
        <f t="shared" si="91"/>
        <v>0</v>
      </c>
      <c r="AW176" s="1410">
        <f t="shared" si="92"/>
        <v>0</v>
      </c>
      <c r="AX176" s="1410">
        <f t="shared" si="93"/>
        <v>0</v>
      </c>
      <c r="AY176" s="3352">
        <f t="shared" si="97"/>
        <v>0</v>
      </c>
      <c r="AZ176" s="3307">
        <f t="shared" si="98"/>
        <v>0</v>
      </c>
      <c r="BA176" s="3307">
        <f t="shared" si="99"/>
        <v>0</v>
      </c>
      <c r="BB176" s="3307">
        <f t="shared" si="100"/>
        <v>0</v>
      </c>
      <c r="BC176" s="3307">
        <f t="shared" si="101"/>
        <v>0</v>
      </c>
      <c r="BD176" s="3307">
        <f t="shared" si="102"/>
        <v>0</v>
      </c>
      <c r="BE176" s="3307">
        <f t="shared" si="103"/>
        <v>0</v>
      </c>
      <c r="BF176" s="3307">
        <f t="shared" si="104"/>
        <v>0</v>
      </c>
      <c r="BG176" s="3307">
        <f t="shared" si="105"/>
        <v>0</v>
      </c>
      <c r="BH176" s="3307">
        <f t="shared" si="106"/>
        <v>0</v>
      </c>
      <c r="BI176" s="3307">
        <f t="shared" si="107"/>
        <v>0</v>
      </c>
      <c r="BJ176" s="3307">
        <f t="shared" si="108"/>
        <v>0</v>
      </c>
      <c r="BK176" s="3307">
        <f t="shared" si="109"/>
        <v>0</v>
      </c>
      <c r="BL176" s="3307">
        <f t="shared" si="110"/>
        <v>0</v>
      </c>
      <c r="BM176" s="3307">
        <f t="shared" si="111"/>
        <v>0</v>
      </c>
      <c r="BN176" s="3307">
        <f t="shared" si="112"/>
        <v>0</v>
      </c>
      <c r="BO176" s="3307">
        <f t="shared" si="113"/>
        <v>0</v>
      </c>
      <c r="BP176" s="3307">
        <f t="shared" si="114"/>
        <v>0</v>
      </c>
      <c r="BQ176" s="3307">
        <f t="shared" si="115"/>
        <v>0</v>
      </c>
      <c r="BR176" s="3307">
        <f t="shared" si="116"/>
        <v>0</v>
      </c>
      <c r="BS176" s="3307">
        <f t="shared" si="117"/>
        <v>0</v>
      </c>
      <c r="BT176" s="3359">
        <f t="shared" si="118"/>
        <v>0</v>
      </c>
    </row>
    <row r="177" spans="1:72">
      <c r="A177" s="3304"/>
      <c r="B177" s="3305"/>
      <c r="C177" s="3305"/>
      <c r="D177" s="3306"/>
      <c r="E177" s="3307">
        <f t="shared" ref="E177:E207" si="119">IF($C$3="是",ROUND($A$3*G177/$B$3,2),ROUND($A$3*(G177-AT177)/$B$3,2))</f>
        <v>0</v>
      </c>
      <c r="F177" s="3308"/>
      <c r="G177" s="3309">
        <f t="shared" si="94"/>
        <v>0</v>
      </c>
      <c r="H177" s="3310">
        <f t="shared" si="95"/>
        <v>0</v>
      </c>
      <c r="I177" s="3317"/>
      <c r="J177" s="3317"/>
      <c r="K177" s="3317"/>
      <c r="L177" s="3317"/>
      <c r="M177" s="3317"/>
      <c r="N177" s="3317"/>
      <c r="O177" s="3317"/>
      <c r="P177" s="3317"/>
      <c r="Q177" s="3317"/>
      <c r="R177" s="3317"/>
      <c r="S177" s="3317"/>
      <c r="T177" s="3317"/>
      <c r="U177" s="3317"/>
      <c r="V177" s="3317"/>
      <c r="W177" s="3317"/>
      <c r="X177" s="3317"/>
      <c r="Y177" s="3317"/>
      <c r="Z177" s="3317"/>
      <c r="AA177" s="3317"/>
      <c r="AB177" s="3317"/>
      <c r="AC177" s="3307">
        <f t="shared" si="96"/>
        <v>0</v>
      </c>
      <c r="AD177" s="3327"/>
      <c r="AE177" s="3327"/>
      <c r="AF177" s="3327"/>
      <c r="AG177" s="3327"/>
      <c r="AH177" s="3327"/>
      <c r="AI177" s="3327"/>
      <c r="AJ177" s="3327"/>
      <c r="AK177" s="3327"/>
      <c r="AL177" s="3327"/>
      <c r="AM177" s="3327"/>
      <c r="AN177" s="3327"/>
      <c r="AO177" s="3327"/>
      <c r="AP177" s="3327"/>
      <c r="AQ177" s="3327"/>
      <c r="AR177" s="3327"/>
      <c r="AS177" s="3327"/>
      <c r="AT177" s="3337"/>
      <c r="AU177" s="3338"/>
      <c r="AV177" s="1410">
        <f t="shared" ref="AV177:AV207" si="120">A177</f>
        <v>0</v>
      </c>
      <c r="AW177" s="1410">
        <f t="shared" ref="AW177:AW207" si="121">B177</f>
        <v>0</v>
      </c>
      <c r="AX177" s="1410">
        <f t="shared" ref="AX177:AX207" si="122">C177</f>
        <v>0</v>
      </c>
      <c r="AY177" s="3352">
        <f t="shared" si="97"/>
        <v>0</v>
      </c>
      <c r="AZ177" s="3307">
        <f t="shared" si="98"/>
        <v>0</v>
      </c>
      <c r="BA177" s="3307">
        <f t="shared" si="99"/>
        <v>0</v>
      </c>
      <c r="BB177" s="3307">
        <f t="shared" si="100"/>
        <v>0</v>
      </c>
      <c r="BC177" s="3307">
        <f t="shared" si="101"/>
        <v>0</v>
      </c>
      <c r="BD177" s="3307">
        <f t="shared" si="102"/>
        <v>0</v>
      </c>
      <c r="BE177" s="3307">
        <f t="shared" si="103"/>
        <v>0</v>
      </c>
      <c r="BF177" s="3307">
        <f t="shared" si="104"/>
        <v>0</v>
      </c>
      <c r="BG177" s="3307">
        <f t="shared" si="105"/>
        <v>0</v>
      </c>
      <c r="BH177" s="3307">
        <f t="shared" si="106"/>
        <v>0</v>
      </c>
      <c r="BI177" s="3307">
        <f t="shared" si="107"/>
        <v>0</v>
      </c>
      <c r="BJ177" s="3307">
        <f t="shared" si="108"/>
        <v>0</v>
      </c>
      <c r="BK177" s="3307">
        <f t="shared" si="109"/>
        <v>0</v>
      </c>
      <c r="BL177" s="3307">
        <f t="shared" si="110"/>
        <v>0</v>
      </c>
      <c r="BM177" s="3307">
        <f t="shared" si="111"/>
        <v>0</v>
      </c>
      <c r="BN177" s="3307">
        <f t="shared" si="112"/>
        <v>0</v>
      </c>
      <c r="BO177" s="3307">
        <f t="shared" si="113"/>
        <v>0</v>
      </c>
      <c r="BP177" s="3307">
        <f t="shared" si="114"/>
        <v>0</v>
      </c>
      <c r="BQ177" s="3307">
        <f t="shared" si="115"/>
        <v>0</v>
      </c>
      <c r="BR177" s="3307">
        <f t="shared" si="116"/>
        <v>0</v>
      </c>
      <c r="BS177" s="3307">
        <f t="shared" si="117"/>
        <v>0</v>
      </c>
      <c r="BT177" s="3359">
        <f t="shared" si="118"/>
        <v>0</v>
      </c>
    </row>
    <row r="178" spans="1:72">
      <c r="A178" s="3304"/>
      <c r="B178" s="3305"/>
      <c r="C178" s="3305"/>
      <c r="D178" s="3306"/>
      <c r="E178" s="3307">
        <f t="shared" si="119"/>
        <v>0</v>
      </c>
      <c r="F178" s="3308"/>
      <c r="G178" s="3309">
        <f t="shared" si="94"/>
        <v>0</v>
      </c>
      <c r="H178" s="3310">
        <f t="shared" si="95"/>
        <v>0</v>
      </c>
      <c r="I178" s="3317"/>
      <c r="J178" s="3317"/>
      <c r="K178" s="3317"/>
      <c r="L178" s="3317"/>
      <c r="M178" s="3317"/>
      <c r="N178" s="3317"/>
      <c r="O178" s="3317"/>
      <c r="P178" s="3317"/>
      <c r="Q178" s="3317"/>
      <c r="R178" s="3317"/>
      <c r="S178" s="3317"/>
      <c r="T178" s="3317"/>
      <c r="U178" s="3317"/>
      <c r="V178" s="3317"/>
      <c r="W178" s="3317"/>
      <c r="X178" s="3317"/>
      <c r="Y178" s="3317"/>
      <c r="Z178" s="3317"/>
      <c r="AA178" s="3317"/>
      <c r="AB178" s="3317"/>
      <c r="AC178" s="3307">
        <f t="shared" si="96"/>
        <v>0</v>
      </c>
      <c r="AD178" s="3327"/>
      <c r="AE178" s="3327"/>
      <c r="AF178" s="3327"/>
      <c r="AG178" s="3327"/>
      <c r="AH178" s="3327"/>
      <c r="AI178" s="3327"/>
      <c r="AJ178" s="3327"/>
      <c r="AK178" s="3327"/>
      <c r="AL178" s="3327"/>
      <c r="AM178" s="3327"/>
      <c r="AN178" s="3327"/>
      <c r="AO178" s="3327"/>
      <c r="AP178" s="3327"/>
      <c r="AQ178" s="3327"/>
      <c r="AR178" s="3327"/>
      <c r="AS178" s="3327"/>
      <c r="AT178" s="3337"/>
      <c r="AU178" s="3338"/>
      <c r="AV178" s="1410">
        <f t="shared" si="120"/>
        <v>0</v>
      </c>
      <c r="AW178" s="1410">
        <f t="shared" si="121"/>
        <v>0</v>
      </c>
      <c r="AX178" s="1410">
        <f t="shared" si="122"/>
        <v>0</v>
      </c>
      <c r="AY178" s="3352">
        <f t="shared" si="97"/>
        <v>0</v>
      </c>
      <c r="AZ178" s="3307">
        <f t="shared" si="98"/>
        <v>0</v>
      </c>
      <c r="BA178" s="3307">
        <f t="shared" si="99"/>
        <v>0</v>
      </c>
      <c r="BB178" s="3307">
        <f t="shared" si="100"/>
        <v>0</v>
      </c>
      <c r="BC178" s="3307">
        <f t="shared" si="101"/>
        <v>0</v>
      </c>
      <c r="BD178" s="3307">
        <f t="shared" si="102"/>
        <v>0</v>
      </c>
      <c r="BE178" s="3307">
        <f t="shared" si="103"/>
        <v>0</v>
      </c>
      <c r="BF178" s="3307">
        <f t="shared" si="104"/>
        <v>0</v>
      </c>
      <c r="BG178" s="3307">
        <f t="shared" si="105"/>
        <v>0</v>
      </c>
      <c r="BH178" s="3307">
        <f t="shared" si="106"/>
        <v>0</v>
      </c>
      <c r="BI178" s="3307">
        <f t="shared" si="107"/>
        <v>0</v>
      </c>
      <c r="BJ178" s="3307">
        <f t="shared" si="108"/>
        <v>0</v>
      </c>
      <c r="BK178" s="3307">
        <f t="shared" si="109"/>
        <v>0</v>
      </c>
      <c r="BL178" s="3307">
        <f t="shared" si="110"/>
        <v>0</v>
      </c>
      <c r="BM178" s="3307">
        <f t="shared" si="111"/>
        <v>0</v>
      </c>
      <c r="BN178" s="3307">
        <f t="shared" si="112"/>
        <v>0</v>
      </c>
      <c r="BO178" s="3307">
        <f t="shared" si="113"/>
        <v>0</v>
      </c>
      <c r="BP178" s="3307">
        <f t="shared" si="114"/>
        <v>0</v>
      </c>
      <c r="BQ178" s="3307">
        <f t="shared" si="115"/>
        <v>0</v>
      </c>
      <c r="BR178" s="3307">
        <f t="shared" si="116"/>
        <v>0</v>
      </c>
      <c r="BS178" s="3307">
        <f t="shared" si="117"/>
        <v>0</v>
      </c>
      <c r="BT178" s="3359">
        <f t="shared" si="118"/>
        <v>0</v>
      </c>
    </row>
    <row r="179" spans="1:72">
      <c r="A179" s="3304"/>
      <c r="B179" s="3305"/>
      <c r="C179" s="3305"/>
      <c r="D179" s="3306"/>
      <c r="E179" s="3307">
        <f t="shared" si="119"/>
        <v>0</v>
      </c>
      <c r="F179" s="3308"/>
      <c r="G179" s="3309">
        <f t="shared" si="94"/>
        <v>0</v>
      </c>
      <c r="H179" s="3310">
        <f t="shared" si="95"/>
        <v>0</v>
      </c>
      <c r="I179" s="3317"/>
      <c r="J179" s="3317"/>
      <c r="K179" s="3317"/>
      <c r="L179" s="3317"/>
      <c r="M179" s="3317"/>
      <c r="N179" s="3317"/>
      <c r="O179" s="3317"/>
      <c r="P179" s="3317"/>
      <c r="Q179" s="3317"/>
      <c r="R179" s="3317"/>
      <c r="S179" s="3317"/>
      <c r="T179" s="3317"/>
      <c r="U179" s="3317"/>
      <c r="V179" s="3317"/>
      <c r="W179" s="3317"/>
      <c r="X179" s="3317"/>
      <c r="Y179" s="3317"/>
      <c r="Z179" s="3317"/>
      <c r="AA179" s="3317"/>
      <c r="AB179" s="3317"/>
      <c r="AC179" s="3307">
        <f t="shared" si="96"/>
        <v>0</v>
      </c>
      <c r="AD179" s="3327"/>
      <c r="AE179" s="3327"/>
      <c r="AF179" s="3327"/>
      <c r="AG179" s="3327"/>
      <c r="AH179" s="3327"/>
      <c r="AI179" s="3327"/>
      <c r="AJ179" s="3327"/>
      <c r="AK179" s="3327"/>
      <c r="AL179" s="3327"/>
      <c r="AM179" s="3327"/>
      <c r="AN179" s="3327"/>
      <c r="AO179" s="3327"/>
      <c r="AP179" s="3327"/>
      <c r="AQ179" s="3327"/>
      <c r="AR179" s="3327"/>
      <c r="AS179" s="3327"/>
      <c r="AT179" s="3337"/>
      <c r="AU179" s="3338"/>
      <c r="AV179" s="1410">
        <f t="shared" si="120"/>
        <v>0</v>
      </c>
      <c r="AW179" s="1410">
        <f t="shared" si="121"/>
        <v>0</v>
      </c>
      <c r="AX179" s="1410">
        <f t="shared" si="122"/>
        <v>0</v>
      </c>
      <c r="AY179" s="3352">
        <f t="shared" si="97"/>
        <v>0</v>
      </c>
      <c r="AZ179" s="3307">
        <f t="shared" si="98"/>
        <v>0</v>
      </c>
      <c r="BA179" s="3307">
        <f t="shared" si="99"/>
        <v>0</v>
      </c>
      <c r="BB179" s="3307">
        <f t="shared" si="100"/>
        <v>0</v>
      </c>
      <c r="BC179" s="3307">
        <f t="shared" si="101"/>
        <v>0</v>
      </c>
      <c r="BD179" s="3307">
        <f t="shared" si="102"/>
        <v>0</v>
      </c>
      <c r="BE179" s="3307">
        <f t="shared" si="103"/>
        <v>0</v>
      </c>
      <c r="BF179" s="3307">
        <f t="shared" si="104"/>
        <v>0</v>
      </c>
      <c r="BG179" s="3307">
        <f t="shared" si="105"/>
        <v>0</v>
      </c>
      <c r="BH179" s="3307">
        <f t="shared" si="106"/>
        <v>0</v>
      </c>
      <c r="BI179" s="3307">
        <f t="shared" si="107"/>
        <v>0</v>
      </c>
      <c r="BJ179" s="3307">
        <f t="shared" si="108"/>
        <v>0</v>
      </c>
      <c r="BK179" s="3307">
        <f t="shared" si="109"/>
        <v>0</v>
      </c>
      <c r="BL179" s="3307">
        <f t="shared" si="110"/>
        <v>0</v>
      </c>
      <c r="BM179" s="3307">
        <f t="shared" si="111"/>
        <v>0</v>
      </c>
      <c r="BN179" s="3307">
        <f t="shared" si="112"/>
        <v>0</v>
      </c>
      <c r="BO179" s="3307">
        <f t="shared" si="113"/>
        <v>0</v>
      </c>
      <c r="BP179" s="3307">
        <f t="shared" si="114"/>
        <v>0</v>
      </c>
      <c r="BQ179" s="3307">
        <f t="shared" si="115"/>
        <v>0</v>
      </c>
      <c r="BR179" s="3307">
        <f t="shared" si="116"/>
        <v>0</v>
      </c>
      <c r="BS179" s="3307">
        <f t="shared" si="117"/>
        <v>0</v>
      </c>
      <c r="BT179" s="3359">
        <f t="shared" si="118"/>
        <v>0</v>
      </c>
    </row>
    <row r="180" spans="1:72">
      <c r="A180" s="3304"/>
      <c r="B180" s="3305"/>
      <c r="C180" s="3305"/>
      <c r="D180" s="3306"/>
      <c r="E180" s="3307">
        <f t="shared" si="119"/>
        <v>0</v>
      </c>
      <c r="F180" s="3308"/>
      <c r="G180" s="3309">
        <f t="shared" si="94"/>
        <v>0</v>
      </c>
      <c r="H180" s="3310">
        <f t="shared" si="95"/>
        <v>0</v>
      </c>
      <c r="I180" s="3317"/>
      <c r="J180" s="3317"/>
      <c r="K180" s="3317"/>
      <c r="L180" s="3317"/>
      <c r="M180" s="3317"/>
      <c r="N180" s="3317"/>
      <c r="O180" s="3317"/>
      <c r="P180" s="3317"/>
      <c r="Q180" s="3317"/>
      <c r="R180" s="3317"/>
      <c r="S180" s="3317"/>
      <c r="T180" s="3317"/>
      <c r="U180" s="3317"/>
      <c r="V180" s="3317"/>
      <c r="W180" s="3317"/>
      <c r="X180" s="3317"/>
      <c r="Y180" s="3317"/>
      <c r="Z180" s="3317"/>
      <c r="AA180" s="3317"/>
      <c r="AB180" s="3317"/>
      <c r="AC180" s="3307">
        <f t="shared" si="96"/>
        <v>0</v>
      </c>
      <c r="AD180" s="3327"/>
      <c r="AE180" s="3327"/>
      <c r="AF180" s="3327"/>
      <c r="AG180" s="3327"/>
      <c r="AH180" s="3327"/>
      <c r="AI180" s="3327"/>
      <c r="AJ180" s="3327"/>
      <c r="AK180" s="3327"/>
      <c r="AL180" s="3327"/>
      <c r="AM180" s="3327"/>
      <c r="AN180" s="3327"/>
      <c r="AO180" s="3327"/>
      <c r="AP180" s="3327"/>
      <c r="AQ180" s="3327"/>
      <c r="AR180" s="3327"/>
      <c r="AS180" s="3327"/>
      <c r="AT180" s="3337"/>
      <c r="AU180" s="3338"/>
      <c r="AV180" s="1410">
        <f t="shared" si="120"/>
        <v>0</v>
      </c>
      <c r="AW180" s="1410">
        <f t="shared" si="121"/>
        <v>0</v>
      </c>
      <c r="AX180" s="1410">
        <f t="shared" si="122"/>
        <v>0</v>
      </c>
      <c r="AY180" s="3352">
        <f t="shared" si="97"/>
        <v>0</v>
      </c>
      <c r="AZ180" s="3307">
        <f t="shared" si="98"/>
        <v>0</v>
      </c>
      <c r="BA180" s="3307">
        <f t="shared" si="99"/>
        <v>0</v>
      </c>
      <c r="BB180" s="3307">
        <f t="shared" si="100"/>
        <v>0</v>
      </c>
      <c r="BC180" s="3307">
        <f t="shared" si="101"/>
        <v>0</v>
      </c>
      <c r="BD180" s="3307">
        <f t="shared" si="102"/>
        <v>0</v>
      </c>
      <c r="BE180" s="3307">
        <f t="shared" si="103"/>
        <v>0</v>
      </c>
      <c r="BF180" s="3307">
        <f t="shared" si="104"/>
        <v>0</v>
      </c>
      <c r="BG180" s="3307">
        <f t="shared" si="105"/>
        <v>0</v>
      </c>
      <c r="BH180" s="3307">
        <f t="shared" si="106"/>
        <v>0</v>
      </c>
      <c r="BI180" s="3307">
        <f t="shared" si="107"/>
        <v>0</v>
      </c>
      <c r="BJ180" s="3307">
        <f t="shared" si="108"/>
        <v>0</v>
      </c>
      <c r="BK180" s="3307">
        <f t="shared" si="109"/>
        <v>0</v>
      </c>
      <c r="BL180" s="3307">
        <f t="shared" si="110"/>
        <v>0</v>
      </c>
      <c r="BM180" s="3307">
        <f t="shared" si="111"/>
        <v>0</v>
      </c>
      <c r="BN180" s="3307">
        <f t="shared" si="112"/>
        <v>0</v>
      </c>
      <c r="BO180" s="3307">
        <f t="shared" si="113"/>
        <v>0</v>
      </c>
      <c r="BP180" s="3307">
        <f t="shared" si="114"/>
        <v>0</v>
      </c>
      <c r="BQ180" s="3307">
        <f t="shared" si="115"/>
        <v>0</v>
      </c>
      <c r="BR180" s="3307">
        <f t="shared" si="116"/>
        <v>0</v>
      </c>
      <c r="BS180" s="3307">
        <f t="shared" si="117"/>
        <v>0</v>
      </c>
      <c r="BT180" s="3359">
        <f t="shared" si="118"/>
        <v>0</v>
      </c>
    </row>
    <row r="181" spans="1:72">
      <c r="A181" s="3304"/>
      <c r="B181" s="3305"/>
      <c r="C181" s="3305"/>
      <c r="D181" s="3306"/>
      <c r="E181" s="3307">
        <f t="shared" si="119"/>
        <v>0</v>
      </c>
      <c r="F181" s="3308"/>
      <c r="G181" s="3309">
        <f t="shared" si="94"/>
        <v>0</v>
      </c>
      <c r="H181" s="3310">
        <f t="shared" si="95"/>
        <v>0</v>
      </c>
      <c r="I181" s="3317"/>
      <c r="J181" s="3317"/>
      <c r="K181" s="3317"/>
      <c r="L181" s="3317"/>
      <c r="M181" s="3317"/>
      <c r="N181" s="3317"/>
      <c r="O181" s="3317"/>
      <c r="P181" s="3317"/>
      <c r="Q181" s="3317"/>
      <c r="R181" s="3317"/>
      <c r="S181" s="3317"/>
      <c r="T181" s="3317"/>
      <c r="U181" s="3317"/>
      <c r="V181" s="3317"/>
      <c r="W181" s="3317"/>
      <c r="X181" s="3317"/>
      <c r="Y181" s="3317"/>
      <c r="Z181" s="3317"/>
      <c r="AA181" s="3317"/>
      <c r="AB181" s="3317"/>
      <c r="AC181" s="3307">
        <f t="shared" si="96"/>
        <v>0</v>
      </c>
      <c r="AD181" s="3327"/>
      <c r="AE181" s="3327"/>
      <c r="AF181" s="3327"/>
      <c r="AG181" s="3327"/>
      <c r="AH181" s="3327"/>
      <c r="AI181" s="3327"/>
      <c r="AJ181" s="3327"/>
      <c r="AK181" s="3327"/>
      <c r="AL181" s="3327"/>
      <c r="AM181" s="3327"/>
      <c r="AN181" s="3327"/>
      <c r="AO181" s="3327"/>
      <c r="AP181" s="3327"/>
      <c r="AQ181" s="3327"/>
      <c r="AR181" s="3327"/>
      <c r="AS181" s="3327"/>
      <c r="AT181" s="3337"/>
      <c r="AU181" s="3338"/>
      <c r="AV181" s="1410">
        <f t="shared" si="120"/>
        <v>0</v>
      </c>
      <c r="AW181" s="1410">
        <f t="shared" si="121"/>
        <v>0</v>
      </c>
      <c r="AX181" s="1410">
        <f t="shared" si="122"/>
        <v>0</v>
      </c>
      <c r="AY181" s="3352">
        <f t="shared" si="97"/>
        <v>0</v>
      </c>
      <c r="AZ181" s="3307">
        <f t="shared" si="98"/>
        <v>0</v>
      </c>
      <c r="BA181" s="3307">
        <f t="shared" si="99"/>
        <v>0</v>
      </c>
      <c r="BB181" s="3307">
        <f t="shared" si="100"/>
        <v>0</v>
      </c>
      <c r="BC181" s="3307">
        <f t="shared" si="101"/>
        <v>0</v>
      </c>
      <c r="BD181" s="3307">
        <f t="shared" si="102"/>
        <v>0</v>
      </c>
      <c r="BE181" s="3307">
        <f t="shared" si="103"/>
        <v>0</v>
      </c>
      <c r="BF181" s="3307">
        <f t="shared" si="104"/>
        <v>0</v>
      </c>
      <c r="BG181" s="3307">
        <f t="shared" si="105"/>
        <v>0</v>
      </c>
      <c r="BH181" s="3307">
        <f t="shared" si="106"/>
        <v>0</v>
      </c>
      <c r="BI181" s="3307">
        <f t="shared" si="107"/>
        <v>0</v>
      </c>
      <c r="BJ181" s="3307">
        <f t="shared" si="108"/>
        <v>0</v>
      </c>
      <c r="BK181" s="3307">
        <f t="shared" si="109"/>
        <v>0</v>
      </c>
      <c r="BL181" s="3307">
        <f t="shared" si="110"/>
        <v>0</v>
      </c>
      <c r="BM181" s="3307">
        <f t="shared" si="111"/>
        <v>0</v>
      </c>
      <c r="BN181" s="3307">
        <f t="shared" si="112"/>
        <v>0</v>
      </c>
      <c r="BO181" s="3307">
        <f t="shared" si="113"/>
        <v>0</v>
      </c>
      <c r="BP181" s="3307">
        <f t="shared" si="114"/>
        <v>0</v>
      </c>
      <c r="BQ181" s="3307">
        <f t="shared" si="115"/>
        <v>0</v>
      </c>
      <c r="BR181" s="3307">
        <f t="shared" si="116"/>
        <v>0</v>
      </c>
      <c r="BS181" s="3307">
        <f t="shared" si="117"/>
        <v>0</v>
      </c>
      <c r="BT181" s="3359">
        <f t="shared" si="118"/>
        <v>0</v>
      </c>
    </row>
    <row r="182" spans="1:72">
      <c r="A182" s="3304"/>
      <c r="B182" s="3305"/>
      <c r="C182" s="3305"/>
      <c r="D182" s="3306"/>
      <c r="E182" s="3307">
        <f t="shared" si="119"/>
        <v>0</v>
      </c>
      <c r="F182" s="3308"/>
      <c r="G182" s="3309">
        <f t="shared" si="94"/>
        <v>0</v>
      </c>
      <c r="H182" s="3310">
        <f t="shared" si="95"/>
        <v>0</v>
      </c>
      <c r="I182" s="3317"/>
      <c r="J182" s="3317"/>
      <c r="K182" s="3317"/>
      <c r="L182" s="3317"/>
      <c r="M182" s="3317"/>
      <c r="N182" s="3317"/>
      <c r="O182" s="3317"/>
      <c r="P182" s="3317"/>
      <c r="Q182" s="3317"/>
      <c r="R182" s="3317"/>
      <c r="S182" s="3317"/>
      <c r="T182" s="3317"/>
      <c r="U182" s="3317"/>
      <c r="V182" s="3317"/>
      <c r="W182" s="3317"/>
      <c r="X182" s="3317"/>
      <c r="Y182" s="3317"/>
      <c r="Z182" s="3317"/>
      <c r="AA182" s="3317"/>
      <c r="AB182" s="3317"/>
      <c r="AC182" s="3307">
        <f t="shared" si="96"/>
        <v>0</v>
      </c>
      <c r="AD182" s="3327"/>
      <c r="AE182" s="3327"/>
      <c r="AF182" s="3327"/>
      <c r="AG182" s="3327"/>
      <c r="AH182" s="3327"/>
      <c r="AI182" s="3327"/>
      <c r="AJ182" s="3327"/>
      <c r="AK182" s="3327"/>
      <c r="AL182" s="3327"/>
      <c r="AM182" s="3327"/>
      <c r="AN182" s="3327"/>
      <c r="AO182" s="3327"/>
      <c r="AP182" s="3327"/>
      <c r="AQ182" s="3327"/>
      <c r="AR182" s="3327"/>
      <c r="AS182" s="3327"/>
      <c r="AT182" s="3337"/>
      <c r="AU182" s="3338"/>
      <c r="AV182" s="1410">
        <f t="shared" si="120"/>
        <v>0</v>
      </c>
      <c r="AW182" s="1410">
        <f t="shared" si="121"/>
        <v>0</v>
      </c>
      <c r="AX182" s="1410">
        <f t="shared" si="122"/>
        <v>0</v>
      </c>
      <c r="AY182" s="3352">
        <f t="shared" si="97"/>
        <v>0</v>
      </c>
      <c r="AZ182" s="3307">
        <f t="shared" si="98"/>
        <v>0</v>
      </c>
      <c r="BA182" s="3307">
        <f t="shared" si="99"/>
        <v>0</v>
      </c>
      <c r="BB182" s="3307">
        <f t="shared" si="100"/>
        <v>0</v>
      </c>
      <c r="BC182" s="3307">
        <f t="shared" si="101"/>
        <v>0</v>
      </c>
      <c r="BD182" s="3307">
        <f t="shared" si="102"/>
        <v>0</v>
      </c>
      <c r="BE182" s="3307">
        <f t="shared" si="103"/>
        <v>0</v>
      </c>
      <c r="BF182" s="3307">
        <f t="shared" si="104"/>
        <v>0</v>
      </c>
      <c r="BG182" s="3307">
        <f t="shared" si="105"/>
        <v>0</v>
      </c>
      <c r="BH182" s="3307">
        <f t="shared" si="106"/>
        <v>0</v>
      </c>
      <c r="BI182" s="3307">
        <f t="shared" si="107"/>
        <v>0</v>
      </c>
      <c r="BJ182" s="3307">
        <f t="shared" si="108"/>
        <v>0</v>
      </c>
      <c r="BK182" s="3307">
        <f t="shared" si="109"/>
        <v>0</v>
      </c>
      <c r="BL182" s="3307">
        <f t="shared" si="110"/>
        <v>0</v>
      </c>
      <c r="BM182" s="3307">
        <f t="shared" si="111"/>
        <v>0</v>
      </c>
      <c r="BN182" s="3307">
        <f t="shared" si="112"/>
        <v>0</v>
      </c>
      <c r="BO182" s="3307">
        <f t="shared" si="113"/>
        <v>0</v>
      </c>
      <c r="BP182" s="3307">
        <f t="shared" si="114"/>
        <v>0</v>
      </c>
      <c r="BQ182" s="3307">
        <f t="shared" si="115"/>
        <v>0</v>
      </c>
      <c r="BR182" s="3307">
        <f t="shared" si="116"/>
        <v>0</v>
      </c>
      <c r="BS182" s="3307">
        <f t="shared" si="117"/>
        <v>0</v>
      </c>
      <c r="BT182" s="3359">
        <f t="shared" si="118"/>
        <v>0</v>
      </c>
    </row>
    <row r="183" spans="1:72">
      <c r="A183" s="3304"/>
      <c r="B183" s="3305"/>
      <c r="C183" s="3305"/>
      <c r="D183" s="3306"/>
      <c r="E183" s="3307">
        <f t="shared" si="119"/>
        <v>0</v>
      </c>
      <c r="F183" s="3308"/>
      <c r="G183" s="3309">
        <f t="shared" si="94"/>
        <v>0</v>
      </c>
      <c r="H183" s="3310">
        <f t="shared" si="95"/>
        <v>0</v>
      </c>
      <c r="I183" s="3317"/>
      <c r="J183" s="3317"/>
      <c r="K183" s="3317"/>
      <c r="L183" s="3317"/>
      <c r="M183" s="3317"/>
      <c r="N183" s="3317"/>
      <c r="O183" s="3317"/>
      <c r="P183" s="3317"/>
      <c r="Q183" s="3317"/>
      <c r="R183" s="3317"/>
      <c r="S183" s="3317"/>
      <c r="T183" s="3317"/>
      <c r="U183" s="3317"/>
      <c r="V183" s="3317"/>
      <c r="W183" s="3317"/>
      <c r="X183" s="3317"/>
      <c r="Y183" s="3317"/>
      <c r="Z183" s="3317"/>
      <c r="AA183" s="3317"/>
      <c r="AB183" s="3317"/>
      <c r="AC183" s="3307">
        <f t="shared" si="96"/>
        <v>0</v>
      </c>
      <c r="AD183" s="3327"/>
      <c r="AE183" s="3327"/>
      <c r="AF183" s="3327"/>
      <c r="AG183" s="3327"/>
      <c r="AH183" s="3327"/>
      <c r="AI183" s="3327"/>
      <c r="AJ183" s="3327"/>
      <c r="AK183" s="3327"/>
      <c r="AL183" s="3327"/>
      <c r="AM183" s="3327"/>
      <c r="AN183" s="3327"/>
      <c r="AO183" s="3327"/>
      <c r="AP183" s="3327"/>
      <c r="AQ183" s="3327"/>
      <c r="AR183" s="3327"/>
      <c r="AS183" s="3327"/>
      <c r="AT183" s="3337"/>
      <c r="AU183" s="3338"/>
      <c r="AV183" s="1410">
        <f t="shared" si="120"/>
        <v>0</v>
      </c>
      <c r="AW183" s="1410">
        <f t="shared" si="121"/>
        <v>0</v>
      </c>
      <c r="AX183" s="1410">
        <f t="shared" si="122"/>
        <v>0</v>
      </c>
      <c r="AY183" s="3352">
        <f t="shared" si="97"/>
        <v>0</v>
      </c>
      <c r="AZ183" s="3307">
        <f t="shared" si="98"/>
        <v>0</v>
      </c>
      <c r="BA183" s="3307">
        <f t="shared" si="99"/>
        <v>0</v>
      </c>
      <c r="BB183" s="3307">
        <f t="shared" si="100"/>
        <v>0</v>
      </c>
      <c r="BC183" s="3307">
        <f t="shared" si="101"/>
        <v>0</v>
      </c>
      <c r="BD183" s="3307">
        <f t="shared" si="102"/>
        <v>0</v>
      </c>
      <c r="BE183" s="3307">
        <f t="shared" si="103"/>
        <v>0</v>
      </c>
      <c r="BF183" s="3307">
        <f t="shared" si="104"/>
        <v>0</v>
      </c>
      <c r="BG183" s="3307">
        <f t="shared" si="105"/>
        <v>0</v>
      </c>
      <c r="BH183" s="3307">
        <f t="shared" si="106"/>
        <v>0</v>
      </c>
      <c r="BI183" s="3307">
        <f t="shared" si="107"/>
        <v>0</v>
      </c>
      <c r="BJ183" s="3307">
        <f t="shared" si="108"/>
        <v>0</v>
      </c>
      <c r="BK183" s="3307">
        <f t="shared" si="109"/>
        <v>0</v>
      </c>
      <c r="BL183" s="3307">
        <f t="shared" si="110"/>
        <v>0</v>
      </c>
      <c r="BM183" s="3307">
        <f t="shared" si="111"/>
        <v>0</v>
      </c>
      <c r="BN183" s="3307">
        <f t="shared" si="112"/>
        <v>0</v>
      </c>
      <c r="BO183" s="3307">
        <f t="shared" si="113"/>
        <v>0</v>
      </c>
      <c r="BP183" s="3307">
        <f t="shared" si="114"/>
        <v>0</v>
      </c>
      <c r="BQ183" s="3307">
        <f t="shared" si="115"/>
        <v>0</v>
      </c>
      <c r="BR183" s="3307">
        <f t="shared" si="116"/>
        <v>0</v>
      </c>
      <c r="BS183" s="3307">
        <f t="shared" si="117"/>
        <v>0</v>
      </c>
      <c r="BT183" s="3359">
        <f t="shared" si="118"/>
        <v>0</v>
      </c>
    </row>
    <row r="184" spans="1:72">
      <c r="A184" s="3304"/>
      <c r="B184" s="3305"/>
      <c r="C184" s="3305"/>
      <c r="D184" s="3306"/>
      <c r="E184" s="3307">
        <f t="shared" si="119"/>
        <v>0</v>
      </c>
      <c r="F184" s="3308"/>
      <c r="G184" s="3309">
        <f t="shared" si="94"/>
        <v>0</v>
      </c>
      <c r="H184" s="3310">
        <f t="shared" si="95"/>
        <v>0</v>
      </c>
      <c r="I184" s="3317"/>
      <c r="J184" s="3317"/>
      <c r="K184" s="3317"/>
      <c r="L184" s="3317"/>
      <c r="M184" s="3317"/>
      <c r="N184" s="3317"/>
      <c r="O184" s="3317"/>
      <c r="P184" s="3317"/>
      <c r="Q184" s="3317"/>
      <c r="R184" s="3317"/>
      <c r="S184" s="3317"/>
      <c r="T184" s="3317"/>
      <c r="U184" s="3317"/>
      <c r="V184" s="3317"/>
      <c r="W184" s="3317"/>
      <c r="X184" s="3317"/>
      <c r="Y184" s="3317"/>
      <c r="Z184" s="3317"/>
      <c r="AA184" s="3317"/>
      <c r="AB184" s="3317"/>
      <c r="AC184" s="3307">
        <f t="shared" si="96"/>
        <v>0</v>
      </c>
      <c r="AD184" s="3327"/>
      <c r="AE184" s="3327"/>
      <c r="AF184" s="3327"/>
      <c r="AG184" s="3327"/>
      <c r="AH184" s="3327"/>
      <c r="AI184" s="3327"/>
      <c r="AJ184" s="3327"/>
      <c r="AK184" s="3327"/>
      <c r="AL184" s="3327"/>
      <c r="AM184" s="3327"/>
      <c r="AN184" s="3327"/>
      <c r="AO184" s="3327"/>
      <c r="AP184" s="3327"/>
      <c r="AQ184" s="3327"/>
      <c r="AR184" s="3327"/>
      <c r="AS184" s="3327"/>
      <c r="AT184" s="3337"/>
      <c r="AU184" s="3338"/>
      <c r="AV184" s="1410">
        <f t="shared" si="120"/>
        <v>0</v>
      </c>
      <c r="AW184" s="1410">
        <f t="shared" si="121"/>
        <v>0</v>
      </c>
      <c r="AX184" s="1410">
        <f t="shared" si="122"/>
        <v>0</v>
      </c>
      <c r="AY184" s="3352">
        <f t="shared" si="97"/>
        <v>0</v>
      </c>
      <c r="AZ184" s="3307">
        <f t="shared" si="98"/>
        <v>0</v>
      </c>
      <c r="BA184" s="3307">
        <f t="shared" si="99"/>
        <v>0</v>
      </c>
      <c r="BB184" s="3307">
        <f t="shared" si="100"/>
        <v>0</v>
      </c>
      <c r="BC184" s="3307">
        <f t="shared" si="101"/>
        <v>0</v>
      </c>
      <c r="BD184" s="3307">
        <f t="shared" si="102"/>
        <v>0</v>
      </c>
      <c r="BE184" s="3307">
        <f t="shared" si="103"/>
        <v>0</v>
      </c>
      <c r="BF184" s="3307">
        <f t="shared" si="104"/>
        <v>0</v>
      </c>
      <c r="BG184" s="3307">
        <f t="shared" si="105"/>
        <v>0</v>
      </c>
      <c r="BH184" s="3307">
        <f t="shared" si="106"/>
        <v>0</v>
      </c>
      <c r="BI184" s="3307">
        <f t="shared" si="107"/>
        <v>0</v>
      </c>
      <c r="BJ184" s="3307">
        <f t="shared" si="108"/>
        <v>0</v>
      </c>
      <c r="BK184" s="3307">
        <f t="shared" si="109"/>
        <v>0</v>
      </c>
      <c r="BL184" s="3307">
        <f t="shared" si="110"/>
        <v>0</v>
      </c>
      <c r="BM184" s="3307">
        <f t="shared" si="111"/>
        <v>0</v>
      </c>
      <c r="BN184" s="3307">
        <f t="shared" si="112"/>
        <v>0</v>
      </c>
      <c r="BO184" s="3307">
        <f t="shared" si="113"/>
        <v>0</v>
      </c>
      <c r="BP184" s="3307">
        <f t="shared" si="114"/>
        <v>0</v>
      </c>
      <c r="BQ184" s="3307">
        <f t="shared" si="115"/>
        <v>0</v>
      </c>
      <c r="BR184" s="3307">
        <f t="shared" si="116"/>
        <v>0</v>
      </c>
      <c r="BS184" s="3307">
        <f t="shared" si="117"/>
        <v>0</v>
      </c>
      <c r="BT184" s="3359">
        <f t="shared" si="118"/>
        <v>0</v>
      </c>
    </row>
    <row r="185" spans="1:72">
      <c r="A185" s="3304"/>
      <c r="B185" s="3305"/>
      <c r="C185" s="3305"/>
      <c r="D185" s="3306"/>
      <c r="E185" s="3307">
        <f t="shared" si="119"/>
        <v>0</v>
      </c>
      <c r="F185" s="3308"/>
      <c r="G185" s="3309">
        <f t="shared" si="94"/>
        <v>0</v>
      </c>
      <c r="H185" s="3310">
        <f t="shared" si="95"/>
        <v>0</v>
      </c>
      <c r="I185" s="3317"/>
      <c r="J185" s="3317"/>
      <c r="K185" s="3317"/>
      <c r="L185" s="3317"/>
      <c r="M185" s="3317"/>
      <c r="N185" s="3317"/>
      <c r="O185" s="3317"/>
      <c r="P185" s="3317"/>
      <c r="Q185" s="3317"/>
      <c r="R185" s="3317"/>
      <c r="S185" s="3317"/>
      <c r="T185" s="3317"/>
      <c r="U185" s="3317"/>
      <c r="V185" s="3317"/>
      <c r="W185" s="3317"/>
      <c r="X185" s="3317"/>
      <c r="Y185" s="3317"/>
      <c r="Z185" s="3317"/>
      <c r="AA185" s="3317"/>
      <c r="AB185" s="3317"/>
      <c r="AC185" s="3307">
        <f t="shared" si="96"/>
        <v>0</v>
      </c>
      <c r="AD185" s="3327"/>
      <c r="AE185" s="3327"/>
      <c r="AF185" s="3327"/>
      <c r="AG185" s="3327"/>
      <c r="AH185" s="3327"/>
      <c r="AI185" s="3327"/>
      <c r="AJ185" s="3327"/>
      <c r="AK185" s="3327"/>
      <c r="AL185" s="3327"/>
      <c r="AM185" s="3327"/>
      <c r="AN185" s="3327"/>
      <c r="AO185" s="3327"/>
      <c r="AP185" s="3327"/>
      <c r="AQ185" s="3327"/>
      <c r="AR185" s="3327"/>
      <c r="AS185" s="3327"/>
      <c r="AT185" s="3337"/>
      <c r="AU185" s="3338"/>
      <c r="AV185" s="1410">
        <f t="shared" si="120"/>
        <v>0</v>
      </c>
      <c r="AW185" s="1410">
        <f t="shared" si="121"/>
        <v>0</v>
      </c>
      <c r="AX185" s="1410">
        <f t="shared" si="122"/>
        <v>0</v>
      </c>
      <c r="AY185" s="3352">
        <f t="shared" si="97"/>
        <v>0</v>
      </c>
      <c r="AZ185" s="3307">
        <f t="shared" si="98"/>
        <v>0</v>
      </c>
      <c r="BA185" s="3307">
        <f t="shared" si="99"/>
        <v>0</v>
      </c>
      <c r="BB185" s="3307">
        <f t="shared" si="100"/>
        <v>0</v>
      </c>
      <c r="BC185" s="3307">
        <f t="shared" si="101"/>
        <v>0</v>
      </c>
      <c r="BD185" s="3307">
        <f t="shared" si="102"/>
        <v>0</v>
      </c>
      <c r="BE185" s="3307">
        <f t="shared" si="103"/>
        <v>0</v>
      </c>
      <c r="BF185" s="3307">
        <f t="shared" si="104"/>
        <v>0</v>
      </c>
      <c r="BG185" s="3307">
        <f t="shared" si="105"/>
        <v>0</v>
      </c>
      <c r="BH185" s="3307">
        <f t="shared" si="106"/>
        <v>0</v>
      </c>
      <c r="BI185" s="3307">
        <f t="shared" si="107"/>
        <v>0</v>
      </c>
      <c r="BJ185" s="3307">
        <f t="shared" si="108"/>
        <v>0</v>
      </c>
      <c r="BK185" s="3307">
        <f t="shared" si="109"/>
        <v>0</v>
      </c>
      <c r="BL185" s="3307">
        <f t="shared" si="110"/>
        <v>0</v>
      </c>
      <c r="BM185" s="3307">
        <f t="shared" si="111"/>
        <v>0</v>
      </c>
      <c r="BN185" s="3307">
        <f t="shared" si="112"/>
        <v>0</v>
      </c>
      <c r="BO185" s="3307">
        <f t="shared" si="113"/>
        <v>0</v>
      </c>
      <c r="BP185" s="3307">
        <f t="shared" si="114"/>
        <v>0</v>
      </c>
      <c r="BQ185" s="3307">
        <f t="shared" si="115"/>
        <v>0</v>
      </c>
      <c r="BR185" s="3307">
        <f t="shared" si="116"/>
        <v>0</v>
      </c>
      <c r="BS185" s="3307">
        <f t="shared" si="117"/>
        <v>0</v>
      </c>
      <c r="BT185" s="3359">
        <f t="shared" si="118"/>
        <v>0</v>
      </c>
    </row>
    <row r="186" spans="1:72">
      <c r="A186" s="3304"/>
      <c r="B186" s="3305"/>
      <c r="C186" s="3305"/>
      <c r="D186" s="3306"/>
      <c r="E186" s="3307">
        <f t="shared" si="119"/>
        <v>0</v>
      </c>
      <c r="F186" s="3308"/>
      <c r="G186" s="3309">
        <f t="shared" si="94"/>
        <v>0</v>
      </c>
      <c r="H186" s="3310">
        <f t="shared" si="95"/>
        <v>0</v>
      </c>
      <c r="I186" s="3317"/>
      <c r="J186" s="3317"/>
      <c r="K186" s="3317"/>
      <c r="L186" s="3317"/>
      <c r="M186" s="3317"/>
      <c r="N186" s="3317"/>
      <c r="O186" s="3317"/>
      <c r="P186" s="3317"/>
      <c r="Q186" s="3317"/>
      <c r="R186" s="3317"/>
      <c r="S186" s="3317"/>
      <c r="T186" s="3317"/>
      <c r="U186" s="3317"/>
      <c r="V186" s="3317"/>
      <c r="W186" s="3317"/>
      <c r="X186" s="3317"/>
      <c r="Y186" s="3317"/>
      <c r="Z186" s="3317"/>
      <c r="AA186" s="3317"/>
      <c r="AB186" s="3317"/>
      <c r="AC186" s="3307">
        <f t="shared" si="96"/>
        <v>0</v>
      </c>
      <c r="AD186" s="3327"/>
      <c r="AE186" s="3327"/>
      <c r="AF186" s="3327"/>
      <c r="AG186" s="3327"/>
      <c r="AH186" s="3327"/>
      <c r="AI186" s="3327"/>
      <c r="AJ186" s="3327"/>
      <c r="AK186" s="3327"/>
      <c r="AL186" s="3327"/>
      <c r="AM186" s="3327"/>
      <c r="AN186" s="3327"/>
      <c r="AO186" s="3327"/>
      <c r="AP186" s="3327"/>
      <c r="AQ186" s="3327"/>
      <c r="AR186" s="3327"/>
      <c r="AS186" s="3327"/>
      <c r="AT186" s="3337"/>
      <c r="AU186" s="3338"/>
      <c r="AV186" s="1410">
        <f t="shared" si="120"/>
        <v>0</v>
      </c>
      <c r="AW186" s="1410">
        <f t="shared" si="121"/>
        <v>0</v>
      </c>
      <c r="AX186" s="1410">
        <f t="shared" si="122"/>
        <v>0</v>
      </c>
      <c r="AY186" s="3352">
        <f t="shared" si="97"/>
        <v>0</v>
      </c>
      <c r="AZ186" s="3307">
        <f t="shared" si="98"/>
        <v>0</v>
      </c>
      <c r="BA186" s="3307">
        <f t="shared" si="99"/>
        <v>0</v>
      </c>
      <c r="BB186" s="3307">
        <f t="shared" si="100"/>
        <v>0</v>
      </c>
      <c r="BC186" s="3307">
        <f t="shared" si="101"/>
        <v>0</v>
      </c>
      <c r="BD186" s="3307">
        <f t="shared" si="102"/>
        <v>0</v>
      </c>
      <c r="BE186" s="3307">
        <f t="shared" si="103"/>
        <v>0</v>
      </c>
      <c r="BF186" s="3307">
        <f t="shared" si="104"/>
        <v>0</v>
      </c>
      <c r="BG186" s="3307">
        <f t="shared" si="105"/>
        <v>0</v>
      </c>
      <c r="BH186" s="3307">
        <f t="shared" si="106"/>
        <v>0</v>
      </c>
      <c r="BI186" s="3307">
        <f t="shared" si="107"/>
        <v>0</v>
      </c>
      <c r="BJ186" s="3307">
        <f t="shared" si="108"/>
        <v>0</v>
      </c>
      <c r="BK186" s="3307">
        <f t="shared" si="109"/>
        <v>0</v>
      </c>
      <c r="BL186" s="3307">
        <f t="shared" si="110"/>
        <v>0</v>
      </c>
      <c r="BM186" s="3307">
        <f t="shared" si="111"/>
        <v>0</v>
      </c>
      <c r="BN186" s="3307">
        <f t="shared" si="112"/>
        <v>0</v>
      </c>
      <c r="BO186" s="3307">
        <f t="shared" si="113"/>
        <v>0</v>
      </c>
      <c r="BP186" s="3307">
        <f t="shared" si="114"/>
        <v>0</v>
      </c>
      <c r="BQ186" s="3307">
        <f t="shared" si="115"/>
        <v>0</v>
      </c>
      <c r="BR186" s="3307">
        <f t="shared" si="116"/>
        <v>0</v>
      </c>
      <c r="BS186" s="3307">
        <f t="shared" si="117"/>
        <v>0</v>
      </c>
      <c r="BT186" s="3359">
        <f t="shared" si="118"/>
        <v>0</v>
      </c>
    </row>
    <row r="187" spans="1:72">
      <c r="A187" s="3304"/>
      <c r="B187" s="3305"/>
      <c r="C187" s="3305"/>
      <c r="D187" s="3306"/>
      <c r="E187" s="3307">
        <f t="shared" si="119"/>
        <v>0</v>
      </c>
      <c r="F187" s="3308"/>
      <c r="G187" s="3309">
        <f t="shared" si="94"/>
        <v>0</v>
      </c>
      <c r="H187" s="3310">
        <f t="shared" si="95"/>
        <v>0</v>
      </c>
      <c r="I187" s="3317"/>
      <c r="J187" s="3317"/>
      <c r="K187" s="3317"/>
      <c r="L187" s="3317"/>
      <c r="M187" s="3317"/>
      <c r="N187" s="3317"/>
      <c r="O187" s="3317"/>
      <c r="P187" s="3317"/>
      <c r="Q187" s="3317"/>
      <c r="R187" s="3317"/>
      <c r="S187" s="3317"/>
      <c r="T187" s="3317"/>
      <c r="U187" s="3317"/>
      <c r="V187" s="3317"/>
      <c r="W187" s="3317"/>
      <c r="X187" s="3317"/>
      <c r="Y187" s="3317"/>
      <c r="Z187" s="3317"/>
      <c r="AA187" s="3317"/>
      <c r="AB187" s="3317"/>
      <c r="AC187" s="3307">
        <f t="shared" si="96"/>
        <v>0</v>
      </c>
      <c r="AD187" s="3327"/>
      <c r="AE187" s="3327"/>
      <c r="AF187" s="3327"/>
      <c r="AG187" s="3327"/>
      <c r="AH187" s="3327"/>
      <c r="AI187" s="3327"/>
      <c r="AJ187" s="3327"/>
      <c r="AK187" s="3327"/>
      <c r="AL187" s="3327"/>
      <c r="AM187" s="3327"/>
      <c r="AN187" s="3327"/>
      <c r="AO187" s="3327"/>
      <c r="AP187" s="3327"/>
      <c r="AQ187" s="3327"/>
      <c r="AR187" s="3327"/>
      <c r="AS187" s="3327"/>
      <c r="AT187" s="3337"/>
      <c r="AU187" s="3338"/>
      <c r="AV187" s="1410">
        <f t="shared" si="120"/>
        <v>0</v>
      </c>
      <c r="AW187" s="1410">
        <f t="shared" si="121"/>
        <v>0</v>
      </c>
      <c r="AX187" s="1410">
        <f t="shared" si="122"/>
        <v>0</v>
      </c>
      <c r="AY187" s="3352">
        <f t="shared" si="97"/>
        <v>0</v>
      </c>
      <c r="AZ187" s="3307">
        <f t="shared" si="98"/>
        <v>0</v>
      </c>
      <c r="BA187" s="3307">
        <f t="shared" si="99"/>
        <v>0</v>
      </c>
      <c r="BB187" s="3307">
        <f t="shared" si="100"/>
        <v>0</v>
      </c>
      <c r="BC187" s="3307">
        <f t="shared" si="101"/>
        <v>0</v>
      </c>
      <c r="BD187" s="3307">
        <f t="shared" si="102"/>
        <v>0</v>
      </c>
      <c r="BE187" s="3307">
        <f t="shared" si="103"/>
        <v>0</v>
      </c>
      <c r="BF187" s="3307">
        <f t="shared" si="104"/>
        <v>0</v>
      </c>
      <c r="BG187" s="3307">
        <f t="shared" si="105"/>
        <v>0</v>
      </c>
      <c r="BH187" s="3307">
        <f t="shared" si="106"/>
        <v>0</v>
      </c>
      <c r="BI187" s="3307">
        <f t="shared" si="107"/>
        <v>0</v>
      </c>
      <c r="BJ187" s="3307">
        <f t="shared" si="108"/>
        <v>0</v>
      </c>
      <c r="BK187" s="3307">
        <f t="shared" si="109"/>
        <v>0</v>
      </c>
      <c r="BL187" s="3307">
        <f t="shared" si="110"/>
        <v>0</v>
      </c>
      <c r="BM187" s="3307">
        <f t="shared" si="111"/>
        <v>0</v>
      </c>
      <c r="BN187" s="3307">
        <f t="shared" si="112"/>
        <v>0</v>
      </c>
      <c r="BO187" s="3307">
        <f t="shared" si="113"/>
        <v>0</v>
      </c>
      <c r="BP187" s="3307">
        <f t="shared" si="114"/>
        <v>0</v>
      </c>
      <c r="BQ187" s="3307">
        <f t="shared" si="115"/>
        <v>0</v>
      </c>
      <c r="BR187" s="3307">
        <f t="shared" si="116"/>
        <v>0</v>
      </c>
      <c r="BS187" s="3307">
        <f t="shared" si="117"/>
        <v>0</v>
      </c>
      <c r="BT187" s="3359">
        <f t="shared" si="118"/>
        <v>0</v>
      </c>
    </row>
    <row r="188" spans="1:72">
      <c r="A188" s="3304"/>
      <c r="B188" s="3305"/>
      <c r="C188" s="3305"/>
      <c r="D188" s="3306"/>
      <c r="E188" s="3307">
        <f t="shared" si="119"/>
        <v>0</v>
      </c>
      <c r="F188" s="3308"/>
      <c r="G188" s="3309">
        <f t="shared" si="94"/>
        <v>0</v>
      </c>
      <c r="H188" s="3310">
        <f t="shared" si="95"/>
        <v>0</v>
      </c>
      <c r="I188" s="3317"/>
      <c r="J188" s="3317"/>
      <c r="K188" s="3317"/>
      <c r="L188" s="3317"/>
      <c r="M188" s="3317"/>
      <c r="N188" s="3317"/>
      <c r="O188" s="3317"/>
      <c r="P188" s="3317"/>
      <c r="Q188" s="3317"/>
      <c r="R188" s="3317"/>
      <c r="S188" s="3317"/>
      <c r="T188" s="3317"/>
      <c r="U188" s="3317"/>
      <c r="V188" s="3317"/>
      <c r="W188" s="3317"/>
      <c r="X188" s="3317"/>
      <c r="Y188" s="3317"/>
      <c r="Z188" s="3317"/>
      <c r="AA188" s="3317"/>
      <c r="AB188" s="3317"/>
      <c r="AC188" s="3307">
        <f t="shared" si="96"/>
        <v>0</v>
      </c>
      <c r="AD188" s="3327"/>
      <c r="AE188" s="3327"/>
      <c r="AF188" s="3327"/>
      <c r="AG188" s="3327"/>
      <c r="AH188" s="3327"/>
      <c r="AI188" s="3327"/>
      <c r="AJ188" s="3327"/>
      <c r="AK188" s="3327"/>
      <c r="AL188" s="3327"/>
      <c r="AM188" s="3327"/>
      <c r="AN188" s="3327"/>
      <c r="AO188" s="3327"/>
      <c r="AP188" s="3327"/>
      <c r="AQ188" s="3327"/>
      <c r="AR188" s="3327"/>
      <c r="AS188" s="3327"/>
      <c r="AT188" s="3337"/>
      <c r="AU188" s="3338"/>
      <c r="AV188" s="1410">
        <f t="shared" si="120"/>
        <v>0</v>
      </c>
      <c r="AW188" s="1410">
        <f t="shared" si="121"/>
        <v>0</v>
      </c>
      <c r="AX188" s="1410">
        <f t="shared" si="122"/>
        <v>0</v>
      </c>
      <c r="AY188" s="3352">
        <f t="shared" si="97"/>
        <v>0</v>
      </c>
      <c r="AZ188" s="3307">
        <f t="shared" si="98"/>
        <v>0</v>
      </c>
      <c r="BA188" s="3307">
        <f t="shared" si="99"/>
        <v>0</v>
      </c>
      <c r="BB188" s="3307">
        <f t="shared" si="100"/>
        <v>0</v>
      </c>
      <c r="BC188" s="3307">
        <f t="shared" si="101"/>
        <v>0</v>
      </c>
      <c r="BD188" s="3307">
        <f t="shared" si="102"/>
        <v>0</v>
      </c>
      <c r="BE188" s="3307">
        <f t="shared" si="103"/>
        <v>0</v>
      </c>
      <c r="BF188" s="3307">
        <f t="shared" si="104"/>
        <v>0</v>
      </c>
      <c r="BG188" s="3307">
        <f t="shared" si="105"/>
        <v>0</v>
      </c>
      <c r="BH188" s="3307">
        <f t="shared" si="106"/>
        <v>0</v>
      </c>
      <c r="BI188" s="3307">
        <f t="shared" si="107"/>
        <v>0</v>
      </c>
      <c r="BJ188" s="3307">
        <f t="shared" si="108"/>
        <v>0</v>
      </c>
      <c r="BK188" s="3307">
        <f t="shared" si="109"/>
        <v>0</v>
      </c>
      <c r="BL188" s="3307">
        <f t="shared" si="110"/>
        <v>0</v>
      </c>
      <c r="BM188" s="3307">
        <f t="shared" si="111"/>
        <v>0</v>
      </c>
      <c r="BN188" s="3307">
        <f t="shared" si="112"/>
        <v>0</v>
      </c>
      <c r="BO188" s="3307">
        <f t="shared" si="113"/>
        <v>0</v>
      </c>
      <c r="BP188" s="3307">
        <f t="shared" si="114"/>
        <v>0</v>
      </c>
      <c r="BQ188" s="3307">
        <f t="shared" si="115"/>
        <v>0</v>
      </c>
      <c r="BR188" s="3307">
        <f t="shared" si="116"/>
        <v>0</v>
      </c>
      <c r="BS188" s="3307">
        <f t="shared" si="117"/>
        <v>0</v>
      </c>
      <c r="BT188" s="3359">
        <f t="shared" si="118"/>
        <v>0</v>
      </c>
    </row>
    <row r="189" spans="1:72">
      <c r="A189" s="3304"/>
      <c r="B189" s="3305"/>
      <c r="C189" s="3305"/>
      <c r="D189" s="3306"/>
      <c r="E189" s="3307">
        <f t="shared" si="119"/>
        <v>0</v>
      </c>
      <c r="F189" s="3308"/>
      <c r="G189" s="3309">
        <f t="shared" si="94"/>
        <v>0</v>
      </c>
      <c r="H189" s="3310">
        <f t="shared" si="95"/>
        <v>0</v>
      </c>
      <c r="I189" s="3317"/>
      <c r="J189" s="3317"/>
      <c r="K189" s="3317"/>
      <c r="L189" s="3317"/>
      <c r="M189" s="3317"/>
      <c r="N189" s="3317"/>
      <c r="O189" s="3317"/>
      <c r="P189" s="3317"/>
      <c r="Q189" s="3317"/>
      <c r="R189" s="3317"/>
      <c r="S189" s="3317"/>
      <c r="T189" s="3317"/>
      <c r="U189" s="3317"/>
      <c r="V189" s="3317"/>
      <c r="W189" s="3317"/>
      <c r="X189" s="3317"/>
      <c r="Y189" s="3317"/>
      <c r="Z189" s="3317"/>
      <c r="AA189" s="3317"/>
      <c r="AB189" s="3317"/>
      <c r="AC189" s="3307">
        <f t="shared" si="96"/>
        <v>0</v>
      </c>
      <c r="AD189" s="3327"/>
      <c r="AE189" s="3327"/>
      <c r="AF189" s="3327"/>
      <c r="AG189" s="3327"/>
      <c r="AH189" s="3327"/>
      <c r="AI189" s="3327"/>
      <c r="AJ189" s="3327"/>
      <c r="AK189" s="3327"/>
      <c r="AL189" s="3327"/>
      <c r="AM189" s="3327"/>
      <c r="AN189" s="3327"/>
      <c r="AO189" s="3327"/>
      <c r="AP189" s="3327"/>
      <c r="AQ189" s="3327"/>
      <c r="AR189" s="3327"/>
      <c r="AS189" s="3327"/>
      <c r="AT189" s="3337"/>
      <c r="AU189" s="3338"/>
      <c r="AV189" s="1410">
        <f t="shared" si="120"/>
        <v>0</v>
      </c>
      <c r="AW189" s="1410">
        <f t="shared" si="121"/>
        <v>0</v>
      </c>
      <c r="AX189" s="1410">
        <f t="shared" si="122"/>
        <v>0</v>
      </c>
      <c r="AY189" s="3352">
        <f t="shared" si="97"/>
        <v>0</v>
      </c>
      <c r="AZ189" s="3307">
        <f t="shared" si="98"/>
        <v>0</v>
      </c>
      <c r="BA189" s="3307">
        <f t="shared" si="99"/>
        <v>0</v>
      </c>
      <c r="BB189" s="3307">
        <f t="shared" si="100"/>
        <v>0</v>
      </c>
      <c r="BC189" s="3307">
        <f t="shared" si="101"/>
        <v>0</v>
      </c>
      <c r="BD189" s="3307">
        <f t="shared" si="102"/>
        <v>0</v>
      </c>
      <c r="BE189" s="3307">
        <f t="shared" si="103"/>
        <v>0</v>
      </c>
      <c r="BF189" s="3307">
        <f t="shared" si="104"/>
        <v>0</v>
      </c>
      <c r="BG189" s="3307">
        <f t="shared" si="105"/>
        <v>0</v>
      </c>
      <c r="BH189" s="3307">
        <f t="shared" si="106"/>
        <v>0</v>
      </c>
      <c r="BI189" s="3307">
        <f t="shared" si="107"/>
        <v>0</v>
      </c>
      <c r="BJ189" s="3307">
        <f t="shared" si="108"/>
        <v>0</v>
      </c>
      <c r="BK189" s="3307">
        <f t="shared" si="109"/>
        <v>0</v>
      </c>
      <c r="BL189" s="3307">
        <f t="shared" si="110"/>
        <v>0</v>
      </c>
      <c r="BM189" s="3307">
        <f t="shared" si="111"/>
        <v>0</v>
      </c>
      <c r="BN189" s="3307">
        <f t="shared" si="112"/>
        <v>0</v>
      </c>
      <c r="BO189" s="3307">
        <f t="shared" si="113"/>
        <v>0</v>
      </c>
      <c r="BP189" s="3307">
        <f t="shared" si="114"/>
        <v>0</v>
      </c>
      <c r="BQ189" s="3307">
        <f t="shared" si="115"/>
        <v>0</v>
      </c>
      <c r="BR189" s="3307">
        <f t="shared" si="116"/>
        <v>0</v>
      </c>
      <c r="BS189" s="3307">
        <f t="shared" si="117"/>
        <v>0</v>
      </c>
      <c r="BT189" s="3359">
        <f t="shared" si="118"/>
        <v>0</v>
      </c>
    </row>
    <row r="190" spans="1:72">
      <c r="A190" s="3304"/>
      <c r="B190" s="3305"/>
      <c r="C190" s="3305"/>
      <c r="D190" s="3306"/>
      <c r="E190" s="3307">
        <f t="shared" si="119"/>
        <v>0</v>
      </c>
      <c r="F190" s="3308"/>
      <c r="G190" s="3309">
        <f t="shared" si="94"/>
        <v>0</v>
      </c>
      <c r="H190" s="3310">
        <f t="shared" si="95"/>
        <v>0</v>
      </c>
      <c r="I190" s="3317"/>
      <c r="J190" s="3317"/>
      <c r="K190" s="3317"/>
      <c r="L190" s="3317"/>
      <c r="M190" s="3317"/>
      <c r="N190" s="3317"/>
      <c r="O190" s="3317"/>
      <c r="P190" s="3317"/>
      <c r="Q190" s="3317"/>
      <c r="R190" s="3317"/>
      <c r="S190" s="3317"/>
      <c r="T190" s="3317"/>
      <c r="U190" s="3317"/>
      <c r="V190" s="3317"/>
      <c r="W190" s="3317"/>
      <c r="X190" s="3317"/>
      <c r="Y190" s="3317"/>
      <c r="Z190" s="3317"/>
      <c r="AA190" s="3317"/>
      <c r="AB190" s="3317"/>
      <c r="AC190" s="3307">
        <f t="shared" si="96"/>
        <v>0</v>
      </c>
      <c r="AD190" s="3327"/>
      <c r="AE190" s="3327"/>
      <c r="AF190" s="3327"/>
      <c r="AG190" s="3327"/>
      <c r="AH190" s="3327"/>
      <c r="AI190" s="3327"/>
      <c r="AJ190" s="3327"/>
      <c r="AK190" s="3327"/>
      <c r="AL190" s="3327"/>
      <c r="AM190" s="3327"/>
      <c r="AN190" s="3327"/>
      <c r="AO190" s="3327"/>
      <c r="AP190" s="3327"/>
      <c r="AQ190" s="3327"/>
      <c r="AR190" s="3327"/>
      <c r="AS190" s="3327"/>
      <c r="AT190" s="3337"/>
      <c r="AU190" s="3338"/>
      <c r="AV190" s="1410">
        <f t="shared" si="120"/>
        <v>0</v>
      </c>
      <c r="AW190" s="1410">
        <f t="shared" si="121"/>
        <v>0</v>
      </c>
      <c r="AX190" s="1410">
        <f t="shared" si="122"/>
        <v>0</v>
      </c>
      <c r="AY190" s="3352">
        <f t="shared" si="97"/>
        <v>0</v>
      </c>
      <c r="AZ190" s="3307">
        <f t="shared" si="98"/>
        <v>0</v>
      </c>
      <c r="BA190" s="3307">
        <f t="shared" si="99"/>
        <v>0</v>
      </c>
      <c r="BB190" s="3307">
        <f t="shared" si="100"/>
        <v>0</v>
      </c>
      <c r="BC190" s="3307">
        <f t="shared" si="101"/>
        <v>0</v>
      </c>
      <c r="BD190" s="3307">
        <f t="shared" si="102"/>
        <v>0</v>
      </c>
      <c r="BE190" s="3307">
        <f t="shared" si="103"/>
        <v>0</v>
      </c>
      <c r="BF190" s="3307">
        <f t="shared" si="104"/>
        <v>0</v>
      </c>
      <c r="BG190" s="3307">
        <f t="shared" si="105"/>
        <v>0</v>
      </c>
      <c r="BH190" s="3307">
        <f t="shared" si="106"/>
        <v>0</v>
      </c>
      <c r="BI190" s="3307">
        <f t="shared" si="107"/>
        <v>0</v>
      </c>
      <c r="BJ190" s="3307">
        <f t="shared" si="108"/>
        <v>0</v>
      </c>
      <c r="BK190" s="3307">
        <f t="shared" si="109"/>
        <v>0</v>
      </c>
      <c r="BL190" s="3307">
        <f t="shared" si="110"/>
        <v>0</v>
      </c>
      <c r="BM190" s="3307">
        <f t="shared" si="111"/>
        <v>0</v>
      </c>
      <c r="BN190" s="3307">
        <f t="shared" si="112"/>
        <v>0</v>
      </c>
      <c r="BO190" s="3307">
        <f t="shared" si="113"/>
        <v>0</v>
      </c>
      <c r="BP190" s="3307">
        <f t="shared" si="114"/>
        <v>0</v>
      </c>
      <c r="BQ190" s="3307">
        <f t="shared" si="115"/>
        <v>0</v>
      </c>
      <c r="BR190" s="3307">
        <f t="shared" si="116"/>
        <v>0</v>
      </c>
      <c r="BS190" s="3307">
        <f t="shared" si="117"/>
        <v>0</v>
      </c>
      <c r="BT190" s="3359">
        <f t="shared" si="118"/>
        <v>0</v>
      </c>
    </row>
    <row r="191" spans="1:72">
      <c r="A191" s="3304"/>
      <c r="B191" s="3305"/>
      <c r="C191" s="3305"/>
      <c r="D191" s="3306"/>
      <c r="E191" s="3307">
        <f t="shared" si="119"/>
        <v>0</v>
      </c>
      <c r="F191" s="3308"/>
      <c r="G191" s="3309">
        <f t="shared" si="94"/>
        <v>0</v>
      </c>
      <c r="H191" s="3310">
        <f t="shared" si="95"/>
        <v>0</v>
      </c>
      <c r="I191" s="3317"/>
      <c r="J191" s="3317"/>
      <c r="K191" s="3317"/>
      <c r="L191" s="3317"/>
      <c r="M191" s="3317"/>
      <c r="N191" s="3317"/>
      <c r="O191" s="3317"/>
      <c r="P191" s="3317"/>
      <c r="Q191" s="3317"/>
      <c r="R191" s="3317"/>
      <c r="S191" s="3317"/>
      <c r="T191" s="3317"/>
      <c r="U191" s="3317"/>
      <c r="V191" s="3317"/>
      <c r="W191" s="3317"/>
      <c r="X191" s="3317"/>
      <c r="Y191" s="3317"/>
      <c r="Z191" s="3317"/>
      <c r="AA191" s="3317"/>
      <c r="AB191" s="3317"/>
      <c r="AC191" s="3307">
        <f t="shared" si="96"/>
        <v>0</v>
      </c>
      <c r="AD191" s="3327"/>
      <c r="AE191" s="3327"/>
      <c r="AF191" s="3327"/>
      <c r="AG191" s="3327"/>
      <c r="AH191" s="3327"/>
      <c r="AI191" s="3327"/>
      <c r="AJ191" s="3327"/>
      <c r="AK191" s="3327"/>
      <c r="AL191" s="3327"/>
      <c r="AM191" s="3327"/>
      <c r="AN191" s="3327"/>
      <c r="AO191" s="3327"/>
      <c r="AP191" s="3327"/>
      <c r="AQ191" s="3327"/>
      <c r="AR191" s="3327"/>
      <c r="AS191" s="3327"/>
      <c r="AT191" s="3337"/>
      <c r="AU191" s="3338"/>
      <c r="AV191" s="1410">
        <f t="shared" si="120"/>
        <v>0</v>
      </c>
      <c r="AW191" s="1410">
        <f t="shared" si="121"/>
        <v>0</v>
      </c>
      <c r="AX191" s="1410">
        <f t="shared" si="122"/>
        <v>0</v>
      </c>
      <c r="AY191" s="3352">
        <f t="shared" si="97"/>
        <v>0</v>
      </c>
      <c r="AZ191" s="3307">
        <f t="shared" si="98"/>
        <v>0</v>
      </c>
      <c r="BA191" s="3307">
        <f t="shared" si="99"/>
        <v>0</v>
      </c>
      <c r="BB191" s="3307">
        <f t="shared" si="100"/>
        <v>0</v>
      </c>
      <c r="BC191" s="3307">
        <f t="shared" si="101"/>
        <v>0</v>
      </c>
      <c r="BD191" s="3307">
        <f t="shared" si="102"/>
        <v>0</v>
      </c>
      <c r="BE191" s="3307">
        <f t="shared" si="103"/>
        <v>0</v>
      </c>
      <c r="BF191" s="3307">
        <f t="shared" si="104"/>
        <v>0</v>
      </c>
      <c r="BG191" s="3307">
        <f t="shared" si="105"/>
        <v>0</v>
      </c>
      <c r="BH191" s="3307">
        <f t="shared" si="106"/>
        <v>0</v>
      </c>
      <c r="BI191" s="3307">
        <f t="shared" si="107"/>
        <v>0</v>
      </c>
      <c r="BJ191" s="3307">
        <f t="shared" si="108"/>
        <v>0</v>
      </c>
      <c r="BK191" s="3307">
        <f t="shared" si="109"/>
        <v>0</v>
      </c>
      <c r="BL191" s="3307">
        <f t="shared" si="110"/>
        <v>0</v>
      </c>
      <c r="BM191" s="3307">
        <f t="shared" si="111"/>
        <v>0</v>
      </c>
      <c r="BN191" s="3307">
        <f t="shared" si="112"/>
        <v>0</v>
      </c>
      <c r="BO191" s="3307">
        <f t="shared" si="113"/>
        <v>0</v>
      </c>
      <c r="BP191" s="3307">
        <f t="shared" si="114"/>
        <v>0</v>
      </c>
      <c r="BQ191" s="3307">
        <f t="shared" si="115"/>
        <v>0</v>
      </c>
      <c r="BR191" s="3307">
        <f t="shared" si="116"/>
        <v>0</v>
      </c>
      <c r="BS191" s="3307">
        <f t="shared" si="117"/>
        <v>0</v>
      </c>
      <c r="BT191" s="3359">
        <f t="shared" si="118"/>
        <v>0</v>
      </c>
    </row>
    <row r="192" spans="1:72">
      <c r="A192" s="3304"/>
      <c r="B192" s="3305"/>
      <c r="C192" s="3305"/>
      <c r="D192" s="3306"/>
      <c r="E192" s="3307">
        <f t="shared" si="119"/>
        <v>0</v>
      </c>
      <c r="F192" s="3308"/>
      <c r="G192" s="3309">
        <f t="shared" si="94"/>
        <v>0</v>
      </c>
      <c r="H192" s="3310">
        <f t="shared" si="95"/>
        <v>0</v>
      </c>
      <c r="I192" s="3317"/>
      <c r="J192" s="3317"/>
      <c r="K192" s="3317"/>
      <c r="L192" s="3317"/>
      <c r="M192" s="3317"/>
      <c r="N192" s="3317"/>
      <c r="O192" s="3317"/>
      <c r="P192" s="3317"/>
      <c r="Q192" s="3317"/>
      <c r="R192" s="3317"/>
      <c r="S192" s="3317"/>
      <c r="T192" s="3317"/>
      <c r="U192" s="3317"/>
      <c r="V192" s="3317"/>
      <c r="W192" s="3317"/>
      <c r="X192" s="3317"/>
      <c r="Y192" s="3317"/>
      <c r="Z192" s="3317"/>
      <c r="AA192" s="3317"/>
      <c r="AB192" s="3317"/>
      <c r="AC192" s="3307">
        <f t="shared" si="96"/>
        <v>0</v>
      </c>
      <c r="AD192" s="3327"/>
      <c r="AE192" s="3327"/>
      <c r="AF192" s="3327"/>
      <c r="AG192" s="3327"/>
      <c r="AH192" s="3327"/>
      <c r="AI192" s="3327"/>
      <c r="AJ192" s="3327"/>
      <c r="AK192" s="3327"/>
      <c r="AL192" s="3327"/>
      <c r="AM192" s="3327"/>
      <c r="AN192" s="3327"/>
      <c r="AO192" s="3327"/>
      <c r="AP192" s="3327"/>
      <c r="AQ192" s="3327"/>
      <c r="AR192" s="3327"/>
      <c r="AS192" s="3327"/>
      <c r="AT192" s="3337"/>
      <c r="AU192" s="3338"/>
      <c r="AV192" s="1410">
        <f t="shared" si="120"/>
        <v>0</v>
      </c>
      <c r="AW192" s="1410">
        <f t="shared" si="121"/>
        <v>0</v>
      </c>
      <c r="AX192" s="1410">
        <f t="shared" si="122"/>
        <v>0</v>
      </c>
      <c r="AY192" s="3352">
        <f t="shared" si="97"/>
        <v>0</v>
      </c>
      <c r="AZ192" s="3307">
        <f t="shared" si="98"/>
        <v>0</v>
      </c>
      <c r="BA192" s="3307">
        <f t="shared" si="99"/>
        <v>0</v>
      </c>
      <c r="BB192" s="3307">
        <f t="shared" si="100"/>
        <v>0</v>
      </c>
      <c r="BC192" s="3307">
        <f t="shared" si="101"/>
        <v>0</v>
      </c>
      <c r="BD192" s="3307">
        <f t="shared" si="102"/>
        <v>0</v>
      </c>
      <c r="BE192" s="3307">
        <f t="shared" si="103"/>
        <v>0</v>
      </c>
      <c r="BF192" s="3307">
        <f t="shared" si="104"/>
        <v>0</v>
      </c>
      <c r="BG192" s="3307">
        <f t="shared" si="105"/>
        <v>0</v>
      </c>
      <c r="BH192" s="3307">
        <f t="shared" si="106"/>
        <v>0</v>
      </c>
      <c r="BI192" s="3307">
        <f t="shared" si="107"/>
        <v>0</v>
      </c>
      <c r="BJ192" s="3307">
        <f t="shared" si="108"/>
        <v>0</v>
      </c>
      <c r="BK192" s="3307">
        <f t="shared" si="109"/>
        <v>0</v>
      </c>
      <c r="BL192" s="3307">
        <f t="shared" si="110"/>
        <v>0</v>
      </c>
      <c r="BM192" s="3307">
        <f t="shared" si="111"/>
        <v>0</v>
      </c>
      <c r="BN192" s="3307">
        <f t="shared" si="112"/>
        <v>0</v>
      </c>
      <c r="BO192" s="3307">
        <f t="shared" si="113"/>
        <v>0</v>
      </c>
      <c r="BP192" s="3307">
        <f t="shared" si="114"/>
        <v>0</v>
      </c>
      <c r="BQ192" s="3307">
        <f t="shared" si="115"/>
        <v>0</v>
      </c>
      <c r="BR192" s="3307">
        <f t="shared" si="116"/>
        <v>0</v>
      </c>
      <c r="BS192" s="3307">
        <f t="shared" si="117"/>
        <v>0</v>
      </c>
      <c r="BT192" s="3359">
        <f t="shared" si="118"/>
        <v>0</v>
      </c>
    </row>
    <row r="193" spans="1:72">
      <c r="A193" s="3304"/>
      <c r="B193" s="3305"/>
      <c r="C193" s="3305"/>
      <c r="D193" s="3306"/>
      <c r="E193" s="3307">
        <f t="shared" si="119"/>
        <v>0</v>
      </c>
      <c r="F193" s="3308"/>
      <c r="G193" s="3309">
        <f t="shared" si="94"/>
        <v>0</v>
      </c>
      <c r="H193" s="3310">
        <f t="shared" si="95"/>
        <v>0</v>
      </c>
      <c r="I193" s="3317"/>
      <c r="J193" s="3317"/>
      <c r="K193" s="3317"/>
      <c r="L193" s="3317"/>
      <c r="M193" s="3317"/>
      <c r="N193" s="3317"/>
      <c r="O193" s="3317"/>
      <c r="P193" s="3317"/>
      <c r="Q193" s="3317"/>
      <c r="R193" s="3317"/>
      <c r="S193" s="3317"/>
      <c r="T193" s="3317"/>
      <c r="U193" s="3317"/>
      <c r="V193" s="3317"/>
      <c r="W193" s="3317"/>
      <c r="X193" s="3317"/>
      <c r="Y193" s="3317"/>
      <c r="Z193" s="3317"/>
      <c r="AA193" s="3317"/>
      <c r="AB193" s="3317"/>
      <c r="AC193" s="3307">
        <f t="shared" si="96"/>
        <v>0</v>
      </c>
      <c r="AD193" s="3327"/>
      <c r="AE193" s="3327"/>
      <c r="AF193" s="3327"/>
      <c r="AG193" s="3327"/>
      <c r="AH193" s="3327"/>
      <c r="AI193" s="3327"/>
      <c r="AJ193" s="3327"/>
      <c r="AK193" s="3327"/>
      <c r="AL193" s="3327"/>
      <c r="AM193" s="3327"/>
      <c r="AN193" s="3327"/>
      <c r="AO193" s="3327"/>
      <c r="AP193" s="3327"/>
      <c r="AQ193" s="3327"/>
      <c r="AR193" s="3327"/>
      <c r="AS193" s="3327"/>
      <c r="AT193" s="3337"/>
      <c r="AU193" s="3338"/>
      <c r="AV193" s="1410">
        <f t="shared" si="120"/>
        <v>0</v>
      </c>
      <c r="AW193" s="1410">
        <f t="shared" si="121"/>
        <v>0</v>
      </c>
      <c r="AX193" s="1410">
        <f t="shared" si="122"/>
        <v>0</v>
      </c>
      <c r="AY193" s="3352">
        <f t="shared" si="97"/>
        <v>0</v>
      </c>
      <c r="AZ193" s="3307">
        <f t="shared" si="98"/>
        <v>0</v>
      </c>
      <c r="BA193" s="3307">
        <f t="shared" si="99"/>
        <v>0</v>
      </c>
      <c r="BB193" s="3307">
        <f t="shared" si="100"/>
        <v>0</v>
      </c>
      <c r="BC193" s="3307">
        <f t="shared" si="101"/>
        <v>0</v>
      </c>
      <c r="BD193" s="3307">
        <f t="shared" si="102"/>
        <v>0</v>
      </c>
      <c r="BE193" s="3307">
        <f t="shared" si="103"/>
        <v>0</v>
      </c>
      <c r="BF193" s="3307">
        <f t="shared" si="104"/>
        <v>0</v>
      </c>
      <c r="BG193" s="3307">
        <f t="shared" si="105"/>
        <v>0</v>
      </c>
      <c r="BH193" s="3307">
        <f t="shared" si="106"/>
        <v>0</v>
      </c>
      <c r="BI193" s="3307">
        <f t="shared" si="107"/>
        <v>0</v>
      </c>
      <c r="BJ193" s="3307">
        <f t="shared" si="108"/>
        <v>0</v>
      </c>
      <c r="BK193" s="3307">
        <f t="shared" si="109"/>
        <v>0</v>
      </c>
      <c r="BL193" s="3307">
        <f t="shared" si="110"/>
        <v>0</v>
      </c>
      <c r="BM193" s="3307">
        <f t="shared" si="111"/>
        <v>0</v>
      </c>
      <c r="BN193" s="3307">
        <f t="shared" si="112"/>
        <v>0</v>
      </c>
      <c r="BO193" s="3307">
        <f t="shared" si="113"/>
        <v>0</v>
      </c>
      <c r="BP193" s="3307">
        <f t="shared" si="114"/>
        <v>0</v>
      </c>
      <c r="BQ193" s="3307">
        <f t="shared" si="115"/>
        <v>0</v>
      </c>
      <c r="BR193" s="3307">
        <f t="shared" si="116"/>
        <v>0</v>
      </c>
      <c r="BS193" s="3307">
        <f t="shared" si="117"/>
        <v>0</v>
      </c>
      <c r="BT193" s="3359">
        <f t="shared" si="118"/>
        <v>0</v>
      </c>
    </row>
    <row r="194" spans="1:72">
      <c r="A194" s="3304"/>
      <c r="B194" s="3305"/>
      <c r="C194" s="3305"/>
      <c r="D194" s="3306"/>
      <c r="E194" s="3307">
        <f t="shared" si="119"/>
        <v>0</v>
      </c>
      <c r="F194" s="3308"/>
      <c r="G194" s="3309">
        <f t="shared" si="94"/>
        <v>0</v>
      </c>
      <c r="H194" s="3310">
        <f t="shared" si="95"/>
        <v>0</v>
      </c>
      <c r="I194" s="3317"/>
      <c r="J194" s="3317"/>
      <c r="K194" s="3317"/>
      <c r="L194" s="3317"/>
      <c r="M194" s="3317"/>
      <c r="N194" s="3317"/>
      <c r="O194" s="3317"/>
      <c r="P194" s="3317"/>
      <c r="Q194" s="3317"/>
      <c r="R194" s="3317"/>
      <c r="S194" s="3317"/>
      <c r="T194" s="3317"/>
      <c r="U194" s="3317"/>
      <c r="V194" s="3317"/>
      <c r="W194" s="3317"/>
      <c r="X194" s="3317"/>
      <c r="Y194" s="3317"/>
      <c r="Z194" s="3317"/>
      <c r="AA194" s="3317"/>
      <c r="AB194" s="3317"/>
      <c r="AC194" s="3307">
        <f t="shared" si="96"/>
        <v>0</v>
      </c>
      <c r="AD194" s="3327"/>
      <c r="AE194" s="3327"/>
      <c r="AF194" s="3327"/>
      <c r="AG194" s="3327"/>
      <c r="AH194" s="3327"/>
      <c r="AI194" s="3327"/>
      <c r="AJ194" s="3327"/>
      <c r="AK194" s="3327"/>
      <c r="AL194" s="3327"/>
      <c r="AM194" s="3327"/>
      <c r="AN194" s="3327"/>
      <c r="AO194" s="3327"/>
      <c r="AP194" s="3327"/>
      <c r="AQ194" s="3327"/>
      <c r="AR194" s="3327"/>
      <c r="AS194" s="3327"/>
      <c r="AT194" s="3337"/>
      <c r="AU194" s="3338"/>
      <c r="AV194" s="1410">
        <f t="shared" si="120"/>
        <v>0</v>
      </c>
      <c r="AW194" s="1410">
        <f t="shared" si="121"/>
        <v>0</v>
      </c>
      <c r="AX194" s="1410">
        <f t="shared" si="122"/>
        <v>0</v>
      </c>
      <c r="AY194" s="3352">
        <f t="shared" si="97"/>
        <v>0</v>
      </c>
      <c r="AZ194" s="3307">
        <f t="shared" si="98"/>
        <v>0</v>
      </c>
      <c r="BA194" s="3307">
        <f t="shared" si="99"/>
        <v>0</v>
      </c>
      <c r="BB194" s="3307">
        <f t="shared" si="100"/>
        <v>0</v>
      </c>
      <c r="BC194" s="3307">
        <f t="shared" si="101"/>
        <v>0</v>
      </c>
      <c r="BD194" s="3307">
        <f t="shared" si="102"/>
        <v>0</v>
      </c>
      <c r="BE194" s="3307">
        <f t="shared" si="103"/>
        <v>0</v>
      </c>
      <c r="BF194" s="3307">
        <f t="shared" si="104"/>
        <v>0</v>
      </c>
      <c r="BG194" s="3307">
        <f t="shared" si="105"/>
        <v>0</v>
      </c>
      <c r="BH194" s="3307">
        <f t="shared" si="106"/>
        <v>0</v>
      </c>
      <c r="BI194" s="3307">
        <f t="shared" si="107"/>
        <v>0</v>
      </c>
      <c r="BJ194" s="3307">
        <f t="shared" si="108"/>
        <v>0</v>
      </c>
      <c r="BK194" s="3307">
        <f t="shared" si="109"/>
        <v>0</v>
      </c>
      <c r="BL194" s="3307">
        <f t="shared" si="110"/>
        <v>0</v>
      </c>
      <c r="BM194" s="3307">
        <f t="shared" si="111"/>
        <v>0</v>
      </c>
      <c r="BN194" s="3307">
        <f t="shared" si="112"/>
        <v>0</v>
      </c>
      <c r="BO194" s="3307">
        <f t="shared" si="113"/>
        <v>0</v>
      </c>
      <c r="BP194" s="3307">
        <f t="shared" si="114"/>
        <v>0</v>
      </c>
      <c r="BQ194" s="3307">
        <f t="shared" si="115"/>
        <v>0</v>
      </c>
      <c r="BR194" s="3307">
        <f t="shared" si="116"/>
        <v>0</v>
      </c>
      <c r="BS194" s="3307">
        <f t="shared" si="117"/>
        <v>0</v>
      </c>
      <c r="BT194" s="3359">
        <f t="shared" si="118"/>
        <v>0</v>
      </c>
    </row>
    <row r="195" spans="1:72">
      <c r="A195" s="3304"/>
      <c r="B195" s="3305"/>
      <c r="C195" s="3305"/>
      <c r="D195" s="3306"/>
      <c r="E195" s="3307">
        <f t="shared" si="119"/>
        <v>0</v>
      </c>
      <c r="F195" s="3308"/>
      <c r="G195" s="3309">
        <f t="shared" si="94"/>
        <v>0</v>
      </c>
      <c r="H195" s="3310">
        <f t="shared" si="95"/>
        <v>0</v>
      </c>
      <c r="I195" s="3317"/>
      <c r="J195" s="3317"/>
      <c r="K195" s="3317"/>
      <c r="L195" s="3317"/>
      <c r="M195" s="3317"/>
      <c r="N195" s="3317"/>
      <c r="O195" s="3317"/>
      <c r="P195" s="3317"/>
      <c r="Q195" s="3317"/>
      <c r="R195" s="3317"/>
      <c r="S195" s="3317"/>
      <c r="T195" s="3317"/>
      <c r="U195" s="3317"/>
      <c r="V195" s="3317"/>
      <c r="W195" s="3317"/>
      <c r="X195" s="3317"/>
      <c r="Y195" s="3317"/>
      <c r="Z195" s="3317"/>
      <c r="AA195" s="3317"/>
      <c r="AB195" s="3317"/>
      <c r="AC195" s="3307">
        <f t="shared" si="96"/>
        <v>0</v>
      </c>
      <c r="AD195" s="3327"/>
      <c r="AE195" s="3327"/>
      <c r="AF195" s="3327"/>
      <c r="AG195" s="3327"/>
      <c r="AH195" s="3327"/>
      <c r="AI195" s="3327"/>
      <c r="AJ195" s="3327"/>
      <c r="AK195" s="3327"/>
      <c r="AL195" s="3327"/>
      <c r="AM195" s="3327"/>
      <c r="AN195" s="3327"/>
      <c r="AO195" s="3327"/>
      <c r="AP195" s="3327"/>
      <c r="AQ195" s="3327"/>
      <c r="AR195" s="3327"/>
      <c r="AS195" s="3327"/>
      <c r="AT195" s="3337"/>
      <c r="AU195" s="3338"/>
      <c r="AV195" s="1410">
        <f t="shared" si="120"/>
        <v>0</v>
      </c>
      <c r="AW195" s="1410">
        <f t="shared" si="121"/>
        <v>0</v>
      </c>
      <c r="AX195" s="1410">
        <f t="shared" si="122"/>
        <v>0</v>
      </c>
      <c r="AY195" s="3352">
        <f t="shared" si="97"/>
        <v>0</v>
      </c>
      <c r="AZ195" s="3307">
        <f t="shared" si="98"/>
        <v>0</v>
      </c>
      <c r="BA195" s="3307">
        <f t="shared" si="99"/>
        <v>0</v>
      </c>
      <c r="BB195" s="3307">
        <f t="shared" si="100"/>
        <v>0</v>
      </c>
      <c r="BC195" s="3307">
        <f t="shared" si="101"/>
        <v>0</v>
      </c>
      <c r="BD195" s="3307">
        <f t="shared" si="102"/>
        <v>0</v>
      </c>
      <c r="BE195" s="3307">
        <f t="shared" si="103"/>
        <v>0</v>
      </c>
      <c r="BF195" s="3307">
        <f t="shared" si="104"/>
        <v>0</v>
      </c>
      <c r="BG195" s="3307">
        <f t="shared" si="105"/>
        <v>0</v>
      </c>
      <c r="BH195" s="3307">
        <f t="shared" si="106"/>
        <v>0</v>
      </c>
      <c r="BI195" s="3307">
        <f t="shared" si="107"/>
        <v>0</v>
      </c>
      <c r="BJ195" s="3307">
        <f t="shared" si="108"/>
        <v>0</v>
      </c>
      <c r="BK195" s="3307">
        <f t="shared" si="109"/>
        <v>0</v>
      </c>
      <c r="BL195" s="3307">
        <f t="shared" si="110"/>
        <v>0</v>
      </c>
      <c r="BM195" s="3307">
        <f t="shared" si="111"/>
        <v>0</v>
      </c>
      <c r="BN195" s="3307">
        <f t="shared" si="112"/>
        <v>0</v>
      </c>
      <c r="BO195" s="3307">
        <f t="shared" si="113"/>
        <v>0</v>
      </c>
      <c r="BP195" s="3307">
        <f t="shared" si="114"/>
        <v>0</v>
      </c>
      <c r="BQ195" s="3307">
        <f t="shared" si="115"/>
        <v>0</v>
      </c>
      <c r="BR195" s="3307">
        <f t="shared" si="116"/>
        <v>0</v>
      </c>
      <c r="BS195" s="3307">
        <f t="shared" si="117"/>
        <v>0</v>
      </c>
      <c r="BT195" s="3359">
        <f t="shared" si="118"/>
        <v>0</v>
      </c>
    </row>
    <row r="196" spans="1:72">
      <c r="A196" s="3304"/>
      <c r="B196" s="3305"/>
      <c r="C196" s="3305"/>
      <c r="D196" s="3306"/>
      <c r="E196" s="3307">
        <f t="shared" si="119"/>
        <v>0</v>
      </c>
      <c r="F196" s="3308"/>
      <c r="G196" s="3309">
        <f t="shared" si="94"/>
        <v>0</v>
      </c>
      <c r="H196" s="3310">
        <f t="shared" si="95"/>
        <v>0</v>
      </c>
      <c r="I196" s="3317"/>
      <c r="J196" s="3317"/>
      <c r="K196" s="3317"/>
      <c r="L196" s="3317"/>
      <c r="M196" s="3317"/>
      <c r="N196" s="3317"/>
      <c r="O196" s="3317"/>
      <c r="P196" s="3317"/>
      <c r="Q196" s="3317"/>
      <c r="R196" s="3317"/>
      <c r="S196" s="3317"/>
      <c r="T196" s="3317"/>
      <c r="U196" s="3317"/>
      <c r="V196" s="3317"/>
      <c r="W196" s="3317"/>
      <c r="X196" s="3317"/>
      <c r="Y196" s="3317"/>
      <c r="Z196" s="3317"/>
      <c r="AA196" s="3317"/>
      <c r="AB196" s="3317"/>
      <c r="AC196" s="3307">
        <f t="shared" si="96"/>
        <v>0</v>
      </c>
      <c r="AD196" s="3327"/>
      <c r="AE196" s="3327"/>
      <c r="AF196" s="3327"/>
      <c r="AG196" s="3327"/>
      <c r="AH196" s="3327"/>
      <c r="AI196" s="3327"/>
      <c r="AJ196" s="3327"/>
      <c r="AK196" s="3327"/>
      <c r="AL196" s="3327"/>
      <c r="AM196" s="3327"/>
      <c r="AN196" s="3327"/>
      <c r="AO196" s="3327"/>
      <c r="AP196" s="3327"/>
      <c r="AQ196" s="3327"/>
      <c r="AR196" s="3327"/>
      <c r="AS196" s="3327"/>
      <c r="AT196" s="3337"/>
      <c r="AU196" s="3338"/>
      <c r="AV196" s="1410">
        <f t="shared" si="120"/>
        <v>0</v>
      </c>
      <c r="AW196" s="1410">
        <f t="shared" si="121"/>
        <v>0</v>
      </c>
      <c r="AX196" s="1410">
        <f t="shared" si="122"/>
        <v>0</v>
      </c>
      <c r="AY196" s="3352">
        <f t="shared" si="97"/>
        <v>0</v>
      </c>
      <c r="AZ196" s="3307">
        <f t="shared" si="98"/>
        <v>0</v>
      </c>
      <c r="BA196" s="3307">
        <f t="shared" si="99"/>
        <v>0</v>
      </c>
      <c r="BB196" s="3307">
        <f t="shared" si="100"/>
        <v>0</v>
      </c>
      <c r="BC196" s="3307">
        <f t="shared" si="101"/>
        <v>0</v>
      </c>
      <c r="BD196" s="3307">
        <f t="shared" si="102"/>
        <v>0</v>
      </c>
      <c r="BE196" s="3307">
        <f t="shared" si="103"/>
        <v>0</v>
      </c>
      <c r="BF196" s="3307">
        <f t="shared" si="104"/>
        <v>0</v>
      </c>
      <c r="BG196" s="3307">
        <f t="shared" si="105"/>
        <v>0</v>
      </c>
      <c r="BH196" s="3307">
        <f t="shared" si="106"/>
        <v>0</v>
      </c>
      <c r="BI196" s="3307">
        <f t="shared" si="107"/>
        <v>0</v>
      </c>
      <c r="BJ196" s="3307">
        <f t="shared" si="108"/>
        <v>0</v>
      </c>
      <c r="BK196" s="3307">
        <f t="shared" si="109"/>
        <v>0</v>
      </c>
      <c r="BL196" s="3307">
        <f t="shared" si="110"/>
        <v>0</v>
      </c>
      <c r="BM196" s="3307">
        <f t="shared" si="111"/>
        <v>0</v>
      </c>
      <c r="BN196" s="3307">
        <f t="shared" si="112"/>
        <v>0</v>
      </c>
      <c r="BO196" s="3307">
        <f t="shared" si="113"/>
        <v>0</v>
      </c>
      <c r="BP196" s="3307">
        <f t="shared" si="114"/>
        <v>0</v>
      </c>
      <c r="BQ196" s="3307">
        <f t="shared" si="115"/>
        <v>0</v>
      </c>
      <c r="BR196" s="3307">
        <f t="shared" si="116"/>
        <v>0</v>
      </c>
      <c r="BS196" s="3307">
        <f t="shared" si="117"/>
        <v>0</v>
      </c>
      <c r="BT196" s="3359">
        <f t="shared" si="118"/>
        <v>0</v>
      </c>
    </row>
    <row r="197" spans="1:72">
      <c r="A197" s="3304"/>
      <c r="B197" s="3305"/>
      <c r="C197" s="3305"/>
      <c r="D197" s="3306"/>
      <c r="E197" s="3307">
        <f t="shared" si="119"/>
        <v>0</v>
      </c>
      <c r="F197" s="3308"/>
      <c r="G197" s="3309">
        <f t="shared" si="94"/>
        <v>0</v>
      </c>
      <c r="H197" s="3310">
        <f t="shared" si="95"/>
        <v>0</v>
      </c>
      <c r="I197" s="3317"/>
      <c r="J197" s="3317"/>
      <c r="K197" s="3317"/>
      <c r="L197" s="3317"/>
      <c r="M197" s="3317"/>
      <c r="N197" s="3317"/>
      <c r="O197" s="3317"/>
      <c r="P197" s="3317"/>
      <c r="Q197" s="3317"/>
      <c r="R197" s="3317"/>
      <c r="S197" s="3317"/>
      <c r="T197" s="3317"/>
      <c r="U197" s="3317"/>
      <c r="V197" s="3317"/>
      <c r="W197" s="3317"/>
      <c r="X197" s="3317"/>
      <c r="Y197" s="3317"/>
      <c r="Z197" s="3317"/>
      <c r="AA197" s="3317"/>
      <c r="AB197" s="3317"/>
      <c r="AC197" s="3307">
        <f t="shared" si="96"/>
        <v>0</v>
      </c>
      <c r="AD197" s="3327"/>
      <c r="AE197" s="3327"/>
      <c r="AF197" s="3327"/>
      <c r="AG197" s="3327"/>
      <c r="AH197" s="3327"/>
      <c r="AI197" s="3327"/>
      <c r="AJ197" s="3327"/>
      <c r="AK197" s="3327"/>
      <c r="AL197" s="3327"/>
      <c r="AM197" s="3327"/>
      <c r="AN197" s="3327"/>
      <c r="AO197" s="3327"/>
      <c r="AP197" s="3327"/>
      <c r="AQ197" s="3327"/>
      <c r="AR197" s="3327"/>
      <c r="AS197" s="3327"/>
      <c r="AT197" s="3337"/>
      <c r="AU197" s="3338"/>
      <c r="AV197" s="1410">
        <f t="shared" si="120"/>
        <v>0</v>
      </c>
      <c r="AW197" s="1410">
        <f t="shared" si="121"/>
        <v>0</v>
      </c>
      <c r="AX197" s="1410">
        <f t="shared" si="122"/>
        <v>0</v>
      </c>
      <c r="AY197" s="3352">
        <f t="shared" si="97"/>
        <v>0</v>
      </c>
      <c r="AZ197" s="3307">
        <f t="shared" si="98"/>
        <v>0</v>
      </c>
      <c r="BA197" s="3307">
        <f t="shared" si="99"/>
        <v>0</v>
      </c>
      <c r="BB197" s="3307">
        <f t="shared" si="100"/>
        <v>0</v>
      </c>
      <c r="BC197" s="3307">
        <f t="shared" si="101"/>
        <v>0</v>
      </c>
      <c r="BD197" s="3307">
        <f t="shared" si="102"/>
        <v>0</v>
      </c>
      <c r="BE197" s="3307">
        <f t="shared" si="103"/>
        <v>0</v>
      </c>
      <c r="BF197" s="3307">
        <f t="shared" si="104"/>
        <v>0</v>
      </c>
      <c r="BG197" s="3307">
        <f t="shared" si="105"/>
        <v>0</v>
      </c>
      <c r="BH197" s="3307">
        <f t="shared" si="106"/>
        <v>0</v>
      </c>
      <c r="BI197" s="3307">
        <f t="shared" si="107"/>
        <v>0</v>
      </c>
      <c r="BJ197" s="3307">
        <f t="shared" si="108"/>
        <v>0</v>
      </c>
      <c r="BK197" s="3307">
        <f t="shared" si="109"/>
        <v>0</v>
      </c>
      <c r="BL197" s="3307">
        <f t="shared" si="110"/>
        <v>0</v>
      </c>
      <c r="BM197" s="3307">
        <f t="shared" si="111"/>
        <v>0</v>
      </c>
      <c r="BN197" s="3307">
        <f t="shared" si="112"/>
        <v>0</v>
      </c>
      <c r="BO197" s="3307">
        <f t="shared" si="113"/>
        <v>0</v>
      </c>
      <c r="BP197" s="3307">
        <f t="shared" si="114"/>
        <v>0</v>
      </c>
      <c r="BQ197" s="3307">
        <f t="shared" si="115"/>
        <v>0</v>
      </c>
      <c r="BR197" s="3307">
        <f t="shared" si="116"/>
        <v>0</v>
      </c>
      <c r="BS197" s="3307">
        <f t="shared" si="117"/>
        <v>0</v>
      </c>
      <c r="BT197" s="3359">
        <f t="shared" si="118"/>
        <v>0</v>
      </c>
    </row>
    <row r="198" spans="1:72">
      <c r="A198" s="3304"/>
      <c r="B198" s="3305"/>
      <c r="C198" s="3305"/>
      <c r="D198" s="3306"/>
      <c r="E198" s="3307">
        <f t="shared" si="119"/>
        <v>0</v>
      </c>
      <c r="F198" s="3308"/>
      <c r="G198" s="3309">
        <f t="shared" si="94"/>
        <v>0</v>
      </c>
      <c r="H198" s="3310">
        <f t="shared" si="95"/>
        <v>0</v>
      </c>
      <c r="I198" s="3317"/>
      <c r="J198" s="3317"/>
      <c r="K198" s="3317"/>
      <c r="L198" s="3317"/>
      <c r="M198" s="3317"/>
      <c r="N198" s="3317"/>
      <c r="O198" s="3317"/>
      <c r="P198" s="3317"/>
      <c r="Q198" s="3317"/>
      <c r="R198" s="3317"/>
      <c r="S198" s="3317"/>
      <c r="T198" s="3317"/>
      <c r="U198" s="3317"/>
      <c r="V198" s="3317"/>
      <c r="W198" s="3317"/>
      <c r="X198" s="3317"/>
      <c r="Y198" s="3317"/>
      <c r="Z198" s="3317"/>
      <c r="AA198" s="3317"/>
      <c r="AB198" s="3317"/>
      <c r="AC198" s="3307">
        <f t="shared" si="96"/>
        <v>0</v>
      </c>
      <c r="AD198" s="3327"/>
      <c r="AE198" s="3327"/>
      <c r="AF198" s="3327"/>
      <c r="AG198" s="3327"/>
      <c r="AH198" s="3327"/>
      <c r="AI198" s="3327"/>
      <c r="AJ198" s="3327"/>
      <c r="AK198" s="3327"/>
      <c r="AL198" s="3327"/>
      <c r="AM198" s="3327"/>
      <c r="AN198" s="3327"/>
      <c r="AO198" s="3327"/>
      <c r="AP198" s="3327"/>
      <c r="AQ198" s="3327"/>
      <c r="AR198" s="3327"/>
      <c r="AS198" s="3327"/>
      <c r="AT198" s="3337"/>
      <c r="AU198" s="3338"/>
      <c r="AV198" s="1410">
        <f t="shared" si="120"/>
        <v>0</v>
      </c>
      <c r="AW198" s="1410">
        <f t="shared" si="121"/>
        <v>0</v>
      </c>
      <c r="AX198" s="1410">
        <f t="shared" si="122"/>
        <v>0</v>
      </c>
      <c r="AY198" s="3352">
        <f t="shared" si="97"/>
        <v>0</v>
      </c>
      <c r="AZ198" s="3307">
        <f t="shared" si="98"/>
        <v>0</v>
      </c>
      <c r="BA198" s="3307">
        <f t="shared" si="99"/>
        <v>0</v>
      </c>
      <c r="BB198" s="3307">
        <f t="shared" si="100"/>
        <v>0</v>
      </c>
      <c r="BC198" s="3307">
        <f t="shared" si="101"/>
        <v>0</v>
      </c>
      <c r="BD198" s="3307">
        <f t="shared" si="102"/>
        <v>0</v>
      </c>
      <c r="BE198" s="3307">
        <f t="shared" si="103"/>
        <v>0</v>
      </c>
      <c r="BF198" s="3307">
        <f t="shared" si="104"/>
        <v>0</v>
      </c>
      <c r="BG198" s="3307">
        <f t="shared" si="105"/>
        <v>0</v>
      </c>
      <c r="BH198" s="3307">
        <f t="shared" si="106"/>
        <v>0</v>
      </c>
      <c r="BI198" s="3307">
        <f t="shared" si="107"/>
        <v>0</v>
      </c>
      <c r="BJ198" s="3307">
        <f t="shared" si="108"/>
        <v>0</v>
      </c>
      <c r="BK198" s="3307">
        <f t="shared" si="109"/>
        <v>0</v>
      </c>
      <c r="BL198" s="3307">
        <f t="shared" si="110"/>
        <v>0</v>
      </c>
      <c r="BM198" s="3307">
        <f t="shared" si="111"/>
        <v>0</v>
      </c>
      <c r="BN198" s="3307">
        <f t="shared" si="112"/>
        <v>0</v>
      </c>
      <c r="BO198" s="3307">
        <f t="shared" si="113"/>
        <v>0</v>
      </c>
      <c r="BP198" s="3307">
        <f t="shared" si="114"/>
        <v>0</v>
      </c>
      <c r="BQ198" s="3307">
        <f t="shared" si="115"/>
        <v>0</v>
      </c>
      <c r="BR198" s="3307">
        <f t="shared" si="116"/>
        <v>0</v>
      </c>
      <c r="BS198" s="3307">
        <f t="shared" si="117"/>
        <v>0</v>
      </c>
      <c r="BT198" s="3359">
        <f t="shared" si="118"/>
        <v>0</v>
      </c>
    </row>
    <row r="199" spans="1:72">
      <c r="A199" s="3304"/>
      <c r="B199" s="3305"/>
      <c r="C199" s="3305"/>
      <c r="D199" s="3306"/>
      <c r="E199" s="3307">
        <f t="shared" si="119"/>
        <v>0</v>
      </c>
      <c r="F199" s="3308"/>
      <c r="G199" s="3309">
        <f t="shared" si="94"/>
        <v>0</v>
      </c>
      <c r="H199" s="3310">
        <f t="shared" si="95"/>
        <v>0</v>
      </c>
      <c r="I199" s="3317"/>
      <c r="J199" s="3317"/>
      <c r="K199" s="3317"/>
      <c r="L199" s="3317"/>
      <c r="M199" s="3317"/>
      <c r="N199" s="3317"/>
      <c r="O199" s="3317"/>
      <c r="P199" s="3317"/>
      <c r="Q199" s="3317"/>
      <c r="R199" s="3317"/>
      <c r="S199" s="3317"/>
      <c r="T199" s="3317"/>
      <c r="U199" s="3317"/>
      <c r="V199" s="3317"/>
      <c r="W199" s="3317"/>
      <c r="X199" s="3317"/>
      <c r="Y199" s="3317"/>
      <c r="Z199" s="3317"/>
      <c r="AA199" s="3317"/>
      <c r="AB199" s="3317"/>
      <c r="AC199" s="3307">
        <f t="shared" si="96"/>
        <v>0</v>
      </c>
      <c r="AD199" s="3327"/>
      <c r="AE199" s="3327"/>
      <c r="AF199" s="3327"/>
      <c r="AG199" s="3327"/>
      <c r="AH199" s="3327"/>
      <c r="AI199" s="3327"/>
      <c r="AJ199" s="3327"/>
      <c r="AK199" s="3327"/>
      <c r="AL199" s="3327"/>
      <c r="AM199" s="3327"/>
      <c r="AN199" s="3327"/>
      <c r="AO199" s="3327"/>
      <c r="AP199" s="3327"/>
      <c r="AQ199" s="3327"/>
      <c r="AR199" s="3327"/>
      <c r="AS199" s="3327"/>
      <c r="AT199" s="3337"/>
      <c r="AU199" s="3338"/>
      <c r="AV199" s="1410">
        <f t="shared" si="120"/>
        <v>0</v>
      </c>
      <c r="AW199" s="1410">
        <f t="shared" si="121"/>
        <v>0</v>
      </c>
      <c r="AX199" s="1410">
        <f t="shared" si="122"/>
        <v>0</v>
      </c>
      <c r="AY199" s="3352">
        <f t="shared" si="97"/>
        <v>0</v>
      </c>
      <c r="AZ199" s="3307">
        <f t="shared" si="98"/>
        <v>0</v>
      </c>
      <c r="BA199" s="3307">
        <f t="shared" si="99"/>
        <v>0</v>
      </c>
      <c r="BB199" s="3307">
        <f t="shared" si="100"/>
        <v>0</v>
      </c>
      <c r="BC199" s="3307">
        <f t="shared" si="101"/>
        <v>0</v>
      </c>
      <c r="BD199" s="3307">
        <f t="shared" si="102"/>
        <v>0</v>
      </c>
      <c r="BE199" s="3307">
        <f t="shared" si="103"/>
        <v>0</v>
      </c>
      <c r="BF199" s="3307">
        <f t="shared" si="104"/>
        <v>0</v>
      </c>
      <c r="BG199" s="3307">
        <f t="shared" si="105"/>
        <v>0</v>
      </c>
      <c r="BH199" s="3307">
        <f t="shared" si="106"/>
        <v>0</v>
      </c>
      <c r="BI199" s="3307">
        <f t="shared" si="107"/>
        <v>0</v>
      </c>
      <c r="BJ199" s="3307">
        <f t="shared" si="108"/>
        <v>0</v>
      </c>
      <c r="BK199" s="3307">
        <f t="shared" si="109"/>
        <v>0</v>
      </c>
      <c r="BL199" s="3307">
        <f t="shared" si="110"/>
        <v>0</v>
      </c>
      <c r="BM199" s="3307">
        <f t="shared" si="111"/>
        <v>0</v>
      </c>
      <c r="BN199" s="3307">
        <f t="shared" si="112"/>
        <v>0</v>
      </c>
      <c r="BO199" s="3307">
        <f t="shared" si="113"/>
        <v>0</v>
      </c>
      <c r="BP199" s="3307">
        <f t="shared" si="114"/>
        <v>0</v>
      </c>
      <c r="BQ199" s="3307">
        <f t="shared" si="115"/>
        <v>0</v>
      </c>
      <c r="BR199" s="3307">
        <f t="shared" si="116"/>
        <v>0</v>
      </c>
      <c r="BS199" s="3307">
        <f t="shared" si="117"/>
        <v>0</v>
      </c>
      <c r="BT199" s="3359">
        <f t="shared" si="118"/>
        <v>0</v>
      </c>
    </row>
    <row r="200" spans="1:72">
      <c r="A200" s="3304"/>
      <c r="B200" s="3305"/>
      <c r="C200" s="3305"/>
      <c r="D200" s="3306"/>
      <c r="E200" s="3307">
        <f t="shared" si="119"/>
        <v>0</v>
      </c>
      <c r="F200" s="3308"/>
      <c r="G200" s="3309">
        <f t="shared" si="94"/>
        <v>0</v>
      </c>
      <c r="H200" s="3310">
        <f t="shared" si="95"/>
        <v>0</v>
      </c>
      <c r="I200" s="3317"/>
      <c r="J200" s="3317"/>
      <c r="K200" s="3317"/>
      <c r="L200" s="3317"/>
      <c r="M200" s="3317"/>
      <c r="N200" s="3317"/>
      <c r="O200" s="3317"/>
      <c r="P200" s="3317"/>
      <c r="Q200" s="3317"/>
      <c r="R200" s="3317"/>
      <c r="S200" s="3317"/>
      <c r="T200" s="3317"/>
      <c r="U200" s="3317"/>
      <c r="V200" s="3317"/>
      <c r="W200" s="3317"/>
      <c r="X200" s="3317"/>
      <c r="Y200" s="3317"/>
      <c r="Z200" s="3317"/>
      <c r="AA200" s="3317"/>
      <c r="AB200" s="3317"/>
      <c r="AC200" s="3307">
        <f t="shared" si="96"/>
        <v>0</v>
      </c>
      <c r="AD200" s="3327"/>
      <c r="AE200" s="3327"/>
      <c r="AF200" s="3327"/>
      <c r="AG200" s="3327"/>
      <c r="AH200" s="3327"/>
      <c r="AI200" s="3327"/>
      <c r="AJ200" s="3327"/>
      <c r="AK200" s="3327"/>
      <c r="AL200" s="3327"/>
      <c r="AM200" s="3327"/>
      <c r="AN200" s="3327"/>
      <c r="AO200" s="3327"/>
      <c r="AP200" s="3327"/>
      <c r="AQ200" s="3327"/>
      <c r="AR200" s="3327"/>
      <c r="AS200" s="3327"/>
      <c r="AT200" s="3337"/>
      <c r="AU200" s="3338"/>
      <c r="AV200" s="1410">
        <f t="shared" si="120"/>
        <v>0</v>
      </c>
      <c r="AW200" s="1410">
        <f t="shared" si="121"/>
        <v>0</v>
      </c>
      <c r="AX200" s="1410">
        <f t="shared" si="122"/>
        <v>0</v>
      </c>
      <c r="AY200" s="3352">
        <f t="shared" si="97"/>
        <v>0</v>
      </c>
      <c r="AZ200" s="3307">
        <f t="shared" si="98"/>
        <v>0</v>
      </c>
      <c r="BA200" s="3307">
        <f t="shared" si="99"/>
        <v>0</v>
      </c>
      <c r="BB200" s="3307">
        <f t="shared" si="100"/>
        <v>0</v>
      </c>
      <c r="BC200" s="3307">
        <f t="shared" si="101"/>
        <v>0</v>
      </c>
      <c r="BD200" s="3307">
        <f t="shared" si="102"/>
        <v>0</v>
      </c>
      <c r="BE200" s="3307">
        <f t="shared" si="103"/>
        <v>0</v>
      </c>
      <c r="BF200" s="3307">
        <f t="shared" si="104"/>
        <v>0</v>
      </c>
      <c r="BG200" s="3307">
        <f t="shared" si="105"/>
        <v>0</v>
      </c>
      <c r="BH200" s="3307">
        <f t="shared" si="106"/>
        <v>0</v>
      </c>
      <c r="BI200" s="3307">
        <f t="shared" si="107"/>
        <v>0</v>
      </c>
      <c r="BJ200" s="3307">
        <f t="shared" si="108"/>
        <v>0</v>
      </c>
      <c r="BK200" s="3307">
        <f t="shared" si="109"/>
        <v>0</v>
      </c>
      <c r="BL200" s="3307">
        <f t="shared" si="110"/>
        <v>0</v>
      </c>
      <c r="BM200" s="3307">
        <f t="shared" si="111"/>
        <v>0</v>
      </c>
      <c r="BN200" s="3307">
        <f t="shared" si="112"/>
        <v>0</v>
      </c>
      <c r="BO200" s="3307">
        <f t="shared" si="113"/>
        <v>0</v>
      </c>
      <c r="BP200" s="3307">
        <f t="shared" si="114"/>
        <v>0</v>
      </c>
      <c r="BQ200" s="3307">
        <f t="shared" si="115"/>
        <v>0</v>
      </c>
      <c r="BR200" s="3307">
        <f t="shared" si="116"/>
        <v>0</v>
      </c>
      <c r="BS200" s="3307">
        <f t="shared" si="117"/>
        <v>0</v>
      </c>
      <c r="BT200" s="3359">
        <f t="shared" si="118"/>
        <v>0</v>
      </c>
    </row>
    <row r="201" spans="1:72">
      <c r="A201" s="3304"/>
      <c r="B201" s="3305"/>
      <c r="C201" s="3305"/>
      <c r="D201" s="3306"/>
      <c r="E201" s="3307">
        <f t="shared" si="119"/>
        <v>0</v>
      </c>
      <c r="F201" s="3308"/>
      <c r="G201" s="3309">
        <f t="shared" si="94"/>
        <v>0</v>
      </c>
      <c r="H201" s="3310">
        <f t="shared" si="95"/>
        <v>0</v>
      </c>
      <c r="I201" s="3317"/>
      <c r="J201" s="3317"/>
      <c r="K201" s="3317"/>
      <c r="L201" s="3317"/>
      <c r="M201" s="3317"/>
      <c r="N201" s="3317"/>
      <c r="O201" s="3317"/>
      <c r="P201" s="3317"/>
      <c r="Q201" s="3317"/>
      <c r="R201" s="3317"/>
      <c r="S201" s="3317"/>
      <c r="T201" s="3317"/>
      <c r="U201" s="3317"/>
      <c r="V201" s="3317"/>
      <c r="W201" s="3317"/>
      <c r="X201" s="3317"/>
      <c r="Y201" s="3317"/>
      <c r="Z201" s="3317"/>
      <c r="AA201" s="3317"/>
      <c r="AB201" s="3317"/>
      <c r="AC201" s="3307">
        <f t="shared" si="96"/>
        <v>0</v>
      </c>
      <c r="AD201" s="3327"/>
      <c r="AE201" s="3327"/>
      <c r="AF201" s="3327"/>
      <c r="AG201" s="3327"/>
      <c r="AH201" s="3327"/>
      <c r="AI201" s="3327"/>
      <c r="AJ201" s="3327"/>
      <c r="AK201" s="3327"/>
      <c r="AL201" s="3327"/>
      <c r="AM201" s="3327"/>
      <c r="AN201" s="3327"/>
      <c r="AO201" s="3327"/>
      <c r="AP201" s="3327"/>
      <c r="AQ201" s="3327"/>
      <c r="AR201" s="3327"/>
      <c r="AS201" s="3327"/>
      <c r="AT201" s="3337"/>
      <c r="AU201" s="3338"/>
      <c r="AV201" s="1410">
        <f t="shared" si="120"/>
        <v>0</v>
      </c>
      <c r="AW201" s="1410">
        <f t="shared" si="121"/>
        <v>0</v>
      </c>
      <c r="AX201" s="1410">
        <f t="shared" si="122"/>
        <v>0</v>
      </c>
      <c r="AY201" s="3352">
        <f t="shared" si="97"/>
        <v>0</v>
      </c>
      <c r="AZ201" s="3307">
        <f t="shared" si="98"/>
        <v>0</v>
      </c>
      <c r="BA201" s="3307">
        <f t="shared" si="99"/>
        <v>0</v>
      </c>
      <c r="BB201" s="3307">
        <f t="shared" si="100"/>
        <v>0</v>
      </c>
      <c r="BC201" s="3307">
        <f t="shared" si="101"/>
        <v>0</v>
      </c>
      <c r="BD201" s="3307">
        <f t="shared" si="102"/>
        <v>0</v>
      </c>
      <c r="BE201" s="3307">
        <f t="shared" si="103"/>
        <v>0</v>
      </c>
      <c r="BF201" s="3307">
        <f t="shared" si="104"/>
        <v>0</v>
      </c>
      <c r="BG201" s="3307">
        <f t="shared" si="105"/>
        <v>0</v>
      </c>
      <c r="BH201" s="3307">
        <f t="shared" si="106"/>
        <v>0</v>
      </c>
      <c r="BI201" s="3307">
        <f t="shared" si="107"/>
        <v>0</v>
      </c>
      <c r="BJ201" s="3307">
        <f t="shared" si="108"/>
        <v>0</v>
      </c>
      <c r="BK201" s="3307">
        <f t="shared" si="109"/>
        <v>0</v>
      </c>
      <c r="BL201" s="3307">
        <f t="shared" si="110"/>
        <v>0</v>
      </c>
      <c r="BM201" s="3307">
        <f t="shared" si="111"/>
        <v>0</v>
      </c>
      <c r="BN201" s="3307">
        <f t="shared" si="112"/>
        <v>0</v>
      </c>
      <c r="BO201" s="3307">
        <f t="shared" si="113"/>
        <v>0</v>
      </c>
      <c r="BP201" s="3307">
        <f t="shared" si="114"/>
        <v>0</v>
      </c>
      <c r="BQ201" s="3307">
        <f t="shared" si="115"/>
        <v>0</v>
      </c>
      <c r="BR201" s="3307">
        <f t="shared" si="116"/>
        <v>0</v>
      </c>
      <c r="BS201" s="3307">
        <f t="shared" si="117"/>
        <v>0</v>
      </c>
      <c r="BT201" s="3359">
        <f t="shared" si="118"/>
        <v>0</v>
      </c>
    </row>
    <row r="202" spans="1:72">
      <c r="A202" s="3304"/>
      <c r="B202" s="3305"/>
      <c r="C202" s="3305"/>
      <c r="D202" s="3306"/>
      <c r="E202" s="3307">
        <f t="shared" si="119"/>
        <v>0</v>
      </c>
      <c r="F202" s="3308"/>
      <c r="G202" s="3309">
        <f t="shared" si="94"/>
        <v>0</v>
      </c>
      <c r="H202" s="3310">
        <f t="shared" si="95"/>
        <v>0</v>
      </c>
      <c r="I202" s="3317"/>
      <c r="J202" s="3317"/>
      <c r="K202" s="3317"/>
      <c r="L202" s="3317"/>
      <c r="M202" s="3317"/>
      <c r="N202" s="3317"/>
      <c r="O202" s="3317"/>
      <c r="P202" s="3317"/>
      <c r="Q202" s="3317"/>
      <c r="R202" s="3317"/>
      <c r="S202" s="3317"/>
      <c r="T202" s="3317"/>
      <c r="U202" s="3317"/>
      <c r="V202" s="3317"/>
      <c r="W202" s="3317"/>
      <c r="X202" s="3317"/>
      <c r="Y202" s="3317"/>
      <c r="Z202" s="3317"/>
      <c r="AA202" s="3317"/>
      <c r="AB202" s="3317"/>
      <c r="AC202" s="3307">
        <f t="shared" si="96"/>
        <v>0</v>
      </c>
      <c r="AD202" s="3327"/>
      <c r="AE202" s="3327"/>
      <c r="AF202" s="3327"/>
      <c r="AG202" s="3327"/>
      <c r="AH202" s="3327"/>
      <c r="AI202" s="3327"/>
      <c r="AJ202" s="3327"/>
      <c r="AK202" s="3327"/>
      <c r="AL202" s="3327"/>
      <c r="AM202" s="3327"/>
      <c r="AN202" s="3327"/>
      <c r="AO202" s="3327"/>
      <c r="AP202" s="3327"/>
      <c r="AQ202" s="3327"/>
      <c r="AR202" s="3327"/>
      <c r="AS202" s="3327"/>
      <c r="AT202" s="3337"/>
      <c r="AU202" s="3338"/>
      <c r="AV202" s="1410">
        <f t="shared" si="120"/>
        <v>0</v>
      </c>
      <c r="AW202" s="1410">
        <f t="shared" si="121"/>
        <v>0</v>
      </c>
      <c r="AX202" s="1410">
        <f t="shared" si="122"/>
        <v>0</v>
      </c>
      <c r="AY202" s="3352">
        <f t="shared" si="97"/>
        <v>0</v>
      </c>
      <c r="AZ202" s="3307">
        <f t="shared" si="98"/>
        <v>0</v>
      </c>
      <c r="BA202" s="3307">
        <f t="shared" si="99"/>
        <v>0</v>
      </c>
      <c r="BB202" s="3307">
        <f t="shared" si="100"/>
        <v>0</v>
      </c>
      <c r="BC202" s="3307">
        <f t="shared" si="101"/>
        <v>0</v>
      </c>
      <c r="BD202" s="3307">
        <f t="shared" si="102"/>
        <v>0</v>
      </c>
      <c r="BE202" s="3307">
        <f t="shared" si="103"/>
        <v>0</v>
      </c>
      <c r="BF202" s="3307">
        <f t="shared" si="104"/>
        <v>0</v>
      </c>
      <c r="BG202" s="3307">
        <f t="shared" si="105"/>
        <v>0</v>
      </c>
      <c r="BH202" s="3307">
        <f t="shared" si="106"/>
        <v>0</v>
      </c>
      <c r="BI202" s="3307">
        <f t="shared" si="107"/>
        <v>0</v>
      </c>
      <c r="BJ202" s="3307">
        <f t="shared" si="108"/>
        <v>0</v>
      </c>
      <c r="BK202" s="3307">
        <f t="shared" si="109"/>
        <v>0</v>
      </c>
      <c r="BL202" s="3307">
        <f t="shared" si="110"/>
        <v>0</v>
      </c>
      <c r="BM202" s="3307">
        <f t="shared" si="111"/>
        <v>0</v>
      </c>
      <c r="BN202" s="3307">
        <f t="shared" si="112"/>
        <v>0</v>
      </c>
      <c r="BO202" s="3307">
        <f t="shared" si="113"/>
        <v>0</v>
      </c>
      <c r="BP202" s="3307">
        <f t="shared" si="114"/>
        <v>0</v>
      </c>
      <c r="BQ202" s="3307">
        <f t="shared" si="115"/>
        <v>0</v>
      </c>
      <c r="BR202" s="3307">
        <f t="shared" si="116"/>
        <v>0</v>
      </c>
      <c r="BS202" s="3307">
        <f t="shared" si="117"/>
        <v>0</v>
      </c>
      <c r="BT202" s="3359">
        <f t="shared" si="118"/>
        <v>0</v>
      </c>
    </row>
    <row r="203" spans="1:72">
      <c r="A203" s="3304"/>
      <c r="B203" s="3305"/>
      <c r="C203" s="3305"/>
      <c r="D203" s="3306"/>
      <c r="E203" s="3307">
        <f t="shared" si="119"/>
        <v>0</v>
      </c>
      <c r="F203" s="3308"/>
      <c r="G203" s="3309">
        <f t="shared" si="94"/>
        <v>0</v>
      </c>
      <c r="H203" s="3310">
        <f t="shared" si="95"/>
        <v>0</v>
      </c>
      <c r="I203" s="3317"/>
      <c r="J203" s="3317"/>
      <c r="K203" s="3317"/>
      <c r="L203" s="3317"/>
      <c r="M203" s="3317"/>
      <c r="N203" s="3317"/>
      <c r="O203" s="3317"/>
      <c r="P203" s="3317"/>
      <c r="Q203" s="3317"/>
      <c r="R203" s="3317"/>
      <c r="S203" s="3317"/>
      <c r="T203" s="3317"/>
      <c r="U203" s="3317"/>
      <c r="V203" s="3317"/>
      <c r="W203" s="3317"/>
      <c r="X203" s="3317"/>
      <c r="Y203" s="3317"/>
      <c r="Z203" s="3317"/>
      <c r="AA203" s="3317"/>
      <c r="AB203" s="3317"/>
      <c r="AC203" s="3307">
        <f t="shared" si="96"/>
        <v>0</v>
      </c>
      <c r="AD203" s="3327"/>
      <c r="AE203" s="3327"/>
      <c r="AF203" s="3327"/>
      <c r="AG203" s="3327"/>
      <c r="AH203" s="3327"/>
      <c r="AI203" s="3327"/>
      <c r="AJ203" s="3327"/>
      <c r="AK203" s="3327"/>
      <c r="AL203" s="3327"/>
      <c r="AM203" s="3327"/>
      <c r="AN203" s="3327"/>
      <c r="AO203" s="3327"/>
      <c r="AP203" s="3327"/>
      <c r="AQ203" s="3327"/>
      <c r="AR203" s="3327"/>
      <c r="AS203" s="3327"/>
      <c r="AT203" s="3337"/>
      <c r="AU203" s="3338"/>
      <c r="AV203" s="1410">
        <f t="shared" si="120"/>
        <v>0</v>
      </c>
      <c r="AW203" s="1410">
        <f t="shared" si="121"/>
        <v>0</v>
      </c>
      <c r="AX203" s="1410">
        <f t="shared" si="122"/>
        <v>0</v>
      </c>
      <c r="AY203" s="3352">
        <f t="shared" si="97"/>
        <v>0</v>
      </c>
      <c r="AZ203" s="3307">
        <f t="shared" si="98"/>
        <v>0</v>
      </c>
      <c r="BA203" s="3307">
        <f t="shared" si="99"/>
        <v>0</v>
      </c>
      <c r="BB203" s="3307">
        <f t="shared" si="100"/>
        <v>0</v>
      </c>
      <c r="BC203" s="3307">
        <f t="shared" si="101"/>
        <v>0</v>
      </c>
      <c r="BD203" s="3307">
        <f t="shared" si="102"/>
        <v>0</v>
      </c>
      <c r="BE203" s="3307">
        <f t="shared" si="103"/>
        <v>0</v>
      </c>
      <c r="BF203" s="3307">
        <f t="shared" si="104"/>
        <v>0</v>
      </c>
      <c r="BG203" s="3307">
        <f t="shared" si="105"/>
        <v>0</v>
      </c>
      <c r="BH203" s="3307">
        <f t="shared" si="106"/>
        <v>0</v>
      </c>
      <c r="BI203" s="3307">
        <f t="shared" si="107"/>
        <v>0</v>
      </c>
      <c r="BJ203" s="3307">
        <f t="shared" si="108"/>
        <v>0</v>
      </c>
      <c r="BK203" s="3307">
        <f t="shared" si="109"/>
        <v>0</v>
      </c>
      <c r="BL203" s="3307">
        <f t="shared" si="110"/>
        <v>0</v>
      </c>
      <c r="BM203" s="3307">
        <f t="shared" si="111"/>
        <v>0</v>
      </c>
      <c r="BN203" s="3307">
        <f t="shared" si="112"/>
        <v>0</v>
      </c>
      <c r="BO203" s="3307">
        <f t="shared" si="113"/>
        <v>0</v>
      </c>
      <c r="BP203" s="3307">
        <f t="shared" si="114"/>
        <v>0</v>
      </c>
      <c r="BQ203" s="3307">
        <f t="shared" si="115"/>
        <v>0</v>
      </c>
      <c r="BR203" s="3307">
        <f t="shared" si="116"/>
        <v>0</v>
      </c>
      <c r="BS203" s="3307">
        <f t="shared" si="117"/>
        <v>0</v>
      </c>
      <c r="BT203" s="3359">
        <f t="shared" si="118"/>
        <v>0</v>
      </c>
    </row>
    <row r="204" spans="1:72">
      <c r="A204" s="3304"/>
      <c r="B204" s="3305"/>
      <c r="C204" s="3305"/>
      <c r="D204" s="3306"/>
      <c r="E204" s="3307">
        <f t="shared" si="119"/>
        <v>0</v>
      </c>
      <c r="F204" s="3308"/>
      <c r="G204" s="3309">
        <f t="shared" si="94"/>
        <v>0</v>
      </c>
      <c r="H204" s="3310">
        <f t="shared" si="95"/>
        <v>0</v>
      </c>
      <c r="I204" s="3317"/>
      <c r="J204" s="3317"/>
      <c r="K204" s="3317"/>
      <c r="L204" s="3317"/>
      <c r="M204" s="3317"/>
      <c r="N204" s="3317"/>
      <c r="O204" s="3317"/>
      <c r="P204" s="3317"/>
      <c r="Q204" s="3317"/>
      <c r="R204" s="3317"/>
      <c r="S204" s="3317"/>
      <c r="T204" s="3317"/>
      <c r="U204" s="3317"/>
      <c r="V204" s="3317"/>
      <c r="W204" s="3317"/>
      <c r="X204" s="3317"/>
      <c r="Y204" s="3317"/>
      <c r="Z204" s="3317"/>
      <c r="AA204" s="3317"/>
      <c r="AB204" s="3317"/>
      <c r="AC204" s="3307">
        <f t="shared" si="96"/>
        <v>0</v>
      </c>
      <c r="AD204" s="3327"/>
      <c r="AE204" s="3327"/>
      <c r="AF204" s="3327"/>
      <c r="AG204" s="3327"/>
      <c r="AH204" s="3327"/>
      <c r="AI204" s="3327"/>
      <c r="AJ204" s="3327"/>
      <c r="AK204" s="3327"/>
      <c r="AL204" s="3327"/>
      <c r="AM204" s="3327"/>
      <c r="AN204" s="3327"/>
      <c r="AO204" s="3327"/>
      <c r="AP204" s="3327"/>
      <c r="AQ204" s="3327"/>
      <c r="AR204" s="3327"/>
      <c r="AS204" s="3327"/>
      <c r="AT204" s="3337"/>
      <c r="AU204" s="3338"/>
      <c r="AV204" s="1410">
        <f t="shared" si="120"/>
        <v>0</v>
      </c>
      <c r="AW204" s="1410">
        <f t="shared" si="121"/>
        <v>0</v>
      </c>
      <c r="AX204" s="1410">
        <f t="shared" si="122"/>
        <v>0</v>
      </c>
      <c r="AY204" s="3352">
        <f t="shared" si="97"/>
        <v>0</v>
      </c>
      <c r="AZ204" s="3307">
        <f t="shared" si="98"/>
        <v>0</v>
      </c>
      <c r="BA204" s="3307">
        <f t="shared" si="99"/>
        <v>0</v>
      </c>
      <c r="BB204" s="3307">
        <f t="shared" si="100"/>
        <v>0</v>
      </c>
      <c r="BC204" s="3307">
        <f t="shared" si="101"/>
        <v>0</v>
      </c>
      <c r="BD204" s="3307">
        <f t="shared" si="102"/>
        <v>0</v>
      </c>
      <c r="BE204" s="3307">
        <f t="shared" si="103"/>
        <v>0</v>
      </c>
      <c r="BF204" s="3307">
        <f t="shared" si="104"/>
        <v>0</v>
      </c>
      <c r="BG204" s="3307">
        <f t="shared" si="105"/>
        <v>0</v>
      </c>
      <c r="BH204" s="3307">
        <f t="shared" si="106"/>
        <v>0</v>
      </c>
      <c r="BI204" s="3307">
        <f t="shared" si="107"/>
        <v>0</v>
      </c>
      <c r="BJ204" s="3307">
        <f t="shared" si="108"/>
        <v>0</v>
      </c>
      <c r="BK204" s="3307">
        <f t="shared" si="109"/>
        <v>0</v>
      </c>
      <c r="BL204" s="3307">
        <f t="shared" si="110"/>
        <v>0</v>
      </c>
      <c r="BM204" s="3307">
        <f t="shared" si="111"/>
        <v>0</v>
      </c>
      <c r="BN204" s="3307">
        <f t="shared" si="112"/>
        <v>0</v>
      </c>
      <c r="BO204" s="3307">
        <f t="shared" si="113"/>
        <v>0</v>
      </c>
      <c r="BP204" s="3307">
        <f t="shared" si="114"/>
        <v>0</v>
      </c>
      <c r="BQ204" s="3307">
        <f t="shared" si="115"/>
        <v>0</v>
      </c>
      <c r="BR204" s="3307">
        <f t="shared" si="116"/>
        <v>0</v>
      </c>
      <c r="BS204" s="3307">
        <f t="shared" si="117"/>
        <v>0</v>
      </c>
      <c r="BT204" s="3359">
        <f t="shared" si="118"/>
        <v>0</v>
      </c>
    </row>
    <row r="205" spans="1:72">
      <c r="A205" s="3304"/>
      <c r="B205" s="3304"/>
      <c r="C205" s="3304"/>
      <c r="D205" s="3306"/>
      <c r="E205" s="3307">
        <f t="shared" si="119"/>
        <v>0</v>
      </c>
      <c r="F205" s="3360"/>
      <c r="G205" s="3309">
        <f t="shared" si="94"/>
        <v>0</v>
      </c>
      <c r="H205" s="3310">
        <f t="shared" si="95"/>
        <v>0</v>
      </c>
      <c r="I205" s="3361"/>
      <c r="J205" s="3361"/>
      <c r="K205" s="3317"/>
      <c r="L205" s="3317"/>
      <c r="M205" s="3317"/>
      <c r="N205" s="3317"/>
      <c r="O205" s="3317"/>
      <c r="P205" s="3317"/>
      <c r="Q205" s="3317"/>
      <c r="R205" s="3317"/>
      <c r="S205" s="3317"/>
      <c r="T205" s="3317"/>
      <c r="U205" s="3317"/>
      <c r="V205" s="3317"/>
      <c r="W205" s="3317"/>
      <c r="X205" s="3317"/>
      <c r="Y205" s="3317"/>
      <c r="Z205" s="3317"/>
      <c r="AA205" s="3317"/>
      <c r="AB205" s="3317"/>
      <c r="AC205" s="3307">
        <f t="shared" si="96"/>
        <v>0</v>
      </c>
      <c r="AD205" s="3327"/>
      <c r="AE205" s="3327"/>
      <c r="AF205" s="3327"/>
      <c r="AG205" s="3327"/>
      <c r="AH205" s="3327"/>
      <c r="AI205" s="3327"/>
      <c r="AJ205" s="3327"/>
      <c r="AK205" s="3327"/>
      <c r="AL205" s="3327"/>
      <c r="AM205" s="3327"/>
      <c r="AN205" s="3327"/>
      <c r="AO205" s="3327"/>
      <c r="AP205" s="3327"/>
      <c r="AQ205" s="3327"/>
      <c r="AR205" s="3327"/>
      <c r="AS205" s="3327"/>
      <c r="AT205" s="3327"/>
      <c r="AU205" s="3362"/>
      <c r="AV205" s="1410">
        <f t="shared" si="120"/>
        <v>0</v>
      </c>
      <c r="AW205" s="1410">
        <f t="shared" si="121"/>
        <v>0</v>
      </c>
      <c r="AX205" s="1410">
        <f t="shared" si="122"/>
        <v>0</v>
      </c>
      <c r="AY205" s="3352">
        <f t="shared" si="97"/>
        <v>0</v>
      </c>
      <c r="AZ205" s="3307">
        <f t="shared" si="98"/>
        <v>0</v>
      </c>
      <c r="BA205" s="3307">
        <f t="shared" si="99"/>
        <v>0</v>
      </c>
      <c r="BB205" s="3307">
        <f t="shared" si="100"/>
        <v>0</v>
      </c>
      <c r="BC205" s="3307">
        <f t="shared" si="101"/>
        <v>0</v>
      </c>
      <c r="BD205" s="3307">
        <f t="shared" si="102"/>
        <v>0</v>
      </c>
      <c r="BE205" s="3307">
        <f t="shared" si="103"/>
        <v>0</v>
      </c>
      <c r="BF205" s="3307">
        <f t="shared" si="104"/>
        <v>0</v>
      </c>
      <c r="BG205" s="3307">
        <f t="shared" si="105"/>
        <v>0</v>
      </c>
      <c r="BH205" s="3307">
        <f t="shared" si="106"/>
        <v>0</v>
      </c>
      <c r="BI205" s="3307">
        <f t="shared" si="107"/>
        <v>0</v>
      </c>
      <c r="BJ205" s="3307">
        <f t="shared" si="108"/>
        <v>0</v>
      </c>
      <c r="BK205" s="3307">
        <f t="shared" si="109"/>
        <v>0</v>
      </c>
      <c r="BL205" s="3307">
        <f t="shared" si="110"/>
        <v>0</v>
      </c>
      <c r="BM205" s="3307">
        <f t="shared" si="111"/>
        <v>0</v>
      </c>
      <c r="BN205" s="3307">
        <f t="shared" si="112"/>
        <v>0</v>
      </c>
      <c r="BO205" s="3307">
        <f t="shared" si="113"/>
        <v>0</v>
      </c>
      <c r="BP205" s="3307">
        <f t="shared" si="114"/>
        <v>0</v>
      </c>
      <c r="BQ205" s="3307">
        <f t="shared" si="115"/>
        <v>0</v>
      </c>
      <c r="BR205" s="3307">
        <f t="shared" si="116"/>
        <v>0</v>
      </c>
      <c r="BS205" s="3307">
        <f t="shared" si="117"/>
        <v>0</v>
      </c>
      <c r="BT205" s="3359">
        <f t="shared" si="118"/>
        <v>0</v>
      </c>
    </row>
    <row r="206" spans="1:72">
      <c r="A206" s="3304"/>
      <c r="B206" s="3304"/>
      <c r="C206" s="3304"/>
      <c r="D206" s="3306"/>
      <c r="E206" s="3307">
        <f t="shared" si="119"/>
        <v>0</v>
      </c>
      <c r="F206" s="3360"/>
      <c r="G206" s="3309">
        <f t="shared" si="94"/>
        <v>0</v>
      </c>
      <c r="H206" s="3310">
        <f t="shared" si="95"/>
        <v>0</v>
      </c>
      <c r="I206" s="3317"/>
      <c r="J206" s="3317"/>
      <c r="K206" s="3317"/>
      <c r="L206" s="3317"/>
      <c r="M206" s="3317"/>
      <c r="N206" s="3317"/>
      <c r="O206" s="3317"/>
      <c r="P206" s="3317"/>
      <c r="Q206" s="3317"/>
      <c r="R206" s="3317"/>
      <c r="S206" s="3317"/>
      <c r="T206" s="3317"/>
      <c r="U206" s="3317"/>
      <c r="V206" s="3317"/>
      <c r="W206" s="3317"/>
      <c r="X206" s="3317"/>
      <c r="Y206" s="3317"/>
      <c r="Z206" s="3317"/>
      <c r="AA206" s="3317"/>
      <c r="AB206" s="3317"/>
      <c r="AC206" s="3307">
        <f t="shared" si="96"/>
        <v>0</v>
      </c>
      <c r="AD206" s="3327"/>
      <c r="AE206" s="3327"/>
      <c r="AF206" s="3327"/>
      <c r="AG206" s="3327"/>
      <c r="AH206" s="3327"/>
      <c r="AI206" s="3327"/>
      <c r="AJ206" s="3327"/>
      <c r="AK206" s="3327"/>
      <c r="AL206" s="3327"/>
      <c r="AM206" s="3327"/>
      <c r="AN206" s="3327"/>
      <c r="AO206" s="3327"/>
      <c r="AP206" s="3327"/>
      <c r="AQ206" s="3327"/>
      <c r="AR206" s="3327"/>
      <c r="AS206" s="3327"/>
      <c r="AT206" s="3327"/>
      <c r="AU206" s="3362"/>
      <c r="AV206" s="1410">
        <f t="shared" si="120"/>
        <v>0</v>
      </c>
      <c r="AW206" s="1410">
        <f t="shared" si="121"/>
        <v>0</v>
      </c>
      <c r="AX206" s="1410">
        <f t="shared" si="122"/>
        <v>0</v>
      </c>
      <c r="AY206" s="3352">
        <f t="shared" si="97"/>
        <v>0</v>
      </c>
      <c r="AZ206" s="3307">
        <f t="shared" si="98"/>
        <v>0</v>
      </c>
      <c r="BA206" s="3307">
        <f t="shared" si="99"/>
        <v>0</v>
      </c>
      <c r="BB206" s="3307">
        <f t="shared" si="100"/>
        <v>0</v>
      </c>
      <c r="BC206" s="3307">
        <f t="shared" si="101"/>
        <v>0</v>
      </c>
      <c r="BD206" s="3307">
        <f t="shared" si="102"/>
        <v>0</v>
      </c>
      <c r="BE206" s="3307">
        <f t="shared" si="103"/>
        <v>0</v>
      </c>
      <c r="BF206" s="3307">
        <f t="shared" si="104"/>
        <v>0</v>
      </c>
      <c r="BG206" s="3307">
        <f t="shared" si="105"/>
        <v>0</v>
      </c>
      <c r="BH206" s="3307">
        <f t="shared" si="106"/>
        <v>0</v>
      </c>
      <c r="BI206" s="3307">
        <f t="shared" si="107"/>
        <v>0</v>
      </c>
      <c r="BJ206" s="3307">
        <f t="shared" si="108"/>
        <v>0</v>
      </c>
      <c r="BK206" s="3307">
        <f t="shared" si="109"/>
        <v>0</v>
      </c>
      <c r="BL206" s="3307">
        <f t="shared" si="110"/>
        <v>0</v>
      </c>
      <c r="BM206" s="3307">
        <f t="shared" si="111"/>
        <v>0</v>
      </c>
      <c r="BN206" s="3307">
        <f t="shared" si="112"/>
        <v>0</v>
      </c>
      <c r="BO206" s="3307">
        <f t="shared" si="113"/>
        <v>0</v>
      </c>
      <c r="BP206" s="3307">
        <f t="shared" si="114"/>
        <v>0</v>
      </c>
      <c r="BQ206" s="3307">
        <f t="shared" si="115"/>
        <v>0</v>
      </c>
      <c r="BR206" s="3307">
        <f t="shared" si="116"/>
        <v>0</v>
      </c>
      <c r="BS206" s="3307">
        <f t="shared" si="117"/>
        <v>0</v>
      </c>
      <c r="BT206" s="3359">
        <f t="shared" si="118"/>
        <v>0</v>
      </c>
    </row>
    <row r="207" spans="1:72">
      <c r="A207" s="3304"/>
      <c r="B207" s="3304"/>
      <c r="C207" s="3304"/>
      <c r="D207" s="3306"/>
      <c r="E207" s="3307">
        <f t="shared" si="119"/>
        <v>0</v>
      </c>
      <c r="F207" s="3360"/>
      <c r="G207" s="3309">
        <f t="shared" si="94"/>
        <v>0</v>
      </c>
      <c r="H207" s="3310">
        <f t="shared" si="95"/>
        <v>0</v>
      </c>
      <c r="I207" s="3317"/>
      <c r="J207" s="3317"/>
      <c r="K207" s="3317"/>
      <c r="L207" s="3317"/>
      <c r="M207" s="3317"/>
      <c r="N207" s="3317"/>
      <c r="O207" s="3317"/>
      <c r="P207" s="3317"/>
      <c r="Q207" s="3317"/>
      <c r="R207" s="3317"/>
      <c r="S207" s="3317"/>
      <c r="T207" s="3317"/>
      <c r="U207" s="3317"/>
      <c r="V207" s="3317"/>
      <c r="W207" s="3317"/>
      <c r="X207" s="3317"/>
      <c r="Y207" s="3317"/>
      <c r="Z207" s="3317"/>
      <c r="AA207" s="3317"/>
      <c r="AB207" s="3317"/>
      <c r="AC207" s="3307">
        <f t="shared" si="96"/>
        <v>0</v>
      </c>
      <c r="AD207" s="3327"/>
      <c r="AE207" s="3327"/>
      <c r="AF207" s="3327"/>
      <c r="AG207" s="3327"/>
      <c r="AH207" s="3327"/>
      <c r="AI207" s="3327"/>
      <c r="AJ207" s="3327"/>
      <c r="AK207" s="3327"/>
      <c r="AL207" s="3327"/>
      <c r="AM207" s="3327"/>
      <c r="AN207" s="3327"/>
      <c r="AO207" s="3327"/>
      <c r="AP207" s="3327"/>
      <c r="AQ207" s="3327"/>
      <c r="AR207" s="3327"/>
      <c r="AS207" s="3327"/>
      <c r="AT207" s="3327"/>
      <c r="AU207" s="3362"/>
      <c r="AV207" s="1410">
        <f t="shared" si="120"/>
        <v>0</v>
      </c>
      <c r="AW207" s="1410">
        <f t="shared" si="121"/>
        <v>0</v>
      </c>
      <c r="AX207" s="1410">
        <f t="shared" si="122"/>
        <v>0</v>
      </c>
      <c r="AY207" s="3352">
        <f t="shared" si="97"/>
        <v>0</v>
      </c>
      <c r="AZ207" s="3307">
        <f t="shared" si="98"/>
        <v>0</v>
      </c>
      <c r="BA207" s="3307">
        <f t="shared" si="99"/>
        <v>0</v>
      </c>
      <c r="BB207" s="3307">
        <f t="shared" si="100"/>
        <v>0</v>
      </c>
      <c r="BC207" s="3307">
        <f t="shared" si="101"/>
        <v>0</v>
      </c>
      <c r="BD207" s="3307">
        <f t="shared" si="102"/>
        <v>0</v>
      </c>
      <c r="BE207" s="3307">
        <f t="shared" si="103"/>
        <v>0</v>
      </c>
      <c r="BF207" s="3307">
        <f t="shared" si="104"/>
        <v>0</v>
      </c>
      <c r="BG207" s="3307">
        <f t="shared" si="105"/>
        <v>0</v>
      </c>
      <c r="BH207" s="3307">
        <f t="shared" si="106"/>
        <v>0</v>
      </c>
      <c r="BI207" s="3307">
        <f t="shared" si="107"/>
        <v>0</v>
      </c>
      <c r="BJ207" s="3307">
        <f t="shared" si="108"/>
        <v>0</v>
      </c>
      <c r="BK207" s="3307">
        <f t="shared" si="109"/>
        <v>0</v>
      </c>
      <c r="BL207" s="3307">
        <f t="shared" si="110"/>
        <v>0</v>
      </c>
      <c r="BM207" s="3307">
        <f t="shared" si="111"/>
        <v>0</v>
      </c>
      <c r="BN207" s="3307">
        <f t="shared" si="112"/>
        <v>0</v>
      </c>
      <c r="BO207" s="3307">
        <f t="shared" si="113"/>
        <v>0</v>
      </c>
      <c r="BP207" s="3307">
        <f t="shared" si="114"/>
        <v>0</v>
      </c>
      <c r="BQ207" s="3307">
        <f t="shared" si="115"/>
        <v>0</v>
      </c>
      <c r="BR207" s="3307">
        <f t="shared" si="116"/>
        <v>0</v>
      </c>
      <c r="BS207" s="3307">
        <f t="shared" si="117"/>
        <v>0</v>
      </c>
      <c r="BT207" s="3359">
        <f t="shared" si="118"/>
        <v>0</v>
      </c>
    </row>
    <row r="208" spans="1:72">
      <c r="A208" s="3304"/>
      <c r="B208" s="3305"/>
      <c r="C208" s="3305"/>
      <c r="D208" s="3306"/>
      <c r="E208" s="3307">
        <f t="shared" ref="E208:E302" si="123">IF($C$3="是",ROUND($A$3*G208/$B$3,2),ROUND($A$3*(G208-AT208)/$B$3,2))</f>
        <v>0</v>
      </c>
      <c r="F208" s="3308"/>
      <c r="G208" s="3309">
        <f t="shared" ref="G208:G299" si="124">H208+AC208+AT208</f>
        <v>0</v>
      </c>
      <c r="H208" s="3310">
        <f t="shared" ref="H208:H299" si="125">SUMIF(I$12:AB$12,"总值",I208:AB208)</f>
        <v>0</v>
      </c>
      <c r="I208" s="3317"/>
      <c r="J208" s="3317"/>
      <c r="K208" s="3317"/>
      <c r="L208" s="3317"/>
      <c r="M208" s="3317"/>
      <c r="N208" s="3317"/>
      <c r="O208" s="3317"/>
      <c r="P208" s="3317"/>
      <c r="Q208" s="3317"/>
      <c r="R208" s="3317"/>
      <c r="S208" s="3317"/>
      <c r="T208" s="3317"/>
      <c r="U208" s="3317"/>
      <c r="V208" s="3317"/>
      <c r="W208" s="3317"/>
      <c r="X208" s="3317"/>
      <c r="Y208" s="3317"/>
      <c r="Z208" s="3317"/>
      <c r="AA208" s="3317"/>
      <c r="AB208" s="3317"/>
      <c r="AC208" s="3307">
        <f t="shared" ref="AC208:AC299" si="126">SUMIF(AD$12:AS$12,"总值",AD208:AS208)</f>
        <v>0</v>
      </c>
      <c r="AD208" s="3327"/>
      <c r="AE208" s="3327"/>
      <c r="AF208" s="3327"/>
      <c r="AG208" s="3327"/>
      <c r="AH208" s="3327"/>
      <c r="AI208" s="3327"/>
      <c r="AJ208" s="3327"/>
      <c r="AK208" s="3327"/>
      <c r="AL208" s="3327"/>
      <c r="AM208" s="3327"/>
      <c r="AN208" s="3327"/>
      <c r="AO208" s="3327"/>
      <c r="AP208" s="3327"/>
      <c r="AQ208" s="3327"/>
      <c r="AR208" s="3327"/>
      <c r="AS208" s="3327"/>
      <c r="AT208" s="3337"/>
      <c r="AU208" s="3338"/>
      <c r="AV208" s="1410">
        <f t="shared" ref="AV208:AV302" si="127">A208</f>
        <v>0</v>
      </c>
      <c r="AW208" s="1410">
        <f t="shared" ref="AW208:AW302" si="128">B208</f>
        <v>0</v>
      </c>
      <c r="AX208" s="1410">
        <f t="shared" ref="AX208:AX302" si="129">C208</f>
        <v>0</v>
      </c>
      <c r="AY208" s="3352">
        <f t="shared" ref="AY208:AY299" si="130">ROUND($AY$6*AZ208/$AZ$5,2)</f>
        <v>0</v>
      </c>
      <c r="AZ208" s="3307">
        <f t="shared" ref="AZ208:AZ299" si="131">BA208+BL208</f>
        <v>0</v>
      </c>
      <c r="BA208" s="3307">
        <f t="shared" ref="BA208:BA299" si="132">SUM(BB208:BK208)</f>
        <v>0</v>
      </c>
      <c r="BB208" s="3307">
        <f t="shared" ref="BB208:BB299" si="133">IF($D208="是",I208-J208,0)</f>
        <v>0</v>
      </c>
      <c r="BC208" s="3307">
        <f t="shared" ref="BC208:BC299" si="134">IF($D208="是",K208-L208,0)</f>
        <v>0</v>
      </c>
      <c r="BD208" s="3307">
        <f t="shared" ref="BD208:BD299" si="135">IF($D208="是",M208-N208,0)</f>
        <v>0</v>
      </c>
      <c r="BE208" s="3307">
        <f t="shared" ref="BE208:BE299" si="136">IF($D208="是",O208-P208,0)</f>
        <v>0</v>
      </c>
      <c r="BF208" s="3307">
        <f t="shared" ref="BF208:BF299" si="137">IF($D208="是",Q208-R208,0)</f>
        <v>0</v>
      </c>
      <c r="BG208" s="3307">
        <f t="shared" ref="BG208:BG299" si="138">IF($D208="是",S208-T208,0)</f>
        <v>0</v>
      </c>
      <c r="BH208" s="3307">
        <f t="shared" ref="BH208:BH299" si="139">IF($D208="是",U208-V208,0)</f>
        <v>0</v>
      </c>
      <c r="BI208" s="3307">
        <f t="shared" ref="BI208:BI299" si="140">IF($D208="是",W208-X208,0)</f>
        <v>0</v>
      </c>
      <c r="BJ208" s="3307">
        <f t="shared" ref="BJ208:BJ299" si="141">IF($D208="是",Y208-Z208,0)</f>
        <v>0</v>
      </c>
      <c r="BK208" s="3307">
        <f t="shared" ref="BK208:BK299" si="142">IF($D208="是",AA208-AB208,0)</f>
        <v>0</v>
      </c>
      <c r="BL208" s="3307">
        <f t="shared" ref="BL208:BL299" si="143">SUM(BM208:BT208)</f>
        <v>0</v>
      </c>
      <c r="BM208" s="3307">
        <f t="shared" ref="BM208:BM299" si="144">IF($D208="是",AD208-AE208,0)</f>
        <v>0</v>
      </c>
      <c r="BN208" s="3307">
        <f t="shared" ref="BN208:BN299" si="145">IF($D208="是",AF208-AG208,0)</f>
        <v>0</v>
      </c>
      <c r="BO208" s="3307">
        <f t="shared" ref="BO208:BO299" si="146">IF($D208="是",AH208-AI208,0)</f>
        <v>0</v>
      </c>
      <c r="BP208" s="3307">
        <f t="shared" ref="BP208:BP299" si="147">IF($D208="是",AJ208-AK208,0)</f>
        <v>0</v>
      </c>
      <c r="BQ208" s="3307">
        <f t="shared" ref="BQ208:BQ299" si="148">IF($D208="是",AL208-AM208,0)</f>
        <v>0</v>
      </c>
      <c r="BR208" s="3307">
        <f t="shared" ref="BR208:BR299" si="149">IF($D208="是",AN208-AO208,0)</f>
        <v>0</v>
      </c>
      <c r="BS208" s="3307">
        <f t="shared" ref="BS208:BS299" si="150">IF($D208="是",AP208-AQ208,0)</f>
        <v>0</v>
      </c>
      <c r="BT208" s="3359">
        <f t="shared" ref="BT208:BT299" si="151">IF($D208="是",AR208-AS208,0)</f>
        <v>0</v>
      </c>
    </row>
    <row r="209" spans="1:72">
      <c r="A209" s="3304"/>
      <c r="B209" s="3305"/>
      <c r="C209" s="3305"/>
      <c r="D209" s="3306"/>
      <c r="E209" s="3307">
        <f t="shared" si="123"/>
        <v>0</v>
      </c>
      <c r="F209" s="3308"/>
      <c r="G209" s="3309">
        <f t="shared" si="124"/>
        <v>0</v>
      </c>
      <c r="H209" s="3310">
        <f t="shared" si="125"/>
        <v>0</v>
      </c>
      <c r="I209" s="3317"/>
      <c r="J209" s="3317"/>
      <c r="K209" s="3317"/>
      <c r="L209" s="3317"/>
      <c r="M209" s="3317"/>
      <c r="N209" s="3317"/>
      <c r="O209" s="3317"/>
      <c r="P209" s="3317"/>
      <c r="Q209" s="3317"/>
      <c r="R209" s="3317"/>
      <c r="S209" s="3317"/>
      <c r="T209" s="3317"/>
      <c r="U209" s="3317"/>
      <c r="V209" s="3317"/>
      <c r="W209" s="3317"/>
      <c r="X209" s="3317"/>
      <c r="Y209" s="3317"/>
      <c r="Z209" s="3317"/>
      <c r="AA209" s="3317"/>
      <c r="AB209" s="3317"/>
      <c r="AC209" s="3307">
        <f t="shared" si="126"/>
        <v>0</v>
      </c>
      <c r="AD209" s="3327"/>
      <c r="AE209" s="3327"/>
      <c r="AF209" s="3327"/>
      <c r="AG209" s="3327"/>
      <c r="AH209" s="3327"/>
      <c r="AI209" s="3327"/>
      <c r="AJ209" s="3327"/>
      <c r="AK209" s="3327"/>
      <c r="AL209" s="3327"/>
      <c r="AM209" s="3327"/>
      <c r="AN209" s="3327"/>
      <c r="AO209" s="3327"/>
      <c r="AP209" s="3327"/>
      <c r="AQ209" s="3327"/>
      <c r="AR209" s="3327"/>
      <c r="AS209" s="3327"/>
      <c r="AT209" s="3337"/>
      <c r="AU209" s="3338"/>
      <c r="AV209" s="1410">
        <f t="shared" si="127"/>
        <v>0</v>
      </c>
      <c r="AW209" s="1410">
        <f t="shared" si="128"/>
        <v>0</v>
      </c>
      <c r="AX209" s="1410">
        <f t="shared" si="129"/>
        <v>0</v>
      </c>
      <c r="AY209" s="3352">
        <f t="shared" si="130"/>
        <v>0</v>
      </c>
      <c r="AZ209" s="3307">
        <f t="shared" si="131"/>
        <v>0</v>
      </c>
      <c r="BA209" s="3307">
        <f t="shared" si="132"/>
        <v>0</v>
      </c>
      <c r="BB209" s="3307">
        <f t="shared" si="133"/>
        <v>0</v>
      </c>
      <c r="BC209" s="3307">
        <f t="shared" si="134"/>
        <v>0</v>
      </c>
      <c r="BD209" s="3307">
        <f t="shared" si="135"/>
        <v>0</v>
      </c>
      <c r="BE209" s="3307">
        <f t="shared" si="136"/>
        <v>0</v>
      </c>
      <c r="BF209" s="3307">
        <f t="shared" si="137"/>
        <v>0</v>
      </c>
      <c r="BG209" s="3307">
        <f t="shared" si="138"/>
        <v>0</v>
      </c>
      <c r="BH209" s="3307">
        <f t="shared" si="139"/>
        <v>0</v>
      </c>
      <c r="BI209" s="3307">
        <f t="shared" si="140"/>
        <v>0</v>
      </c>
      <c r="BJ209" s="3307">
        <f t="shared" si="141"/>
        <v>0</v>
      </c>
      <c r="BK209" s="3307">
        <f t="shared" si="142"/>
        <v>0</v>
      </c>
      <c r="BL209" s="3307">
        <f t="shared" si="143"/>
        <v>0</v>
      </c>
      <c r="BM209" s="3307">
        <f t="shared" si="144"/>
        <v>0</v>
      </c>
      <c r="BN209" s="3307">
        <f t="shared" si="145"/>
        <v>0</v>
      </c>
      <c r="BO209" s="3307">
        <f t="shared" si="146"/>
        <v>0</v>
      </c>
      <c r="BP209" s="3307">
        <f t="shared" si="147"/>
        <v>0</v>
      </c>
      <c r="BQ209" s="3307">
        <f t="shared" si="148"/>
        <v>0</v>
      </c>
      <c r="BR209" s="3307">
        <f t="shared" si="149"/>
        <v>0</v>
      </c>
      <c r="BS209" s="3307">
        <f t="shared" si="150"/>
        <v>0</v>
      </c>
      <c r="BT209" s="3359">
        <f t="shared" si="151"/>
        <v>0</v>
      </c>
    </row>
    <row r="210" spans="1:72">
      <c r="A210" s="3304"/>
      <c r="B210" s="3305"/>
      <c r="C210" s="3305"/>
      <c r="D210" s="3306"/>
      <c r="E210" s="3307">
        <f t="shared" si="123"/>
        <v>0</v>
      </c>
      <c r="F210" s="3308"/>
      <c r="G210" s="3309">
        <f t="shared" si="124"/>
        <v>0</v>
      </c>
      <c r="H210" s="3310">
        <f t="shared" si="125"/>
        <v>0</v>
      </c>
      <c r="I210" s="3317"/>
      <c r="J210" s="3317"/>
      <c r="K210" s="3317"/>
      <c r="L210" s="3317"/>
      <c r="M210" s="3317"/>
      <c r="N210" s="3317"/>
      <c r="O210" s="3317"/>
      <c r="P210" s="3317"/>
      <c r="Q210" s="3317"/>
      <c r="R210" s="3317"/>
      <c r="S210" s="3317"/>
      <c r="T210" s="3317"/>
      <c r="U210" s="3317"/>
      <c r="V210" s="3317"/>
      <c r="W210" s="3317"/>
      <c r="X210" s="3317"/>
      <c r="Y210" s="3317"/>
      <c r="Z210" s="3317"/>
      <c r="AA210" s="3317"/>
      <c r="AB210" s="3317"/>
      <c r="AC210" s="3307">
        <f t="shared" si="126"/>
        <v>0</v>
      </c>
      <c r="AD210" s="3327"/>
      <c r="AE210" s="3327"/>
      <c r="AF210" s="3327"/>
      <c r="AG210" s="3327"/>
      <c r="AH210" s="3327"/>
      <c r="AI210" s="3327"/>
      <c r="AJ210" s="3327"/>
      <c r="AK210" s="3327"/>
      <c r="AL210" s="3327"/>
      <c r="AM210" s="3327"/>
      <c r="AN210" s="3327"/>
      <c r="AO210" s="3327"/>
      <c r="AP210" s="3327"/>
      <c r="AQ210" s="3327"/>
      <c r="AR210" s="3327"/>
      <c r="AS210" s="3327"/>
      <c r="AT210" s="3337"/>
      <c r="AU210" s="3338"/>
      <c r="AV210" s="1410">
        <f t="shared" si="127"/>
        <v>0</v>
      </c>
      <c r="AW210" s="1410">
        <f t="shared" si="128"/>
        <v>0</v>
      </c>
      <c r="AX210" s="1410">
        <f t="shared" si="129"/>
        <v>0</v>
      </c>
      <c r="AY210" s="3352">
        <f t="shared" si="130"/>
        <v>0</v>
      </c>
      <c r="AZ210" s="3307">
        <f t="shared" si="131"/>
        <v>0</v>
      </c>
      <c r="BA210" s="3307">
        <f t="shared" si="132"/>
        <v>0</v>
      </c>
      <c r="BB210" s="3307">
        <f t="shared" si="133"/>
        <v>0</v>
      </c>
      <c r="BC210" s="3307">
        <f t="shared" si="134"/>
        <v>0</v>
      </c>
      <c r="BD210" s="3307">
        <f t="shared" si="135"/>
        <v>0</v>
      </c>
      <c r="BE210" s="3307">
        <f t="shared" si="136"/>
        <v>0</v>
      </c>
      <c r="BF210" s="3307">
        <f t="shared" si="137"/>
        <v>0</v>
      </c>
      <c r="BG210" s="3307">
        <f t="shared" si="138"/>
        <v>0</v>
      </c>
      <c r="BH210" s="3307">
        <f t="shared" si="139"/>
        <v>0</v>
      </c>
      <c r="BI210" s="3307">
        <f t="shared" si="140"/>
        <v>0</v>
      </c>
      <c r="BJ210" s="3307">
        <f t="shared" si="141"/>
        <v>0</v>
      </c>
      <c r="BK210" s="3307">
        <f t="shared" si="142"/>
        <v>0</v>
      </c>
      <c r="BL210" s="3307">
        <f t="shared" si="143"/>
        <v>0</v>
      </c>
      <c r="BM210" s="3307">
        <f t="shared" si="144"/>
        <v>0</v>
      </c>
      <c r="BN210" s="3307">
        <f t="shared" si="145"/>
        <v>0</v>
      </c>
      <c r="BO210" s="3307">
        <f t="shared" si="146"/>
        <v>0</v>
      </c>
      <c r="BP210" s="3307">
        <f t="shared" si="147"/>
        <v>0</v>
      </c>
      <c r="BQ210" s="3307">
        <f t="shared" si="148"/>
        <v>0</v>
      </c>
      <c r="BR210" s="3307">
        <f t="shared" si="149"/>
        <v>0</v>
      </c>
      <c r="BS210" s="3307">
        <f t="shared" si="150"/>
        <v>0</v>
      </c>
      <c r="BT210" s="3359">
        <f t="shared" si="151"/>
        <v>0</v>
      </c>
    </row>
    <row r="211" spans="1:72">
      <c r="A211" s="3304"/>
      <c r="B211" s="3305"/>
      <c r="C211" s="3305"/>
      <c r="D211" s="3306"/>
      <c r="E211" s="3307">
        <f t="shared" si="123"/>
        <v>0</v>
      </c>
      <c r="F211" s="3308"/>
      <c r="G211" s="3309">
        <f t="shared" si="124"/>
        <v>0</v>
      </c>
      <c r="H211" s="3310">
        <f t="shared" si="125"/>
        <v>0</v>
      </c>
      <c r="I211" s="3317"/>
      <c r="J211" s="3317"/>
      <c r="K211" s="3317"/>
      <c r="L211" s="3317"/>
      <c r="M211" s="3317"/>
      <c r="N211" s="3317"/>
      <c r="O211" s="3317"/>
      <c r="P211" s="3317"/>
      <c r="Q211" s="3317"/>
      <c r="R211" s="3317"/>
      <c r="S211" s="3317"/>
      <c r="T211" s="3317"/>
      <c r="U211" s="3317"/>
      <c r="V211" s="3317"/>
      <c r="W211" s="3317"/>
      <c r="X211" s="3317"/>
      <c r="Y211" s="3317"/>
      <c r="Z211" s="3317"/>
      <c r="AA211" s="3317"/>
      <c r="AB211" s="3317"/>
      <c r="AC211" s="3307">
        <f t="shared" si="126"/>
        <v>0</v>
      </c>
      <c r="AD211" s="3327"/>
      <c r="AE211" s="3327"/>
      <c r="AF211" s="3327"/>
      <c r="AG211" s="3327"/>
      <c r="AH211" s="3327"/>
      <c r="AI211" s="3327"/>
      <c r="AJ211" s="3327"/>
      <c r="AK211" s="3327"/>
      <c r="AL211" s="3327"/>
      <c r="AM211" s="3327"/>
      <c r="AN211" s="3327"/>
      <c r="AO211" s="3327"/>
      <c r="AP211" s="3327"/>
      <c r="AQ211" s="3327"/>
      <c r="AR211" s="3327"/>
      <c r="AS211" s="3327"/>
      <c r="AT211" s="3337"/>
      <c r="AU211" s="3338"/>
      <c r="AV211" s="1410">
        <f t="shared" si="127"/>
        <v>0</v>
      </c>
      <c r="AW211" s="1410">
        <f t="shared" si="128"/>
        <v>0</v>
      </c>
      <c r="AX211" s="1410">
        <f t="shared" si="129"/>
        <v>0</v>
      </c>
      <c r="AY211" s="3352">
        <f t="shared" si="130"/>
        <v>0</v>
      </c>
      <c r="AZ211" s="3307">
        <f t="shared" si="131"/>
        <v>0</v>
      </c>
      <c r="BA211" s="3307">
        <f t="shared" si="132"/>
        <v>0</v>
      </c>
      <c r="BB211" s="3307">
        <f t="shared" si="133"/>
        <v>0</v>
      </c>
      <c r="BC211" s="3307">
        <f t="shared" si="134"/>
        <v>0</v>
      </c>
      <c r="BD211" s="3307">
        <f t="shared" si="135"/>
        <v>0</v>
      </c>
      <c r="BE211" s="3307">
        <f t="shared" si="136"/>
        <v>0</v>
      </c>
      <c r="BF211" s="3307">
        <f t="shared" si="137"/>
        <v>0</v>
      </c>
      <c r="BG211" s="3307">
        <f t="shared" si="138"/>
        <v>0</v>
      </c>
      <c r="BH211" s="3307">
        <f t="shared" si="139"/>
        <v>0</v>
      </c>
      <c r="BI211" s="3307">
        <f t="shared" si="140"/>
        <v>0</v>
      </c>
      <c r="BJ211" s="3307">
        <f t="shared" si="141"/>
        <v>0</v>
      </c>
      <c r="BK211" s="3307">
        <f t="shared" si="142"/>
        <v>0</v>
      </c>
      <c r="BL211" s="3307">
        <f t="shared" si="143"/>
        <v>0</v>
      </c>
      <c r="BM211" s="3307">
        <f t="shared" si="144"/>
        <v>0</v>
      </c>
      <c r="BN211" s="3307">
        <f t="shared" si="145"/>
        <v>0</v>
      </c>
      <c r="BO211" s="3307">
        <f t="shared" si="146"/>
        <v>0</v>
      </c>
      <c r="BP211" s="3307">
        <f t="shared" si="147"/>
        <v>0</v>
      </c>
      <c r="BQ211" s="3307">
        <f t="shared" si="148"/>
        <v>0</v>
      </c>
      <c r="BR211" s="3307">
        <f t="shared" si="149"/>
        <v>0</v>
      </c>
      <c r="BS211" s="3307">
        <f t="shared" si="150"/>
        <v>0</v>
      </c>
      <c r="BT211" s="3359">
        <f t="shared" si="151"/>
        <v>0</v>
      </c>
    </row>
    <row r="212" spans="1:72">
      <c r="A212" s="3304"/>
      <c r="B212" s="3305"/>
      <c r="C212" s="3305"/>
      <c r="D212" s="3306"/>
      <c r="E212" s="3307">
        <f t="shared" si="123"/>
        <v>0</v>
      </c>
      <c r="F212" s="3308"/>
      <c r="G212" s="3309">
        <f t="shared" si="124"/>
        <v>0</v>
      </c>
      <c r="H212" s="3310">
        <f t="shared" si="125"/>
        <v>0</v>
      </c>
      <c r="I212" s="3317"/>
      <c r="J212" s="3317"/>
      <c r="K212" s="3317"/>
      <c r="L212" s="3317"/>
      <c r="M212" s="3317"/>
      <c r="N212" s="3317"/>
      <c r="O212" s="3317"/>
      <c r="P212" s="3317"/>
      <c r="Q212" s="3317"/>
      <c r="R212" s="3317"/>
      <c r="S212" s="3317"/>
      <c r="T212" s="3317"/>
      <c r="U212" s="3317"/>
      <c r="V212" s="3317"/>
      <c r="W212" s="3317"/>
      <c r="X212" s="3317"/>
      <c r="Y212" s="3317"/>
      <c r="Z212" s="3317"/>
      <c r="AA212" s="3317"/>
      <c r="AB212" s="3317"/>
      <c r="AC212" s="3307">
        <f t="shared" si="126"/>
        <v>0</v>
      </c>
      <c r="AD212" s="3327"/>
      <c r="AE212" s="3327"/>
      <c r="AF212" s="3327"/>
      <c r="AG212" s="3327"/>
      <c r="AH212" s="3327"/>
      <c r="AI212" s="3327"/>
      <c r="AJ212" s="3327"/>
      <c r="AK212" s="3327"/>
      <c r="AL212" s="3327"/>
      <c r="AM212" s="3327"/>
      <c r="AN212" s="3327"/>
      <c r="AO212" s="3327"/>
      <c r="AP212" s="3327"/>
      <c r="AQ212" s="3327"/>
      <c r="AR212" s="3327"/>
      <c r="AS212" s="3327"/>
      <c r="AT212" s="3337"/>
      <c r="AU212" s="3338"/>
      <c r="AV212" s="1410">
        <f t="shared" si="127"/>
        <v>0</v>
      </c>
      <c r="AW212" s="1410">
        <f t="shared" si="128"/>
        <v>0</v>
      </c>
      <c r="AX212" s="1410">
        <f t="shared" si="129"/>
        <v>0</v>
      </c>
      <c r="AY212" s="3352">
        <f t="shared" si="130"/>
        <v>0</v>
      </c>
      <c r="AZ212" s="3307">
        <f t="shared" si="131"/>
        <v>0</v>
      </c>
      <c r="BA212" s="3307">
        <f t="shared" si="132"/>
        <v>0</v>
      </c>
      <c r="BB212" s="3307">
        <f t="shared" si="133"/>
        <v>0</v>
      </c>
      <c r="BC212" s="3307">
        <f t="shared" si="134"/>
        <v>0</v>
      </c>
      <c r="BD212" s="3307">
        <f t="shared" si="135"/>
        <v>0</v>
      </c>
      <c r="BE212" s="3307">
        <f t="shared" si="136"/>
        <v>0</v>
      </c>
      <c r="BF212" s="3307">
        <f t="shared" si="137"/>
        <v>0</v>
      </c>
      <c r="BG212" s="3307">
        <f t="shared" si="138"/>
        <v>0</v>
      </c>
      <c r="BH212" s="3307">
        <f t="shared" si="139"/>
        <v>0</v>
      </c>
      <c r="BI212" s="3307">
        <f t="shared" si="140"/>
        <v>0</v>
      </c>
      <c r="BJ212" s="3307">
        <f t="shared" si="141"/>
        <v>0</v>
      </c>
      <c r="BK212" s="3307">
        <f t="shared" si="142"/>
        <v>0</v>
      </c>
      <c r="BL212" s="3307">
        <f t="shared" si="143"/>
        <v>0</v>
      </c>
      <c r="BM212" s="3307">
        <f t="shared" si="144"/>
        <v>0</v>
      </c>
      <c r="BN212" s="3307">
        <f t="shared" si="145"/>
        <v>0</v>
      </c>
      <c r="BO212" s="3307">
        <f t="shared" si="146"/>
        <v>0</v>
      </c>
      <c r="BP212" s="3307">
        <f t="shared" si="147"/>
        <v>0</v>
      </c>
      <c r="BQ212" s="3307">
        <f t="shared" si="148"/>
        <v>0</v>
      </c>
      <c r="BR212" s="3307">
        <f t="shared" si="149"/>
        <v>0</v>
      </c>
      <c r="BS212" s="3307">
        <f t="shared" si="150"/>
        <v>0</v>
      </c>
      <c r="BT212" s="3359">
        <f t="shared" si="151"/>
        <v>0</v>
      </c>
    </row>
    <row r="213" spans="1:72">
      <c r="A213" s="3304"/>
      <c r="B213" s="3305"/>
      <c r="C213" s="3305"/>
      <c r="D213" s="3306"/>
      <c r="E213" s="3307">
        <f t="shared" si="123"/>
        <v>0</v>
      </c>
      <c r="F213" s="3308"/>
      <c r="G213" s="3309">
        <f t="shared" si="124"/>
        <v>0</v>
      </c>
      <c r="H213" s="3310">
        <f t="shared" si="125"/>
        <v>0</v>
      </c>
      <c r="I213" s="3317"/>
      <c r="J213" s="3317"/>
      <c r="K213" s="3317"/>
      <c r="L213" s="3317"/>
      <c r="M213" s="3317"/>
      <c r="N213" s="3317"/>
      <c r="O213" s="3317"/>
      <c r="P213" s="3317"/>
      <c r="Q213" s="3317"/>
      <c r="R213" s="3317"/>
      <c r="S213" s="3317"/>
      <c r="T213" s="3317"/>
      <c r="U213" s="3317"/>
      <c r="V213" s="3317"/>
      <c r="W213" s="3317"/>
      <c r="X213" s="3317"/>
      <c r="Y213" s="3317"/>
      <c r="Z213" s="3317"/>
      <c r="AA213" s="3317"/>
      <c r="AB213" s="3317"/>
      <c r="AC213" s="3307">
        <f t="shared" si="126"/>
        <v>0</v>
      </c>
      <c r="AD213" s="3327"/>
      <c r="AE213" s="3327"/>
      <c r="AF213" s="3327"/>
      <c r="AG213" s="3327"/>
      <c r="AH213" s="3327"/>
      <c r="AI213" s="3327"/>
      <c r="AJ213" s="3327"/>
      <c r="AK213" s="3327"/>
      <c r="AL213" s="3327"/>
      <c r="AM213" s="3327"/>
      <c r="AN213" s="3327"/>
      <c r="AO213" s="3327"/>
      <c r="AP213" s="3327"/>
      <c r="AQ213" s="3327"/>
      <c r="AR213" s="3327"/>
      <c r="AS213" s="3327"/>
      <c r="AT213" s="3337"/>
      <c r="AU213" s="3338"/>
      <c r="AV213" s="1410">
        <f t="shared" si="127"/>
        <v>0</v>
      </c>
      <c r="AW213" s="1410">
        <f t="shared" si="128"/>
        <v>0</v>
      </c>
      <c r="AX213" s="1410">
        <f t="shared" si="129"/>
        <v>0</v>
      </c>
      <c r="AY213" s="3352">
        <f t="shared" si="130"/>
        <v>0</v>
      </c>
      <c r="AZ213" s="3307">
        <f t="shared" si="131"/>
        <v>0</v>
      </c>
      <c r="BA213" s="3307">
        <f t="shared" si="132"/>
        <v>0</v>
      </c>
      <c r="BB213" s="3307">
        <f t="shared" si="133"/>
        <v>0</v>
      </c>
      <c r="BC213" s="3307">
        <f t="shared" si="134"/>
        <v>0</v>
      </c>
      <c r="BD213" s="3307">
        <f t="shared" si="135"/>
        <v>0</v>
      </c>
      <c r="BE213" s="3307">
        <f t="shared" si="136"/>
        <v>0</v>
      </c>
      <c r="BF213" s="3307">
        <f t="shared" si="137"/>
        <v>0</v>
      </c>
      <c r="BG213" s="3307">
        <f t="shared" si="138"/>
        <v>0</v>
      </c>
      <c r="BH213" s="3307">
        <f t="shared" si="139"/>
        <v>0</v>
      </c>
      <c r="BI213" s="3307">
        <f t="shared" si="140"/>
        <v>0</v>
      </c>
      <c r="BJ213" s="3307">
        <f t="shared" si="141"/>
        <v>0</v>
      </c>
      <c r="BK213" s="3307">
        <f t="shared" si="142"/>
        <v>0</v>
      </c>
      <c r="BL213" s="3307">
        <f t="shared" si="143"/>
        <v>0</v>
      </c>
      <c r="BM213" s="3307">
        <f t="shared" si="144"/>
        <v>0</v>
      </c>
      <c r="BN213" s="3307">
        <f t="shared" si="145"/>
        <v>0</v>
      </c>
      <c r="BO213" s="3307">
        <f t="shared" si="146"/>
        <v>0</v>
      </c>
      <c r="BP213" s="3307">
        <f t="shared" si="147"/>
        <v>0</v>
      </c>
      <c r="BQ213" s="3307">
        <f t="shared" si="148"/>
        <v>0</v>
      </c>
      <c r="BR213" s="3307">
        <f t="shared" si="149"/>
        <v>0</v>
      </c>
      <c r="BS213" s="3307">
        <f t="shared" si="150"/>
        <v>0</v>
      </c>
      <c r="BT213" s="3359">
        <f t="shared" si="151"/>
        <v>0</v>
      </c>
    </row>
    <row r="214" spans="1:72">
      <c r="A214" s="3304"/>
      <c r="B214" s="3305"/>
      <c r="C214" s="3305"/>
      <c r="D214" s="3306"/>
      <c r="E214" s="3307">
        <f t="shared" si="123"/>
        <v>0</v>
      </c>
      <c r="F214" s="3308"/>
      <c r="G214" s="3309">
        <f t="shared" si="124"/>
        <v>0</v>
      </c>
      <c r="H214" s="3310">
        <f t="shared" si="125"/>
        <v>0</v>
      </c>
      <c r="I214" s="3317"/>
      <c r="J214" s="3317"/>
      <c r="K214" s="3317"/>
      <c r="L214" s="3317"/>
      <c r="M214" s="3317"/>
      <c r="N214" s="3317"/>
      <c r="O214" s="3317"/>
      <c r="P214" s="3317"/>
      <c r="Q214" s="3317"/>
      <c r="R214" s="3317"/>
      <c r="S214" s="3317"/>
      <c r="T214" s="3317"/>
      <c r="U214" s="3317"/>
      <c r="V214" s="3317"/>
      <c r="W214" s="3317"/>
      <c r="X214" s="3317"/>
      <c r="Y214" s="3317"/>
      <c r="Z214" s="3317"/>
      <c r="AA214" s="3317"/>
      <c r="AB214" s="3317"/>
      <c r="AC214" s="3307">
        <f t="shared" si="126"/>
        <v>0</v>
      </c>
      <c r="AD214" s="3327"/>
      <c r="AE214" s="3327"/>
      <c r="AF214" s="3327"/>
      <c r="AG214" s="3327"/>
      <c r="AH214" s="3327"/>
      <c r="AI214" s="3327"/>
      <c r="AJ214" s="3327"/>
      <c r="AK214" s="3327"/>
      <c r="AL214" s="3327"/>
      <c r="AM214" s="3327"/>
      <c r="AN214" s="3327"/>
      <c r="AO214" s="3327"/>
      <c r="AP214" s="3327"/>
      <c r="AQ214" s="3327"/>
      <c r="AR214" s="3327"/>
      <c r="AS214" s="3327"/>
      <c r="AT214" s="3337"/>
      <c r="AU214" s="3338"/>
      <c r="AV214" s="1410">
        <f t="shared" si="127"/>
        <v>0</v>
      </c>
      <c r="AW214" s="1410">
        <f t="shared" si="128"/>
        <v>0</v>
      </c>
      <c r="AX214" s="1410">
        <f t="shared" si="129"/>
        <v>0</v>
      </c>
      <c r="AY214" s="3352">
        <f t="shared" si="130"/>
        <v>0</v>
      </c>
      <c r="AZ214" s="3307">
        <f t="shared" si="131"/>
        <v>0</v>
      </c>
      <c r="BA214" s="3307">
        <f t="shared" si="132"/>
        <v>0</v>
      </c>
      <c r="BB214" s="3307">
        <f t="shared" si="133"/>
        <v>0</v>
      </c>
      <c r="BC214" s="3307">
        <f t="shared" si="134"/>
        <v>0</v>
      </c>
      <c r="BD214" s="3307">
        <f t="shared" si="135"/>
        <v>0</v>
      </c>
      <c r="BE214" s="3307">
        <f t="shared" si="136"/>
        <v>0</v>
      </c>
      <c r="BF214" s="3307">
        <f t="shared" si="137"/>
        <v>0</v>
      </c>
      <c r="BG214" s="3307">
        <f t="shared" si="138"/>
        <v>0</v>
      </c>
      <c r="BH214" s="3307">
        <f t="shared" si="139"/>
        <v>0</v>
      </c>
      <c r="BI214" s="3307">
        <f t="shared" si="140"/>
        <v>0</v>
      </c>
      <c r="BJ214" s="3307">
        <f t="shared" si="141"/>
        <v>0</v>
      </c>
      <c r="BK214" s="3307">
        <f t="shared" si="142"/>
        <v>0</v>
      </c>
      <c r="BL214" s="3307">
        <f t="shared" si="143"/>
        <v>0</v>
      </c>
      <c r="BM214" s="3307">
        <f t="shared" si="144"/>
        <v>0</v>
      </c>
      <c r="BN214" s="3307">
        <f t="shared" si="145"/>
        <v>0</v>
      </c>
      <c r="BO214" s="3307">
        <f t="shared" si="146"/>
        <v>0</v>
      </c>
      <c r="BP214" s="3307">
        <f t="shared" si="147"/>
        <v>0</v>
      </c>
      <c r="BQ214" s="3307">
        <f t="shared" si="148"/>
        <v>0</v>
      </c>
      <c r="BR214" s="3307">
        <f t="shared" si="149"/>
        <v>0</v>
      </c>
      <c r="BS214" s="3307">
        <f t="shared" si="150"/>
        <v>0</v>
      </c>
      <c r="BT214" s="3359">
        <f t="shared" si="151"/>
        <v>0</v>
      </c>
    </row>
    <row r="215" spans="1:72">
      <c r="A215" s="3304"/>
      <c r="B215" s="3305"/>
      <c r="C215" s="3305"/>
      <c r="D215" s="3306"/>
      <c r="E215" s="3307">
        <f t="shared" si="123"/>
        <v>0</v>
      </c>
      <c r="F215" s="3308"/>
      <c r="G215" s="3309">
        <f t="shared" si="124"/>
        <v>0</v>
      </c>
      <c r="H215" s="3310">
        <f t="shared" si="125"/>
        <v>0</v>
      </c>
      <c r="I215" s="3317"/>
      <c r="J215" s="3317"/>
      <c r="K215" s="3317"/>
      <c r="L215" s="3317"/>
      <c r="M215" s="3317"/>
      <c r="N215" s="3317"/>
      <c r="O215" s="3317"/>
      <c r="P215" s="3317"/>
      <c r="Q215" s="3317"/>
      <c r="R215" s="3317"/>
      <c r="S215" s="3317"/>
      <c r="T215" s="3317"/>
      <c r="U215" s="3317"/>
      <c r="V215" s="3317"/>
      <c r="W215" s="3317"/>
      <c r="X215" s="3317"/>
      <c r="Y215" s="3317"/>
      <c r="Z215" s="3317"/>
      <c r="AA215" s="3317"/>
      <c r="AB215" s="3317"/>
      <c r="AC215" s="3307">
        <f t="shared" si="126"/>
        <v>0</v>
      </c>
      <c r="AD215" s="3327"/>
      <c r="AE215" s="3327"/>
      <c r="AF215" s="3327"/>
      <c r="AG215" s="3327"/>
      <c r="AH215" s="3327"/>
      <c r="AI215" s="3327"/>
      <c r="AJ215" s="3327"/>
      <c r="AK215" s="3327"/>
      <c r="AL215" s="3327"/>
      <c r="AM215" s="3327"/>
      <c r="AN215" s="3327"/>
      <c r="AO215" s="3327"/>
      <c r="AP215" s="3327"/>
      <c r="AQ215" s="3327"/>
      <c r="AR215" s="3327"/>
      <c r="AS215" s="3327"/>
      <c r="AT215" s="3337"/>
      <c r="AU215" s="3338"/>
      <c r="AV215" s="1410">
        <f t="shared" si="127"/>
        <v>0</v>
      </c>
      <c r="AW215" s="1410">
        <f t="shared" si="128"/>
        <v>0</v>
      </c>
      <c r="AX215" s="1410">
        <f t="shared" si="129"/>
        <v>0</v>
      </c>
      <c r="AY215" s="3352">
        <f t="shared" si="130"/>
        <v>0</v>
      </c>
      <c r="AZ215" s="3307">
        <f t="shared" si="131"/>
        <v>0</v>
      </c>
      <c r="BA215" s="3307">
        <f t="shared" si="132"/>
        <v>0</v>
      </c>
      <c r="BB215" s="3307">
        <f t="shared" si="133"/>
        <v>0</v>
      </c>
      <c r="BC215" s="3307">
        <f t="shared" si="134"/>
        <v>0</v>
      </c>
      <c r="BD215" s="3307">
        <f t="shared" si="135"/>
        <v>0</v>
      </c>
      <c r="BE215" s="3307">
        <f t="shared" si="136"/>
        <v>0</v>
      </c>
      <c r="BF215" s="3307">
        <f t="shared" si="137"/>
        <v>0</v>
      </c>
      <c r="BG215" s="3307">
        <f t="shared" si="138"/>
        <v>0</v>
      </c>
      <c r="BH215" s="3307">
        <f t="shared" si="139"/>
        <v>0</v>
      </c>
      <c r="BI215" s="3307">
        <f t="shared" si="140"/>
        <v>0</v>
      </c>
      <c r="BJ215" s="3307">
        <f t="shared" si="141"/>
        <v>0</v>
      </c>
      <c r="BK215" s="3307">
        <f t="shared" si="142"/>
        <v>0</v>
      </c>
      <c r="BL215" s="3307">
        <f t="shared" si="143"/>
        <v>0</v>
      </c>
      <c r="BM215" s="3307">
        <f t="shared" si="144"/>
        <v>0</v>
      </c>
      <c r="BN215" s="3307">
        <f t="shared" si="145"/>
        <v>0</v>
      </c>
      <c r="BO215" s="3307">
        <f t="shared" si="146"/>
        <v>0</v>
      </c>
      <c r="BP215" s="3307">
        <f t="shared" si="147"/>
        <v>0</v>
      </c>
      <c r="BQ215" s="3307">
        <f t="shared" si="148"/>
        <v>0</v>
      </c>
      <c r="BR215" s="3307">
        <f t="shared" si="149"/>
        <v>0</v>
      </c>
      <c r="BS215" s="3307">
        <f t="shared" si="150"/>
        <v>0</v>
      </c>
      <c r="BT215" s="3359">
        <f t="shared" si="151"/>
        <v>0</v>
      </c>
    </row>
    <row r="216" spans="1:72">
      <c r="A216" s="3304"/>
      <c r="B216" s="3305"/>
      <c r="C216" s="3305"/>
      <c r="D216" s="3306"/>
      <c r="E216" s="3307">
        <f t="shared" si="123"/>
        <v>0</v>
      </c>
      <c r="F216" s="3308"/>
      <c r="G216" s="3309">
        <f t="shared" si="124"/>
        <v>0</v>
      </c>
      <c r="H216" s="3310">
        <f t="shared" si="125"/>
        <v>0</v>
      </c>
      <c r="I216" s="3317"/>
      <c r="J216" s="3317"/>
      <c r="K216" s="3317"/>
      <c r="L216" s="3317"/>
      <c r="M216" s="3317"/>
      <c r="N216" s="3317"/>
      <c r="O216" s="3317"/>
      <c r="P216" s="3317"/>
      <c r="Q216" s="3317"/>
      <c r="R216" s="3317"/>
      <c r="S216" s="3317"/>
      <c r="T216" s="3317"/>
      <c r="U216" s="3317"/>
      <c r="V216" s="3317"/>
      <c r="W216" s="3317"/>
      <c r="X216" s="3317"/>
      <c r="Y216" s="3317"/>
      <c r="Z216" s="3317"/>
      <c r="AA216" s="3317"/>
      <c r="AB216" s="3317"/>
      <c r="AC216" s="3307">
        <f t="shared" si="126"/>
        <v>0</v>
      </c>
      <c r="AD216" s="3327"/>
      <c r="AE216" s="3327"/>
      <c r="AF216" s="3327"/>
      <c r="AG216" s="3327"/>
      <c r="AH216" s="3327"/>
      <c r="AI216" s="3327"/>
      <c r="AJ216" s="3327"/>
      <c r="AK216" s="3327"/>
      <c r="AL216" s="3327"/>
      <c r="AM216" s="3327"/>
      <c r="AN216" s="3327"/>
      <c r="AO216" s="3327"/>
      <c r="AP216" s="3327"/>
      <c r="AQ216" s="3327"/>
      <c r="AR216" s="3327"/>
      <c r="AS216" s="3327"/>
      <c r="AT216" s="3337"/>
      <c r="AU216" s="3338"/>
      <c r="AV216" s="1410">
        <f t="shared" si="127"/>
        <v>0</v>
      </c>
      <c r="AW216" s="1410">
        <f t="shared" si="128"/>
        <v>0</v>
      </c>
      <c r="AX216" s="1410">
        <f t="shared" si="129"/>
        <v>0</v>
      </c>
      <c r="AY216" s="3352">
        <f t="shared" si="130"/>
        <v>0</v>
      </c>
      <c r="AZ216" s="3307">
        <f t="shared" si="131"/>
        <v>0</v>
      </c>
      <c r="BA216" s="3307">
        <f t="shared" si="132"/>
        <v>0</v>
      </c>
      <c r="BB216" s="3307">
        <f t="shared" si="133"/>
        <v>0</v>
      </c>
      <c r="BC216" s="3307">
        <f t="shared" si="134"/>
        <v>0</v>
      </c>
      <c r="BD216" s="3307">
        <f t="shared" si="135"/>
        <v>0</v>
      </c>
      <c r="BE216" s="3307">
        <f t="shared" si="136"/>
        <v>0</v>
      </c>
      <c r="BF216" s="3307">
        <f t="shared" si="137"/>
        <v>0</v>
      </c>
      <c r="BG216" s="3307">
        <f t="shared" si="138"/>
        <v>0</v>
      </c>
      <c r="BH216" s="3307">
        <f t="shared" si="139"/>
        <v>0</v>
      </c>
      <c r="BI216" s="3307">
        <f t="shared" si="140"/>
        <v>0</v>
      </c>
      <c r="BJ216" s="3307">
        <f t="shared" si="141"/>
        <v>0</v>
      </c>
      <c r="BK216" s="3307">
        <f t="shared" si="142"/>
        <v>0</v>
      </c>
      <c r="BL216" s="3307">
        <f t="shared" si="143"/>
        <v>0</v>
      </c>
      <c r="BM216" s="3307">
        <f t="shared" si="144"/>
        <v>0</v>
      </c>
      <c r="BN216" s="3307">
        <f t="shared" si="145"/>
        <v>0</v>
      </c>
      <c r="BO216" s="3307">
        <f t="shared" si="146"/>
        <v>0</v>
      </c>
      <c r="BP216" s="3307">
        <f t="shared" si="147"/>
        <v>0</v>
      </c>
      <c r="BQ216" s="3307">
        <f t="shared" si="148"/>
        <v>0</v>
      </c>
      <c r="BR216" s="3307">
        <f t="shared" si="149"/>
        <v>0</v>
      </c>
      <c r="BS216" s="3307">
        <f t="shared" si="150"/>
        <v>0</v>
      </c>
      <c r="BT216" s="3359">
        <f t="shared" si="151"/>
        <v>0</v>
      </c>
    </row>
    <row r="217" spans="1:72">
      <c r="A217" s="3304"/>
      <c r="B217" s="3305"/>
      <c r="C217" s="3305"/>
      <c r="D217" s="3306"/>
      <c r="E217" s="3307">
        <f t="shared" si="123"/>
        <v>0</v>
      </c>
      <c r="F217" s="3308"/>
      <c r="G217" s="3309">
        <f t="shared" si="124"/>
        <v>0</v>
      </c>
      <c r="H217" s="3310">
        <f t="shared" si="125"/>
        <v>0</v>
      </c>
      <c r="I217" s="3317"/>
      <c r="J217" s="3317"/>
      <c r="K217" s="3317"/>
      <c r="L217" s="3317"/>
      <c r="M217" s="3317"/>
      <c r="N217" s="3317"/>
      <c r="O217" s="3317"/>
      <c r="P217" s="3317"/>
      <c r="Q217" s="3317"/>
      <c r="R217" s="3317"/>
      <c r="S217" s="3317"/>
      <c r="T217" s="3317"/>
      <c r="U217" s="3317"/>
      <c r="V217" s="3317"/>
      <c r="W217" s="3317"/>
      <c r="X217" s="3317"/>
      <c r="Y217" s="3317"/>
      <c r="Z217" s="3317"/>
      <c r="AA217" s="3317"/>
      <c r="AB217" s="3317"/>
      <c r="AC217" s="3307">
        <f t="shared" si="126"/>
        <v>0</v>
      </c>
      <c r="AD217" s="3327"/>
      <c r="AE217" s="3327"/>
      <c r="AF217" s="3327"/>
      <c r="AG217" s="3327"/>
      <c r="AH217" s="3327"/>
      <c r="AI217" s="3327"/>
      <c r="AJ217" s="3327"/>
      <c r="AK217" s="3327"/>
      <c r="AL217" s="3327"/>
      <c r="AM217" s="3327"/>
      <c r="AN217" s="3327"/>
      <c r="AO217" s="3327"/>
      <c r="AP217" s="3327"/>
      <c r="AQ217" s="3327"/>
      <c r="AR217" s="3327"/>
      <c r="AS217" s="3327"/>
      <c r="AT217" s="3337"/>
      <c r="AU217" s="3338"/>
      <c r="AV217" s="1410">
        <f t="shared" si="127"/>
        <v>0</v>
      </c>
      <c r="AW217" s="1410">
        <f t="shared" si="128"/>
        <v>0</v>
      </c>
      <c r="AX217" s="1410">
        <f t="shared" si="129"/>
        <v>0</v>
      </c>
      <c r="AY217" s="3352">
        <f t="shared" si="130"/>
        <v>0</v>
      </c>
      <c r="AZ217" s="3307">
        <f t="shared" si="131"/>
        <v>0</v>
      </c>
      <c r="BA217" s="3307">
        <f t="shared" si="132"/>
        <v>0</v>
      </c>
      <c r="BB217" s="3307">
        <f t="shared" si="133"/>
        <v>0</v>
      </c>
      <c r="BC217" s="3307">
        <f t="shared" si="134"/>
        <v>0</v>
      </c>
      <c r="BD217" s="3307">
        <f t="shared" si="135"/>
        <v>0</v>
      </c>
      <c r="BE217" s="3307">
        <f t="shared" si="136"/>
        <v>0</v>
      </c>
      <c r="BF217" s="3307">
        <f t="shared" si="137"/>
        <v>0</v>
      </c>
      <c r="BG217" s="3307">
        <f t="shared" si="138"/>
        <v>0</v>
      </c>
      <c r="BH217" s="3307">
        <f t="shared" si="139"/>
        <v>0</v>
      </c>
      <c r="BI217" s="3307">
        <f t="shared" si="140"/>
        <v>0</v>
      </c>
      <c r="BJ217" s="3307">
        <f t="shared" si="141"/>
        <v>0</v>
      </c>
      <c r="BK217" s="3307">
        <f t="shared" si="142"/>
        <v>0</v>
      </c>
      <c r="BL217" s="3307">
        <f t="shared" si="143"/>
        <v>0</v>
      </c>
      <c r="BM217" s="3307">
        <f t="shared" si="144"/>
        <v>0</v>
      </c>
      <c r="BN217" s="3307">
        <f t="shared" si="145"/>
        <v>0</v>
      </c>
      <c r="BO217" s="3307">
        <f t="shared" si="146"/>
        <v>0</v>
      </c>
      <c r="BP217" s="3307">
        <f t="shared" si="147"/>
        <v>0</v>
      </c>
      <c r="BQ217" s="3307">
        <f t="shared" si="148"/>
        <v>0</v>
      </c>
      <c r="BR217" s="3307">
        <f t="shared" si="149"/>
        <v>0</v>
      </c>
      <c r="BS217" s="3307">
        <f t="shared" si="150"/>
        <v>0</v>
      </c>
      <c r="BT217" s="3359">
        <f t="shared" si="151"/>
        <v>0</v>
      </c>
    </row>
    <row r="218" spans="1:72">
      <c r="A218" s="3304"/>
      <c r="B218" s="3305"/>
      <c r="C218" s="3305"/>
      <c r="D218" s="3306"/>
      <c r="E218" s="3307">
        <f t="shared" si="123"/>
        <v>0</v>
      </c>
      <c r="F218" s="3308"/>
      <c r="G218" s="3309">
        <f t="shared" si="124"/>
        <v>0</v>
      </c>
      <c r="H218" s="3310">
        <f t="shared" si="125"/>
        <v>0</v>
      </c>
      <c r="I218" s="3317"/>
      <c r="J218" s="3317"/>
      <c r="K218" s="3317"/>
      <c r="L218" s="3317"/>
      <c r="M218" s="3317"/>
      <c r="N218" s="3317"/>
      <c r="O218" s="3317"/>
      <c r="P218" s="3317"/>
      <c r="Q218" s="3317"/>
      <c r="R218" s="3317"/>
      <c r="S218" s="3317"/>
      <c r="T218" s="3317"/>
      <c r="U218" s="3317"/>
      <c r="V218" s="3317"/>
      <c r="W218" s="3317"/>
      <c r="X218" s="3317"/>
      <c r="Y218" s="3317"/>
      <c r="Z218" s="3317"/>
      <c r="AA218" s="3317"/>
      <c r="AB218" s="3317"/>
      <c r="AC218" s="3307">
        <f t="shared" si="126"/>
        <v>0</v>
      </c>
      <c r="AD218" s="3327"/>
      <c r="AE218" s="3327"/>
      <c r="AF218" s="3327"/>
      <c r="AG218" s="3327"/>
      <c r="AH218" s="3327"/>
      <c r="AI218" s="3327"/>
      <c r="AJ218" s="3327"/>
      <c r="AK218" s="3327"/>
      <c r="AL218" s="3327"/>
      <c r="AM218" s="3327"/>
      <c r="AN218" s="3327"/>
      <c r="AO218" s="3327"/>
      <c r="AP218" s="3327"/>
      <c r="AQ218" s="3327"/>
      <c r="AR218" s="3327"/>
      <c r="AS218" s="3327"/>
      <c r="AT218" s="3337"/>
      <c r="AU218" s="3338"/>
      <c r="AV218" s="1410">
        <f t="shared" si="127"/>
        <v>0</v>
      </c>
      <c r="AW218" s="1410">
        <f t="shared" si="128"/>
        <v>0</v>
      </c>
      <c r="AX218" s="1410">
        <f t="shared" si="129"/>
        <v>0</v>
      </c>
      <c r="AY218" s="3352">
        <f t="shared" si="130"/>
        <v>0</v>
      </c>
      <c r="AZ218" s="3307">
        <f t="shared" si="131"/>
        <v>0</v>
      </c>
      <c r="BA218" s="3307">
        <f t="shared" si="132"/>
        <v>0</v>
      </c>
      <c r="BB218" s="3307">
        <f t="shared" si="133"/>
        <v>0</v>
      </c>
      <c r="BC218" s="3307">
        <f t="shared" si="134"/>
        <v>0</v>
      </c>
      <c r="BD218" s="3307">
        <f t="shared" si="135"/>
        <v>0</v>
      </c>
      <c r="BE218" s="3307">
        <f t="shared" si="136"/>
        <v>0</v>
      </c>
      <c r="BF218" s="3307">
        <f t="shared" si="137"/>
        <v>0</v>
      </c>
      <c r="BG218" s="3307">
        <f t="shared" si="138"/>
        <v>0</v>
      </c>
      <c r="BH218" s="3307">
        <f t="shared" si="139"/>
        <v>0</v>
      </c>
      <c r="BI218" s="3307">
        <f t="shared" si="140"/>
        <v>0</v>
      </c>
      <c r="BJ218" s="3307">
        <f t="shared" si="141"/>
        <v>0</v>
      </c>
      <c r="BK218" s="3307">
        <f t="shared" si="142"/>
        <v>0</v>
      </c>
      <c r="BL218" s="3307">
        <f t="shared" si="143"/>
        <v>0</v>
      </c>
      <c r="BM218" s="3307">
        <f t="shared" si="144"/>
        <v>0</v>
      </c>
      <c r="BN218" s="3307">
        <f t="shared" si="145"/>
        <v>0</v>
      </c>
      <c r="BO218" s="3307">
        <f t="shared" si="146"/>
        <v>0</v>
      </c>
      <c r="BP218" s="3307">
        <f t="shared" si="147"/>
        <v>0</v>
      </c>
      <c r="BQ218" s="3307">
        <f t="shared" si="148"/>
        <v>0</v>
      </c>
      <c r="BR218" s="3307">
        <f t="shared" si="149"/>
        <v>0</v>
      </c>
      <c r="BS218" s="3307">
        <f t="shared" si="150"/>
        <v>0</v>
      </c>
      <c r="BT218" s="3359">
        <f t="shared" si="151"/>
        <v>0</v>
      </c>
    </row>
    <row r="219" spans="1:72">
      <c r="A219" s="3304"/>
      <c r="B219" s="3305"/>
      <c r="C219" s="3305"/>
      <c r="D219" s="3306"/>
      <c r="E219" s="3307">
        <f t="shared" si="123"/>
        <v>0</v>
      </c>
      <c r="F219" s="3308"/>
      <c r="G219" s="3309">
        <f t="shared" si="124"/>
        <v>0</v>
      </c>
      <c r="H219" s="3310">
        <f t="shared" si="125"/>
        <v>0</v>
      </c>
      <c r="I219" s="3317"/>
      <c r="J219" s="3317"/>
      <c r="K219" s="3317"/>
      <c r="L219" s="3317"/>
      <c r="M219" s="3317"/>
      <c r="N219" s="3317"/>
      <c r="O219" s="3317"/>
      <c r="P219" s="3317"/>
      <c r="Q219" s="3317"/>
      <c r="R219" s="3317"/>
      <c r="S219" s="3317"/>
      <c r="T219" s="3317"/>
      <c r="U219" s="3317"/>
      <c r="V219" s="3317"/>
      <c r="W219" s="3317"/>
      <c r="X219" s="3317"/>
      <c r="Y219" s="3317"/>
      <c r="Z219" s="3317"/>
      <c r="AA219" s="3317"/>
      <c r="AB219" s="3317"/>
      <c r="AC219" s="3307">
        <f t="shared" si="126"/>
        <v>0</v>
      </c>
      <c r="AD219" s="3327"/>
      <c r="AE219" s="3327"/>
      <c r="AF219" s="3327"/>
      <c r="AG219" s="3327"/>
      <c r="AH219" s="3327"/>
      <c r="AI219" s="3327"/>
      <c r="AJ219" s="3327"/>
      <c r="AK219" s="3327"/>
      <c r="AL219" s="3327"/>
      <c r="AM219" s="3327"/>
      <c r="AN219" s="3327"/>
      <c r="AO219" s="3327"/>
      <c r="AP219" s="3327"/>
      <c r="AQ219" s="3327"/>
      <c r="AR219" s="3327"/>
      <c r="AS219" s="3327"/>
      <c r="AT219" s="3337"/>
      <c r="AU219" s="3338"/>
      <c r="AV219" s="1410">
        <f t="shared" si="127"/>
        <v>0</v>
      </c>
      <c r="AW219" s="1410">
        <f t="shared" si="128"/>
        <v>0</v>
      </c>
      <c r="AX219" s="1410">
        <f t="shared" si="129"/>
        <v>0</v>
      </c>
      <c r="AY219" s="3352">
        <f t="shared" si="130"/>
        <v>0</v>
      </c>
      <c r="AZ219" s="3307">
        <f t="shared" si="131"/>
        <v>0</v>
      </c>
      <c r="BA219" s="3307">
        <f t="shared" si="132"/>
        <v>0</v>
      </c>
      <c r="BB219" s="3307">
        <f t="shared" si="133"/>
        <v>0</v>
      </c>
      <c r="BC219" s="3307">
        <f t="shared" si="134"/>
        <v>0</v>
      </c>
      <c r="BD219" s="3307">
        <f t="shared" si="135"/>
        <v>0</v>
      </c>
      <c r="BE219" s="3307">
        <f t="shared" si="136"/>
        <v>0</v>
      </c>
      <c r="BF219" s="3307">
        <f t="shared" si="137"/>
        <v>0</v>
      </c>
      <c r="BG219" s="3307">
        <f t="shared" si="138"/>
        <v>0</v>
      </c>
      <c r="BH219" s="3307">
        <f t="shared" si="139"/>
        <v>0</v>
      </c>
      <c r="BI219" s="3307">
        <f t="shared" si="140"/>
        <v>0</v>
      </c>
      <c r="BJ219" s="3307">
        <f t="shared" si="141"/>
        <v>0</v>
      </c>
      <c r="BK219" s="3307">
        <f t="shared" si="142"/>
        <v>0</v>
      </c>
      <c r="BL219" s="3307">
        <f t="shared" si="143"/>
        <v>0</v>
      </c>
      <c r="BM219" s="3307">
        <f t="shared" si="144"/>
        <v>0</v>
      </c>
      <c r="BN219" s="3307">
        <f t="shared" si="145"/>
        <v>0</v>
      </c>
      <c r="BO219" s="3307">
        <f t="shared" si="146"/>
        <v>0</v>
      </c>
      <c r="BP219" s="3307">
        <f t="shared" si="147"/>
        <v>0</v>
      </c>
      <c r="BQ219" s="3307">
        <f t="shared" si="148"/>
        <v>0</v>
      </c>
      <c r="BR219" s="3307">
        <f t="shared" si="149"/>
        <v>0</v>
      </c>
      <c r="BS219" s="3307">
        <f t="shared" si="150"/>
        <v>0</v>
      </c>
      <c r="BT219" s="3359">
        <f t="shared" si="151"/>
        <v>0</v>
      </c>
    </row>
    <row r="220" spans="1:72">
      <c r="A220" s="3304"/>
      <c r="B220" s="3305"/>
      <c r="C220" s="3305"/>
      <c r="D220" s="3306"/>
      <c r="E220" s="3307">
        <f t="shared" si="123"/>
        <v>0</v>
      </c>
      <c r="F220" s="3308"/>
      <c r="G220" s="3309">
        <f t="shared" si="124"/>
        <v>0</v>
      </c>
      <c r="H220" s="3310">
        <f t="shared" si="125"/>
        <v>0</v>
      </c>
      <c r="I220" s="3317"/>
      <c r="J220" s="3317"/>
      <c r="K220" s="3317"/>
      <c r="L220" s="3317"/>
      <c r="M220" s="3317"/>
      <c r="N220" s="3317"/>
      <c r="O220" s="3317"/>
      <c r="P220" s="3317"/>
      <c r="Q220" s="3317"/>
      <c r="R220" s="3317"/>
      <c r="S220" s="3317"/>
      <c r="T220" s="3317"/>
      <c r="U220" s="3317"/>
      <c r="V220" s="3317"/>
      <c r="W220" s="3317"/>
      <c r="X220" s="3317"/>
      <c r="Y220" s="3317"/>
      <c r="Z220" s="3317"/>
      <c r="AA220" s="3317"/>
      <c r="AB220" s="3317"/>
      <c r="AC220" s="3307">
        <f t="shared" si="126"/>
        <v>0</v>
      </c>
      <c r="AD220" s="3327"/>
      <c r="AE220" s="3327"/>
      <c r="AF220" s="3327"/>
      <c r="AG220" s="3327"/>
      <c r="AH220" s="3327"/>
      <c r="AI220" s="3327"/>
      <c r="AJ220" s="3327"/>
      <c r="AK220" s="3327"/>
      <c r="AL220" s="3327"/>
      <c r="AM220" s="3327"/>
      <c r="AN220" s="3327"/>
      <c r="AO220" s="3327"/>
      <c r="AP220" s="3327"/>
      <c r="AQ220" s="3327"/>
      <c r="AR220" s="3327"/>
      <c r="AS220" s="3327"/>
      <c r="AT220" s="3337"/>
      <c r="AU220" s="3338"/>
      <c r="AV220" s="1410">
        <f t="shared" si="127"/>
        <v>0</v>
      </c>
      <c r="AW220" s="1410">
        <f t="shared" si="128"/>
        <v>0</v>
      </c>
      <c r="AX220" s="1410">
        <f t="shared" si="129"/>
        <v>0</v>
      </c>
      <c r="AY220" s="3352">
        <f t="shared" si="130"/>
        <v>0</v>
      </c>
      <c r="AZ220" s="3307">
        <f t="shared" si="131"/>
        <v>0</v>
      </c>
      <c r="BA220" s="3307">
        <f t="shared" si="132"/>
        <v>0</v>
      </c>
      <c r="BB220" s="3307">
        <f t="shared" si="133"/>
        <v>0</v>
      </c>
      <c r="BC220" s="3307">
        <f t="shared" si="134"/>
        <v>0</v>
      </c>
      <c r="BD220" s="3307">
        <f t="shared" si="135"/>
        <v>0</v>
      </c>
      <c r="BE220" s="3307">
        <f t="shared" si="136"/>
        <v>0</v>
      </c>
      <c r="BF220" s="3307">
        <f t="shared" si="137"/>
        <v>0</v>
      </c>
      <c r="BG220" s="3307">
        <f t="shared" si="138"/>
        <v>0</v>
      </c>
      <c r="BH220" s="3307">
        <f t="shared" si="139"/>
        <v>0</v>
      </c>
      <c r="BI220" s="3307">
        <f t="shared" si="140"/>
        <v>0</v>
      </c>
      <c r="BJ220" s="3307">
        <f t="shared" si="141"/>
        <v>0</v>
      </c>
      <c r="BK220" s="3307">
        <f t="shared" si="142"/>
        <v>0</v>
      </c>
      <c r="BL220" s="3307">
        <f t="shared" si="143"/>
        <v>0</v>
      </c>
      <c r="BM220" s="3307">
        <f t="shared" si="144"/>
        <v>0</v>
      </c>
      <c r="BN220" s="3307">
        <f t="shared" si="145"/>
        <v>0</v>
      </c>
      <c r="BO220" s="3307">
        <f t="shared" si="146"/>
        <v>0</v>
      </c>
      <c r="BP220" s="3307">
        <f t="shared" si="147"/>
        <v>0</v>
      </c>
      <c r="BQ220" s="3307">
        <f t="shared" si="148"/>
        <v>0</v>
      </c>
      <c r="BR220" s="3307">
        <f t="shared" si="149"/>
        <v>0</v>
      </c>
      <c r="BS220" s="3307">
        <f t="shared" si="150"/>
        <v>0</v>
      </c>
      <c r="BT220" s="3359">
        <f t="shared" si="151"/>
        <v>0</v>
      </c>
    </row>
    <row r="221" spans="1:72">
      <c r="A221" s="3304"/>
      <c r="B221" s="3305"/>
      <c r="C221" s="3305"/>
      <c r="D221" s="3306"/>
      <c r="E221" s="3307">
        <f t="shared" si="123"/>
        <v>0</v>
      </c>
      <c r="F221" s="3308"/>
      <c r="G221" s="3309">
        <f t="shared" si="124"/>
        <v>0</v>
      </c>
      <c r="H221" s="3310">
        <f t="shared" si="125"/>
        <v>0</v>
      </c>
      <c r="I221" s="3317"/>
      <c r="J221" s="3317"/>
      <c r="K221" s="3317"/>
      <c r="L221" s="3317"/>
      <c r="M221" s="3317"/>
      <c r="N221" s="3317"/>
      <c r="O221" s="3317"/>
      <c r="P221" s="3317"/>
      <c r="Q221" s="3317"/>
      <c r="R221" s="3317"/>
      <c r="S221" s="3317"/>
      <c r="T221" s="3317"/>
      <c r="U221" s="3317"/>
      <c r="V221" s="3317"/>
      <c r="W221" s="3317"/>
      <c r="X221" s="3317"/>
      <c r="Y221" s="3317"/>
      <c r="Z221" s="3317"/>
      <c r="AA221" s="3317"/>
      <c r="AB221" s="3317"/>
      <c r="AC221" s="3307">
        <f t="shared" si="126"/>
        <v>0</v>
      </c>
      <c r="AD221" s="3327"/>
      <c r="AE221" s="3327"/>
      <c r="AF221" s="3327"/>
      <c r="AG221" s="3327"/>
      <c r="AH221" s="3327"/>
      <c r="AI221" s="3327"/>
      <c r="AJ221" s="3327"/>
      <c r="AK221" s="3327"/>
      <c r="AL221" s="3327"/>
      <c r="AM221" s="3327"/>
      <c r="AN221" s="3327"/>
      <c r="AO221" s="3327"/>
      <c r="AP221" s="3327"/>
      <c r="AQ221" s="3327"/>
      <c r="AR221" s="3327"/>
      <c r="AS221" s="3327"/>
      <c r="AT221" s="3337"/>
      <c r="AU221" s="3338"/>
      <c r="AV221" s="1410">
        <f t="shared" si="127"/>
        <v>0</v>
      </c>
      <c r="AW221" s="1410">
        <f t="shared" si="128"/>
        <v>0</v>
      </c>
      <c r="AX221" s="1410">
        <f t="shared" si="129"/>
        <v>0</v>
      </c>
      <c r="AY221" s="3352">
        <f t="shared" si="130"/>
        <v>0</v>
      </c>
      <c r="AZ221" s="3307">
        <f t="shared" si="131"/>
        <v>0</v>
      </c>
      <c r="BA221" s="3307">
        <f t="shared" si="132"/>
        <v>0</v>
      </c>
      <c r="BB221" s="3307">
        <f t="shared" si="133"/>
        <v>0</v>
      </c>
      <c r="BC221" s="3307">
        <f t="shared" si="134"/>
        <v>0</v>
      </c>
      <c r="BD221" s="3307">
        <f t="shared" si="135"/>
        <v>0</v>
      </c>
      <c r="BE221" s="3307">
        <f t="shared" si="136"/>
        <v>0</v>
      </c>
      <c r="BF221" s="3307">
        <f t="shared" si="137"/>
        <v>0</v>
      </c>
      <c r="BG221" s="3307">
        <f t="shared" si="138"/>
        <v>0</v>
      </c>
      <c r="BH221" s="3307">
        <f t="shared" si="139"/>
        <v>0</v>
      </c>
      <c r="BI221" s="3307">
        <f t="shared" si="140"/>
        <v>0</v>
      </c>
      <c r="BJ221" s="3307">
        <f t="shared" si="141"/>
        <v>0</v>
      </c>
      <c r="BK221" s="3307">
        <f t="shared" si="142"/>
        <v>0</v>
      </c>
      <c r="BL221" s="3307">
        <f t="shared" si="143"/>
        <v>0</v>
      </c>
      <c r="BM221" s="3307">
        <f t="shared" si="144"/>
        <v>0</v>
      </c>
      <c r="BN221" s="3307">
        <f t="shared" si="145"/>
        <v>0</v>
      </c>
      <c r="BO221" s="3307">
        <f t="shared" si="146"/>
        <v>0</v>
      </c>
      <c r="BP221" s="3307">
        <f t="shared" si="147"/>
        <v>0</v>
      </c>
      <c r="BQ221" s="3307">
        <f t="shared" si="148"/>
        <v>0</v>
      </c>
      <c r="BR221" s="3307">
        <f t="shared" si="149"/>
        <v>0</v>
      </c>
      <c r="BS221" s="3307">
        <f t="shared" si="150"/>
        <v>0</v>
      </c>
      <c r="BT221" s="3359">
        <f t="shared" si="151"/>
        <v>0</v>
      </c>
    </row>
    <row r="222" spans="1:72">
      <c r="A222" s="3304"/>
      <c r="B222" s="3305"/>
      <c r="C222" s="3305"/>
      <c r="D222" s="3306"/>
      <c r="E222" s="3307">
        <f t="shared" si="123"/>
        <v>0</v>
      </c>
      <c r="F222" s="3308"/>
      <c r="G222" s="3309">
        <f t="shared" si="124"/>
        <v>0</v>
      </c>
      <c r="H222" s="3310">
        <f t="shared" si="125"/>
        <v>0</v>
      </c>
      <c r="I222" s="3317"/>
      <c r="J222" s="3317"/>
      <c r="K222" s="3317"/>
      <c r="L222" s="3317"/>
      <c r="M222" s="3317"/>
      <c r="N222" s="3317"/>
      <c r="O222" s="3317"/>
      <c r="P222" s="3317"/>
      <c r="Q222" s="3317"/>
      <c r="R222" s="3317"/>
      <c r="S222" s="3317"/>
      <c r="T222" s="3317"/>
      <c r="U222" s="3317"/>
      <c r="V222" s="3317"/>
      <c r="W222" s="3317"/>
      <c r="X222" s="3317"/>
      <c r="Y222" s="3317"/>
      <c r="Z222" s="3317"/>
      <c r="AA222" s="3317"/>
      <c r="AB222" s="3317"/>
      <c r="AC222" s="3307">
        <f t="shared" si="126"/>
        <v>0</v>
      </c>
      <c r="AD222" s="3327"/>
      <c r="AE222" s="3327"/>
      <c r="AF222" s="3327"/>
      <c r="AG222" s="3327"/>
      <c r="AH222" s="3327"/>
      <c r="AI222" s="3327"/>
      <c r="AJ222" s="3327"/>
      <c r="AK222" s="3327"/>
      <c r="AL222" s="3327"/>
      <c r="AM222" s="3327"/>
      <c r="AN222" s="3327"/>
      <c r="AO222" s="3327"/>
      <c r="AP222" s="3327"/>
      <c r="AQ222" s="3327"/>
      <c r="AR222" s="3327"/>
      <c r="AS222" s="3327"/>
      <c r="AT222" s="3337"/>
      <c r="AU222" s="3338"/>
      <c r="AV222" s="1410">
        <f t="shared" si="127"/>
        <v>0</v>
      </c>
      <c r="AW222" s="1410">
        <f t="shared" si="128"/>
        <v>0</v>
      </c>
      <c r="AX222" s="1410">
        <f t="shared" si="129"/>
        <v>0</v>
      </c>
      <c r="AY222" s="3352">
        <f t="shared" si="130"/>
        <v>0</v>
      </c>
      <c r="AZ222" s="3307">
        <f t="shared" si="131"/>
        <v>0</v>
      </c>
      <c r="BA222" s="3307">
        <f t="shared" si="132"/>
        <v>0</v>
      </c>
      <c r="BB222" s="3307">
        <f t="shared" si="133"/>
        <v>0</v>
      </c>
      <c r="BC222" s="3307">
        <f t="shared" si="134"/>
        <v>0</v>
      </c>
      <c r="BD222" s="3307">
        <f t="shared" si="135"/>
        <v>0</v>
      </c>
      <c r="BE222" s="3307">
        <f t="shared" si="136"/>
        <v>0</v>
      </c>
      <c r="BF222" s="3307">
        <f t="shared" si="137"/>
        <v>0</v>
      </c>
      <c r="BG222" s="3307">
        <f t="shared" si="138"/>
        <v>0</v>
      </c>
      <c r="BH222" s="3307">
        <f t="shared" si="139"/>
        <v>0</v>
      </c>
      <c r="BI222" s="3307">
        <f t="shared" si="140"/>
        <v>0</v>
      </c>
      <c r="BJ222" s="3307">
        <f t="shared" si="141"/>
        <v>0</v>
      </c>
      <c r="BK222" s="3307">
        <f t="shared" si="142"/>
        <v>0</v>
      </c>
      <c r="BL222" s="3307">
        <f t="shared" si="143"/>
        <v>0</v>
      </c>
      <c r="BM222" s="3307">
        <f t="shared" si="144"/>
        <v>0</v>
      </c>
      <c r="BN222" s="3307">
        <f t="shared" si="145"/>
        <v>0</v>
      </c>
      <c r="BO222" s="3307">
        <f t="shared" si="146"/>
        <v>0</v>
      </c>
      <c r="BP222" s="3307">
        <f t="shared" si="147"/>
        <v>0</v>
      </c>
      <c r="BQ222" s="3307">
        <f t="shared" si="148"/>
        <v>0</v>
      </c>
      <c r="BR222" s="3307">
        <f t="shared" si="149"/>
        <v>0</v>
      </c>
      <c r="BS222" s="3307">
        <f t="shared" si="150"/>
        <v>0</v>
      </c>
      <c r="BT222" s="3359">
        <f t="shared" si="151"/>
        <v>0</v>
      </c>
    </row>
    <row r="223" spans="1:72">
      <c r="A223" s="3304"/>
      <c r="B223" s="3305"/>
      <c r="C223" s="3305"/>
      <c r="D223" s="3306"/>
      <c r="E223" s="3307">
        <f t="shared" si="123"/>
        <v>0</v>
      </c>
      <c r="F223" s="3308"/>
      <c r="G223" s="3309">
        <f t="shared" si="124"/>
        <v>0</v>
      </c>
      <c r="H223" s="3310">
        <f t="shared" si="125"/>
        <v>0</v>
      </c>
      <c r="I223" s="3317"/>
      <c r="J223" s="3317"/>
      <c r="K223" s="3317"/>
      <c r="L223" s="3317"/>
      <c r="M223" s="3317"/>
      <c r="N223" s="3317"/>
      <c r="O223" s="3317"/>
      <c r="P223" s="3317"/>
      <c r="Q223" s="3317"/>
      <c r="R223" s="3317"/>
      <c r="S223" s="3317"/>
      <c r="T223" s="3317"/>
      <c r="U223" s="3317"/>
      <c r="V223" s="3317"/>
      <c r="W223" s="3317"/>
      <c r="X223" s="3317"/>
      <c r="Y223" s="3317"/>
      <c r="Z223" s="3317"/>
      <c r="AA223" s="3317"/>
      <c r="AB223" s="3317"/>
      <c r="AC223" s="3307">
        <f t="shared" si="126"/>
        <v>0</v>
      </c>
      <c r="AD223" s="3327"/>
      <c r="AE223" s="3327"/>
      <c r="AF223" s="3327"/>
      <c r="AG223" s="3327"/>
      <c r="AH223" s="3327"/>
      <c r="AI223" s="3327"/>
      <c r="AJ223" s="3327"/>
      <c r="AK223" s="3327"/>
      <c r="AL223" s="3327"/>
      <c r="AM223" s="3327"/>
      <c r="AN223" s="3327"/>
      <c r="AO223" s="3327"/>
      <c r="AP223" s="3327"/>
      <c r="AQ223" s="3327"/>
      <c r="AR223" s="3327"/>
      <c r="AS223" s="3327"/>
      <c r="AT223" s="3337"/>
      <c r="AU223" s="3338"/>
      <c r="AV223" s="1410">
        <f t="shared" si="127"/>
        <v>0</v>
      </c>
      <c r="AW223" s="1410">
        <f t="shared" si="128"/>
        <v>0</v>
      </c>
      <c r="AX223" s="1410">
        <f t="shared" si="129"/>
        <v>0</v>
      </c>
      <c r="AY223" s="3352">
        <f t="shared" si="130"/>
        <v>0</v>
      </c>
      <c r="AZ223" s="3307">
        <f t="shared" si="131"/>
        <v>0</v>
      </c>
      <c r="BA223" s="3307">
        <f t="shared" si="132"/>
        <v>0</v>
      </c>
      <c r="BB223" s="3307">
        <f t="shared" si="133"/>
        <v>0</v>
      </c>
      <c r="BC223" s="3307">
        <f t="shared" si="134"/>
        <v>0</v>
      </c>
      <c r="BD223" s="3307">
        <f t="shared" si="135"/>
        <v>0</v>
      </c>
      <c r="BE223" s="3307">
        <f t="shared" si="136"/>
        <v>0</v>
      </c>
      <c r="BF223" s="3307">
        <f t="shared" si="137"/>
        <v>0</v>
      </c>
      <c r="BG223" s="3307">
        <f t="shared" si="138"/>
        <v>0</v>
      </c>
      <c r="BH223" s="3307">
        <f t="shared" si="139"/>
        <v>0</v>
      </c>
      <c r="BI223" s="3307">
        <f t="shared" si="140"/>
        <v>0</v>
      </c>
      <c r="BJ223" s="3307">
        <f t="shared" si="141"/>
        <v>0</v>
      </c>
      <c r="BK223" s="3307">
        <f t="shared" si="142"/>
        <v>0</v>
      </c>
      <c r="BL223" s="3307">
        <f t="shared" si="143"/>
        <v>0</v>
      </c>
      <c r="BM223" s="3307">
        <f t="shared" si="144"/>
        <v>0</v>
      </c>
      <c r="BN223" s="3307">
        <f t="shared" si="145"/>
        <v>0</v>
      </c>
      <c r="BO223" s="3307">
        <f t="shared" si="146"/>
        <v>0</v>
      </c>
      <c r="BP223" s="3307">
        <f t="shared" si="147"/>
        <v>0</v>
      </c>
      <c r="BQ223" s="3307">
        <f t="shared" si="148"/>
        <v>0</v>
      </c>
      <c r="BR223" s="3307">
        <f t="shared" si="149"/>
        <v>0</v>
      </c>
      <c r="BS223" s="3307">
        <f t="shared" si="150"/>
        <v>0</v>
      </c>
      <c r="BT223" s="3359">
        <f t="shared" si="151"/>
        <v>0</v>
      </c>
    </row>
    <row r="224" spans="1:72">
      <c r="A224" s="3304"/>
      <c r="B224" s="3305"/>
      <c r="C224" s="3305"/>
      <c r="D224" s="3306"/>
      <c r="E224" s="3307">
        <f t="shared" si="123"/>
        <v>0</v>
      </c>
      <c r="F224" s="3308"/>
      <c r="G224" s="3309">
        <f t="shared" si="124"/>
        <v>0</v>
      </c>
      <c r="H224" s="3310">
        <f t="shared" si="125"/>
        <v>0</v>
      </c>
      <c r="I224" s="3317"/>
      <c r="J224" s="3317"/>
      <c r="K224" s="3317"/>
      <c r="L224" s="3317"/>
      <c r="M224" s="3317"/>
      <c r="N224" s="3317"/>
      <c r="O224" s="3317"/>
      <c r="P224" s="3317"/>
      <c r="Q224" s="3317"/>
      <c r="R224" s="3317"/>
      <c r="S224" s="3317"/>
      <c r="T224" s="3317"/>
      <c r="U224" s="3317"/>
      <c r="V224" s="3317"/>
      <c r="W224" s="3317"/>
      <c r="X224" s="3317"/>
      <c r="Y224" s="3317"/>
      <c r="Z224" s="3317"/>
      <c r="AA224" s="3317"/>
      <c r="AB224" s="3317"/>
      <c r="AC224" s="3307">
        <f t="shared" si="126"/>
        <v>0</v>
      </c>
      <c r="AD224" s="3327"/>
      <c r="AE224" s="3327"/>
      <c r="AF224" s="3327"/>
      <c r="AG224" s="3327"/>
      <c r="AH224" s="3327"/>
      <c r="AI224" s="3327"/>
      <c r="AJ224" s="3327"/>
      <c r="AK224" s="3327"/>
      <c r="AL224" s="3327"/>
      <c r="AM224" s="3327"/>
      <c r="AN224" s="3327"/>
      <c r="AO224" s="3327"/>
      <c r="AP224" s="3327"/>
      <c r="AQ224" s="3327"/>
      <c r="AR224" s="3327"/>
      <c r="AS224" s="3327"/>
      <c r="AT224" s="3337"/>
      <c r="AU224" s="3338"/>
      <c r="AV224" s="1410">
        <f t="shared" si="127"/>
        <v>0</v>
      </c>
      <c r="AW224" s="1410">
        <f t="shared" si="128"/>
        <v>0</v>
      </c>
      <c r="AX224" s="1410">
        <f t="shared" si="129"/>
        <v>0</v>
      </c>
      <c r="AY224" s="3352">
        <f t="shared" si="130"/>
        <v>0</v>
      </c>
      <c r="AZ224" s="3307">
        <f t="shared" si="131"/>
        <v>0</v>
      </c>
      <c r="BA224" s="3307">
        <f t="shared" si="132"/>
        <v>0</v>
      </c>
      <c r="BB224" s="3307">
        <f t="shared" si="133"/>
        <v>0</v>
      </c>
      <c r="BC224" s="3307">
        <f t="shared" si="134"/>
        <v>0</v>
      </c>
      <c r="BD224" s="3307">
        <f t="shared" si="135"/>
        <v>0</v>
      </c>
      <c r="BE224" s="3307">
        <f t="shared" si="136"/>
        <v>0</v>
      </c>
      <c r="BF224" s="3307">
        <f t="shared" si="137"/>
        <v>0</v>
      </c>
      <c r="BG224" s="3307">
        <f t="shared" si="138"/>
        <v>0</v>
      </c>
      <c r="BH224" s="3307">
        <f t="shared" si="139"/>
        <v>0</v>
      </c>
      <c r="BI224" s="3307">
        <f t="shared" si="140"/>
        <v>0</v>
      </c>
      <c r="BJ224" s="3307">
        <f t="shared" si="141"/>
        <v>0</v>
      </c>
      <c r="BK224" s="3307">
        <f t="shared" si="142"/>
        <v>0</v>
      </c>
      <c r="BL224" s="3307">
        <f t="shared" si="143"/>
        <v>0</v>
      </c>
      <c r="BM224" s="3307">
        <f t="shared" si="144"/>
        <v>0</v>
      </c>
      <c r="BN224" s="3307">
        <f t="shared" si="145"/>
        <v>0</v>
      </c>
      <c r="BO224" s="3307">
        <f t="shared" si="146"/>
        <v>0</v>
      </c>
      <c r="BP224" s="3307">
        <f t="shared" si="147"/>
        <v>0</v>
      </c>
      <c r="BQ224" s="3307">
        <f t="shared" si="148"/>
        <v>0</v>
      </c>
      <c r="BR224" s="3307">
        <f t="shared" si="149"/>
        <v>0</v>
      </c>
      <c r="BS224" s="3307">
        <f t="shared" si="150"/>
        <v>0</v>
      </c>
      <c r="BT224" s="3359">
        <f t="shared" si="151"/>
        <v>0</v>
      </c>
    </row>
    <row r="225" spans="1:72">
      <c r="A225" s="3304"/>
      <c r="B225" s="3305"/>
      <c r="C225" s="3305"/>
      <c r="D225" s="3306"/>
      <c r="E225" s="3307">
        <f t="shared" si="123"/>
        <v>0</v>
      </c>
      <c r="F225" s="3308"/>
      <c r="G225" s="3309">
        <f t="shared" si="124"/>
        <v>0</v>
      </c>
      <c r="H225" s="3310">
        <f t="shared" si="125"/>
        <v>0</v>
      </c>
      <c r="I225" s="3317"/>
      <c r="J225" s="3317"/>
      <c r="K225" s="3317"/>
      <c r="L225" s="3317"/>
      <c r="M225" s="3317"/>
      <c r="N225" s="3317"/>
      <c r="O225" s="3317"/>
      <c r="P225" s="3317"/>
      <c r="Q225" s="3317"/>
      <c r="R225" s="3317"/>
      <c r="S225" s="3317"/>
      <c r="T225" s="3317"/>
      <c r="U225" s="3317"/>
      <c r="V225" s="3317"/>
      <c r="W225" s="3317"/>
      <c r="X225" s="3317"/>
      <c r="Y225" s="3317"/>
      <c r="Z225" s="3317"/>
      <c r="AA225" s="3317"/>
      <c r="AB225" s="3317"/>
      <c r="AC225" s="3307">
        <f t="shared" si="126"/>
        <v>0</v>
      </c>
      <c r="AD225" s="3327"/>
      <c r="AE225" s="3327"/>
      <c r="AF225" s="3327"/>
      <c r="AG225" s="3327"/>
      <c r="AH225" s="3327"/>
      <c r="AI225" s="3327"/>
      <c r="AJ225" s="3327"/>
      <c r="AK225" s="3327"/>
      <c r="AL225" s="3327"/>
      <c r="AM225" s="3327"/>
      <c r="AN225" s="3327"/>
      <c r="AO225" s="3327"/>
      <c r="AP225" s="3327"/>
      <c r="AQ225" s="3327"/>
      <c r="AR225" s="3327"/>
      <c r="AS225" s="3327"/>
      <c r="AT225" s="3337"/>
      <c r="AU225" s="3338"/>
      <c r="AV225" s="1410">
        <f t="shared" si="127"/>
        <v>0</v>
      </c>
      <c r="AW225" s="1410">
        <f t="shared" si="128"/>
        <v>0</v>
      </c>
      <c r="AX225" s="1410">
        <f t="shared" si="129"/>
        <v>0</v>
      </c>
      <c r="AY225" s="3352">
        <f t="shared" si="130"/>
        <v>0</v>
      </c>
      <c r="AZ225" s="3307">
        <f t="shared" si="131"/>
        <v>0</v>
      </c>
      <c r="BA225" s="3307">
        <f t="shared" si="132"/>
        <v>0</v>
      </c>
      <c r="BB225" s="3307">
        <f t="shared" si="133"/>
        <v>0</v>
      </c>
      <c r="BC225" s="3307">
        <f t="shared" si="134"/>
        <v>0</v>
      </c>
      <c r="BD225" s="3307">
        <f t="shared" si="135"/>
        <v>0</v>
      </c>
      <c r="BE225" s="3307">
        <f t="shared" si="136"/>
        <v>0</v>
      </c>
      <c r="BF225" s="3307">
        <f t="shared" si="137"/>
        <v>0</v>
      </c>
      <c r="BG225" s="3307">
        <f t="shared" si="138"/>
        <v>0</v>
      </c>
      <c r="BH225" s="3307">
        <f t="shared" si="139"/>
        <v>0</v>
      </c>
      <c r="BI225" s="3307">
        <f t="shared" si="140"/>
        <v>0</v>
      </c>
      <c r="BJ225" s="3307">
        <f t="shared" si="141"/>
        <v>0</v>
      </c>
      <c r="BK225" s="3307">
        <f t="shared" si="142"/>
        <v>0</v>
      </c>
      <c r="BL225" s="3307">
        <f t="shared" si="143"/>
        <v>0</v>
      </c>
      <c r="BM225" s="3307">
        <f t="shared" si="144"/>
        <v>0</v>
      </c>
      <c r="BN225" s="3307">
        <f t="shared" si="145"/>
        <v>0</v>
      </c>
      <c r="BO225" s="3307">
        <f t="shared" si="146"/>
        <v>0</v>
      </c>
      <c r="BP225" s="3307">
        <f t="shared" si="147"/>
        <v>0</v>
      </c>
      <c r="BQ225" s="3307">
        <f t="shared" si="148"/>
        <v>0</v>
      </c>
      <c r="BR225" s="3307">
        <f t="shared" si="149"/>
        <v>0</v>
      </c>
      <c r="BS225" s="3307">
        <f t="shared" si="150"/>
        <v>0</v>
      </c>
      <c r="BT225" s="3359">
        <f t="shared" si="151"/>
        <v>0</v>
      </c>
    </row>
    <row r="226" spans="1:72">
      <c r="A226" s="3304"/>
      <c r="B226" s="3305"/>
      <c r="C226" s="3305"/>
      <c r="D226" s="3306"/>
      <c r="E226" s="3307">
        <f t="shared" si="123"/>
        <v>0</v>
      </c>
      <c r="F226" s="3308"/>
      <c r="G226" s="3309">
        <f t="shared" si="124"/>
        <v>0</v>
      </c>
      <c r="H226" s="3310">
        <f t="shared" si="125"/>
        <v>0</v>
      </c>
      <c r="I226" s="3317"/>
      <c r="J226" s="3317"/>
      <c r="K226" s="3317"/>
      <c r="L226" s="3317"/>
      <c r="M226" s="3317"/>
      <c r="N226" s="3317"/>
      <c r="O226" s="3317"/>
      <c r="P226" s="3317"/>
      <c r="Q226" s="3317"/>
      <c r="R226" s="3317"/>
      <c r="S226" s="3317"/>
      <c r="T226" s="3317"/>
      <c r="U226" s="3317"/>
      <c r="V226" s="3317"/>
      <c r="W226" s="3317"/>
      <c r="X226" s="3317"/>
      <c r="Y226" s="3317"/>
      <c r="Z226" s="3317"/>
      <c r="AA226" s="3317"/>
      <c r="AB226" s="3317"/>
      <c r="AC226" s="3307">
        <f t="shared" si="126"/>
        <v>0</v>
      </c>
      <c r="AD226" s="3327"/>
      <c r="AE226" s="3327"/>
      <c r="AF226" s="3327"/>
      <c r="AG226" s="3327"/>
      <c r="AH226" s="3327"/>
      <c r="AI226" s="3327"/>
      <c r="AJ226" s="3327"/>
      <c r="AK226" s="3327"/>
      <c r="AL226" s="3327"/>
      <c r="AM226" s="3327"/>
      <c r="AN226" s="3327"/>
      <c r="AO226" s="3327"/>
      <c r="AP226" s="3327"/>
      <c r="AQ226" s="3327"/>
      <c r="AR226" s="3327"/>
      <c r="AS226" s="3327"/>
      <c r="AT226" s="3337"/>
      <c r="AU226" s="3338"/>
      <c r="AV226" s="1410">
        <f t="shared" si="127"/>
        <v>0</v>
      </c>
      <c r="AW226" s="1410">
        <f t="shared" si="128"/>
        <v>0</v>
      </c>
      <c r="AX226" s="1410">
        <f t="shared" si="129"/>
        <v>0</v>
      </c>
      <c r="AY226" s="3352">
        <f t="shared" si="130"/>
        <v>0</v>
      </c>
      <c r="AZ226" s="3307">
        <f t="shared" si="131"/>
        <v>0</v>
      </c>
      <c r="BA226" s="3307">
        <f t="shared" si="132"/>
        <v>0</v>
      </c>
      <c r="BB226" s="3307">
        <f t="shared" si="133"/>
        <v>0</v>
      </c>
      <c r="BC226" s="3307">
        <f t="shared" si="134"/>
        <v>0</v>
      </c>
      <c r="BD226" s="3307">
        <f t="shared" si="135"/>
        <v>0</v>
      </c>
      <c r="BE226" s="3307">
        <f t="shared" si="136"/>
        <v>0</v>
      </c>
      <c r="BF226" s="3307">
        <f t="shared" si="137"/>
        <v>0</v>
      </c>
      <c r="BG226" s="3307">
        <f t="shared" si="138"/>
        <v>0</v>
      </c>
      <c r="BH226" s="3307">
        <f t="shared" si="139"/>
        <v>0</v>
      </c>
      <c r="BI226" s="3307">
        <f t="shared" si="140"/>
        <v>0</v>
      </c>
      <c r="BJ226" s="3307">
        <f t="shared" si="141"/>
        <v>0</v>
      </c>
      <c r="BK226" s="3307">
        <f t="shared" si="142"/>
        <v>0</v>
      </c>
      <c r="BL226" s="3307">
        <f t="shared" si="143"/>
        <v>0</v>
      </c>
      <c r="BM226" s="3307">
        <f t="shared" si="144"/>
        <v>0</v>
      </c>
      <c r="BN226" s="3307">
        <f t="shared" si="145"/>
        <v>0</v>
      </c>
      <c r="BO226" s="3307">
        <f t="shared" si="146"/>
        <v>0</v>
      </c>
      <c r="BP226" s="3307">
        <f t="shared" si="147"/>
        <v>0</v>
      </c>
      <c r="BQ226" s="3307">
        <f t="shared" si="148"/>
        <v>0</v>
      </c>
      <c r="BR226" s="3307">
        <f t="shared" si="149"/>
        <v>0</v>
      </c>
      <c r="BS226" s="3307">
        <f t="shared" si="150"/>
        <v>0</v>
      </c>
      <c r="BT226" s="3359">
        <f t="shared" si="151"/>
        <v>0</v>
      </c>
    </row>
    <row r="227" spans="1:72">
      <c r="A227" s="3304"/>
      <c r="B227" s="3305"/>
      <c r="C227" s="3305"/>
      <c r="D227" s="3306"/>
      <c r="E227" s="3307">
        <f t="shared" si="123"/>
        <v>0</v>
      </c>
      <c r="F227" s="3308"/>
      <c r="G227" s="3309">
        <f t="shared" si="124"/>
        <v>0</v>
      </c>
      <c r="H227" s="3310">
        <f t="shared" si="125"/>
        <v>0</v>
      </c>
      <c r="I227" s="3317"/>
      <c r="J227" s="3317"/>
      <c r="K227" s="3317"/>
      <c r="L227" s="3317"/>
      <c r="M227" s="3317"/>
      <c r="N227" s="3317"/>
      <c r="O227" s="3317"/>
      <c r="P227" s="3317"/>
      <c r="Q227" s="3317"/>
      <c r="R227" s="3317"/>
      <c r="S227" s="3317"/>
      <c r="T227" s="3317"/>
      <c r="U227" s="3317"/>
      <c r="V227" s="3317"/>
      <c r="W227" s="3317"/>
      <c r="X227" s="3317"/>
      <c r="Y227" s="3317"/>
      <c r="Z227" s="3317"/>
      <c r="AA227" s="3317"/>
      <c r="AB227" s="3317"/>
      <c r="AC227" s="3307">
        <f t="shared" si="126"/>
        <v>0</v>
      </c>
      <c r="AD227" s="3327"/>
      <c r="AE227" s="3327"/>
      <c r="AF227" s="3327"/>
      <c r="AG227" s="3327"/>
      <c r="AH227" s="3327"/>
      <c r="AI227" s="3327"/>
      <c r="AJ227" s="3327"/>
      <c r="AK227" s="3327"/>
      <c r="AL227" s="3327"/>
      <c r="AM227" s="3327"/>
      <c r="AN227" s="3327"/>
      <c r="AO227" s="3327"/>
      <c r="AP227" s="3327"/>
      <c r="AQ227" s="3327"/>
      <c r="AR227" s="3327"/>
      <c r="AS227" s="3327"/>
      <c r="AT227" s="3337"/>
      <c r="AU227" s="3338"/>
      <c r="AV227" s="1410">
        <f t="shared" si="127"/>
        <v>0</v>
      </c>
      <c r="AW227" s="1410">
        <f t="shared" si="128"/>
        <v>0</v>
      </c>
      <c r="AX227" s="1410">
        <f t="shared" si="129"/>
        <v>0</v>
      </c>
      <c r="AY227" s="3352">
        <f t="shared" si="130"/>
        <v>0</v>
      </c>
      <c r="AZ227" s="3307">
        <f t="shared" si="131"/>
        <v>0</v>
      </c>
      <c r="BA227" s="3307">
        <f t="shared" si="132"/>
        <v>0</v>
      </c>
      <c r="BB227" s="3307">
        <f t="shared" si="133"/>
        <v>0</v>
      </c>
      <c r="BC227" s="3307">
        <f t="shared" si="134"/>
        <v>0</v>
      </c>
      <c r="BD227" s="3307">
        <f t="shared" si="135"/>
        <v>0</v>
      </c>
      <c r="BE227" s="3307">
        <f t="shared" si="136"/>
        <v>0</v>
      </c>
      <c r="BF227" s="3307">
        <f t="shared" si="137"/>
        <v>0</v>
      </c>
      <c r="BG227" s="3307">
        <f t="shared" si="138"/>
        <v>0</v>
      </c>
      <c r="BH227" s="3307">
        <f t="shared" si="139"/>
        <v>0</v>
      </c>
      <c r="BI227" s="3307">
        <f t="shared" si="140"/>
        <v>0</v>
      </c>
      <c r="BJ227" s="3307">
        <f t="shared" si="141"/>
        <v>0</v>
      </c>
      <c r="BK227" s="3307">
        <f t="shared" si="142"/>
        <v>0</v>
      </c>
      <c r="BL227" s="3307">
        <f t="shared" si="143"/>
        <v>0</v>
      </c>
      <c r="BM227" s="3307">
        <f t="shared" si="144"/>
        <v>0</v>
      </c>
      <c r="BN227" s="3307">
        <f t="shared" si="145"/>
        <v>0</v>
      </c>
      <c r="BO227" s="3307">
        <f t="shared" si="146"/>
        <v>0</v>
      </c>
      <c r="BP227" s="3307">
        <f t="shared" si="147"/>
        <v>0</v>
      </c>
      <c r="BQ227" s="3307">
        <f t="shared" si="148"/>
        <v>0</v>
      </c>
      <c r="BR227" s="3307">
        <f t="shared" si="149"/>
        <v>0</v>
      </c>
      <c r="BS227" s="3307">
        <f t="shared" si="150"/>
        <v>0</v>
      </c>
      <c r="BT227" s="3359">
        <f t="shared" si="151"/>
        <v>0</v>
      </c>
    </row>
    <row r="228" spans="1:72">
      <c r="A228" s="3304"/>
      <c r="B228" s="3305"/>
      <c r="C228" s="3305"/>
      <c r="D228" s="3306"/>
      <c r="E228" s="3307">
        <f t="shared" si="123"/>
        <v>0</v>
      </c>
      <c r="F228" s="3308"/>
      <c r="G228" s="3309">
        <f t="shared" si="124"/>
        <v>0</v>
      </c>
      <c r="H228" s="3310">
        <f t="shared" si="125"/>
        <v>0</v>
      </c>
      <c r="I228" s="3317"/>
      <c r="J228" s="3317"/>
      <c r="K228" s="3317"/>
      <c r="L228" s="3317"/>
      <c r="M228" s="3317"/>
      <c r="N228" s="3317"/>
      <c r="O228" s="3317"/>
      <c r="P228" s="3317"/>
      <c r="Q228" s="3317"/>
      <c r="R228" s="3317"/>
      <c r="S228" s="3317"/>
      <c r="T228" s="3317"/>
      <c r="U228" s="3317"/>
      <c r="V228" s="3317"/>
      <c r="W228" s="3317"/>
      <c r="X228" s="3317"/>
      <c r="Y228" s="3317"/>
      <c r="Z228" s="3317"/>
      <c r="AA228" s="3317"/>
      <c r="AB228" s="3317"/>
      <c r="AC228" s="3307">
        <f t="shared" si="126"/>
        <v>0</v>
      </c>
      <c r="AD228" s="3327"/>
      <c r="AE228" s="3327"/>
      <c r="AF228" s="3327"/>
      <c r="AG228" s="3327"/>
      <c r="AH228" s="3327"/>
      <c r="AI228" s="3327"/>
      <c r="AJ228" s="3327"/>
      <c r="AK228" s="3327"/>
      <c r="AL228" s="3327"/>
      <c r="AM228" s="3327"/>
      <c r="AN228" s="3327"/>
      <c r="AO228" s="3327"/>
      <c r="AP228" s="3327"/>
      <c r="AQ228" s="3327"/>
      <c r="AR228" s="3327"/>
      <c r="AS228" s="3327"/>
      <c r="AT228" s="3337"/>
      <c r="AU228" s="3338"/>
      <c r="AV228" s="1410">
        <f t="shared" si="127"/>
        <v>0</v>
      </c>
      <c r="AW228" s="1410">
        <f t="shared" si="128"/>
        <v>0</v>
      </c>
      <c r="AX228" s="1410">
        <f t="shared" si="129"/>
        <v>0</v>
      </c>
      <c r="AY228" s="3352">
        <f t="shared" si="130"/>
        <v>0</v>
      </c>
      <c r="AZ228" s="3307">
        <f t="shared" si="131"/>
        <v>0</v>
      </c>
      <c r="BA228" s="3307">
        <f t="shared" si="132"/>
        <v>0</v>
      </c>
      <c r="BB228" s="3307">
        <f t="shared" si="133"/>
        <v>0</v>
      </c>
      <c r="BC228" s="3307">
        <f t="shared" si="134"/>
        <v>0</v>
      </c>
      <c r="BD228" s="3307">
        <f t="shared" si="135"/>
        <v>0</v>
      </c>
      <c r="BE228" s="3307">
        <f t="shared" si="136"/>
        <v>0</v>
      </c>
      <c r="BF228" s="3307">
        <f t="shared" si="137"/>
        <v>0</v>
      </c>
      <c r="BG228" s="3307">
        <f t="shared" si="138"/>
        <v>0</v>
      </c>
      <c r="BH228" s="3307">
        <f t="shared" si="139"/>
        <v>0</v>
      </c>
      <c r="BI228" s="3307">
        <f t="shared" si="140"/>
        <v>0</v>
      </c>
      <c r="BJ228" s="3307">
        <f t="shared" si="141"/>
        <v>0</v>
      </c>
      <c r="BK228" s="3307">
        <f t="shared" si="142"/>
        <v>0</v>
      </c>
      <c r="BL228" s="3307">
        <f t="shared" si="143"/>
        <v>0</v>
      </c>
      <c r="BM228" s="3307">
        <f t="shared" si="144"/>
        <v>0</v>
      </c>
      <c r="BN228" s="3307">
        <f t="shared" si="145"/>
        <v>0</v>
      </c>
      <c r="BO228" s="3307">
        <f t="shared" si="146"/>
        <v>0</v>
      </c>
      <c r="BP228" s="3307">
        <f t="shared" si="147"/>
        <v>0</v>
      </c>
      <c r="BQ228" s="3307">
        <f t="shared" si="148"/>
        <v>0</v>
      </c>
      <c r="BR228" s="3307">
        <f t="shared" si="149"/>
        <v>0</v>
      </c>
      <c r="BS228" s="3307">
        <f t="shared" si="150"/>
        <v>0</v>
      </c>
      <c r="BT228" s="3359">
        <f t="shared" si="151"/>
        <v>0</v>
      </c>
    </row>
    <row r="229" spans="1:72">
      <c r="A229" s="3304"/>
      <c r="B229" s="3305"/>
      <c r="C229" s="3305"/>
      <c r="D229" s="3306"/>
      <c r="E229" s="3307">
        <f t="shared" si="123"/>
        <v>0</v>
      </c>
      <c r="F229" s="3308"/>
      <c r="G229" s="3309">
        <f t="shared" si="124"/>
        <v>0</v>
      </c>
      <c r="H229" s="3310">
        <f t="shared" si="125"/>
        <v>0</v>
      </c>
      <c r="I229" s="3317"/>
      <c r="J229" s="3317"/>
      <c r="K229" s="3317"/>
      <c r="L229" s="3317"/>
      <c r="M229" s="3317"/>
      <c r="N229" s="3317"/>
      <c r="O229" s="3317"/>
      <c r="P229" s="3317"/>
      <c r="Q229" s="3317"/>
      <c r="R229" s="3317"/>
      <c r="S229" s="3317"/>
      <c r="T229" s="3317"/>
      <c r="U229" s="3317"/>
      <c r="V229" s="3317"/>
      <c r="W229" s="3317"/>
      <c r="X229" s="3317"/>
      <c r="Y229" s="3317"/>
      <c r="Z229" s="3317"/>
      <c r="AA229" s="3317"/>
      <c r="AB229" s="3317"/>
      <c r="AC229" s="3307">
        <f t="shared" si="126"/>
        <v>0</v>
      </c>
      <c r="AD229" s="3327"/>
      <c r="AE229" s="3327"/>
      <c r="AF229" s="3327"/>
      <c r="AG229" s="3327"/>
      <c r="AH229" s="3327"/>
      <c r="AI229" s="3327"/>
      <c r="AJ229" s="3327"/>
      <c r="AK229" s="3327"/>
      <c r="AL229" s="3327"/>
      <c r="AM229" s="3327"/>
      <c r="AN229" s="3327"/>
      <c r="AO229" s="3327"/>
      <c r="AP229" s="3327"/>
      <c r="AQ229" s="3327"/>
      <c r="AR229" s="3327"/>
      <c r="AS229" s="3327"/>
      <c r="AT229" s="3337"/>
      <c r="AU229" s="3338"/>
      <c r="AV229" s="1410">
        <f t="shared" si="127"/>
        <v>0</v>
      </c>
      <c r="AW229" s="1410">
        <f t="shared" si="128"/>
        <v>0</v>
      </c>
      <c r="AX229" s="1410">
        <f t="shared" si="129"/>
        <v>0</v>
      </c>
      <c r="AY229" s="3352">
        <f t="shared" si="130"/>
        <v>0</v>
      </c>
      <c r="AZ229" s="3307">
        <f t="shared" si="131"/>
        <v>0</v>
      </c>
      <c r="BA229" s="3307">
        <f t="shared" si="132"/>
        <v>0</v>
      </c>
      <c r="BB229" s="3307">
        <f t="shared" si="133"/>
        <v>0</v>
      </c>
      <c r="BC229" s="3307">
        <f t="shared" si="134"/>
        <v>0</v>
      </c>
      <c r="BD229" s="3307">
        <f t="shared" si="135"/>
        <v>0</v>
      </c>
      <c r="BE229" s="3307">
        <f t="shared" si="136"/>
        <v>0</v>
      </c>
      <c r="BF229" s="3307">
        <f t="shared" si="137"/>
        <v>0</v>
      </c>
      <c r="BG229" s="3307">
        <f t="shared" si="138"/>
        <v>0</v>
      </c>
      <c r="BH229" s="3307">
        <f t="shared" si="139"/>
        <v>0</v>
      </c>
      <c r="BI229" s="3307">
        <f t="shared" si="140"/>
        <v>0</v>
      </c>
      <c r="BJ229" s="3307">
        <f t="shared" si="141"/>
        <v>0</v>
      </c>
      <c r="BK229" s="3307">
        <f t="shared" si="142"/>
        <v>0</v>
      </c>
      <c r="BL229" s="3307">
        <f t="shared" si="143"/>
        <v>0</v>
      </c>
      <c r="BM229" s="3307">
        <f t="shared" si="144"/>
        <v>0</v>
      </c>
      <c r="BN229" s="3307">
        <f t="shared" si="145"/>
        <v>0</v>
      </c>
      <c r="BO229" s="3307">
        <f t="shared" si="146"/>
        <v>0</v>
      </c>
      <c r="BP229" s="3307">
        <f t="shared" si="147"/>
        <v>0</v>
      </c>
      <c r="BQ229" s="3307">
        <f t="shared" si="148"/>
        <v>0</v>
      </c>
      <c r="BR229" s="3307">
        <f t="shared" si="149"/>
        <v>0</v>
      </c>
      <c r="BS229" s="3307">
        <f t="shared" si="150"/>
        <v>0</v>
      </c>
      <c r="BT229" s="3359">
        <f t="shared" si="151"/>
        <v>0</v>
      </c>
    </row>
    <row r="230" spans="1:72">
      <c r="A230" s="3304"/>
      <c r="B230" s="3305"/>
      <c r="C230" s="3305"/>
      <c r="D230" s="3306"/>
      <c r="E230" s="3307">
        <f t="shared" si="123"/>
        <v>0</v>
      </c>
      <c r="F230" s="3308"/>
      <c r="G230" s="3309">
        <f t="shared" si="124"/>
        <v>0</v>
      </c>
      <c r="H230" s="3310">
        <f t="shared" si="125"/>
        <v>0</v>
      </c>
      <c r="I230" s="3317"/>
      <c r="J230" s="3317"/>
      <c r="K230" s="3317"/>
      <c r="L230" s="3317"/>
      <c r="M230" s="3317"/>
      <c r="N230" s="3317"/>
      <c r="O230" s="3317"/>
      <c r="P230" s="3317"/>
      <c r="Q230" s="3317"/>
      <c r="R230" s="3317"/>
      <c r="S230" s="3317"/>
      <c r="T230" s="3317"/>
      <c r="U230" s="3317"/>
      <c r="V230" s="3317"/>
      <c r="W230" s="3317"/>
      <c r="X230" s="3317"/>
      <c r="Y230" s="3317"/>
      <c r="Z230" s="3317"/>
      <c r="AA230" s="3317"/>
      <c r="AB230" s="3317"/>
      <c r="AC230" s="3307">
        <f t="shared" si="126"/>
        <v>0</v>
      </c>
      <c r="AD230" s="3327"/>
      <c r="AE230" s="3327"/>
      <c r="AF230" s="3327"/>
      <c r="AG230" s="3327"/>
      <c r="AH230" s="3327"/>
      <c r="AI230" s="3327"/>
      <c r="AJ230" s="3327"/>
      <c r="AK230" s="3327"/>
      <c r="AL230" s="3327"/>
      <c r="AM230" s="3327"/>
      <c r="AN230" s="3327"/>
      <c r="AO230" s="3327"/>
      <c r="AP230" s="3327"/>
      <c r="AQ230" s="3327"/>
      <c r="AR230" s="3327"/>
      <c r="AS230" s="3327"/>
      <c r="AT230" s="3337"/>
      <c r="AU230" s="3338"/>
      <c r="AV230" s="1410">
        <f t="shared" si="127"/>
        <v>0</v>
      </c>
      <c r="AW230" s="1410">
        <f t="shared" si="128"/>
        <v>0</v>
      </c>
      <c r="AX230" s="1410">
        <f t="shared" si="129"/>
        <v>0</v>
      </c>
      <c r="AY230" s="3352">
        <f t="shared" si="130"/>
        <v>0</v>
      </c>
      <c r="AZ230" s="3307">
        <f t="shared" si="131"/>
        <v>0</v>
      </c>
      <c r="BA230" s="3307">
        <f t="shared" si="132"/>
        <v>0</v>
      </c>
      <c r="BB230" s="3307">
        <f t="shared" si="133"/>
        <v>0</v>
      </c>
      <c r="BC230" s="3307">
        <f t="shared" si="134"/>
        <v>0</v>
      </c>
      <c r="BD230" s="3307">
        <f t="shared" si="135"/>
        <v>0</v>
      </c>
      <c r="BE230" s="3307">
        <f t="shared" si="136"/>
        <v>0</v>
      </c>
      <c r="BF230" s="3307">
        <f t="shared" si="137"/>
        <v>0</v>
      </c>
      <c r="BG230" s="3307">
        <f t="shared" si="138"/>
        <v>0</v>
      </c>
      <c r="BH230" s="3307">
        <f t="shared" si="139"/>
        <v>0</v>
      </c>
      <c r="BI230" s="3307">
        <f t="shared" si="140"/>
        <v>0</v>
      </c>
      <c r="BJ230" s="3307">
        <f t="shared" si="141"/>
        <v>0</v>
      </c>
      <c r="BK230" s="3307">
        <f t="shared" si="142"/>
        <v>0</v>
      </c>
      <c r="BL230" s="3307">
        <f t="shared" si="143"/>
        <v>0</v>
      </c>
      <c r="BM230" s="3307">
        <f t="shared" si="144"/>
        <v>0</v>
      </c>
      <c r="BN230" s="3307">
        <f t="shared" si="145"/>
        <v>0</v>
      </c>
      <c r="BO230" s="3307">
        <f t="shared" si="146"/>
        <v>0</v>
      </c>
      <c r="BP230" s="3307">
        <f t="shared" si="147"/>
        <v>0</v>
      </c>
      <c r="BQ230" s="3307">
        <f t="shared" si="148"/>
        <v>0</v>
      </c>
      <c r="BR230" s="3307">
        <f t="shared" si="149"/>
        <v>0</v>
      </c>
      <c r="BS230" s="3307">
        <f t="shared" si="150"/>
        <v>0</v>
      </c>
      <c r="BT230" s="3359">
        <f t="shared" si="151"/>
        <v>0</v>
      </c>
    </row>
    <row r="231" spans="1:72">
      <c r="A231" s="3304"/>
      <c r="B231" s="3305"/>
      <c r="C231" s="3305"/>
      <c r="D231" s="3306"/>
      <c r="E231" s="3307">
        <f t="shared" si="123"/>
        <v>0</v>
      </c>
      <c r="F231" s="3308"/>
      <c r="G231" s="3309">
        <f t="shared" si="124"/>
        <v>0</v>
      </c>
      <c r="H231" s="3310">
        <f t="shared" si="125"/>
        <v>0</v>
      </c>
      <c r="I231" s="3317"/>
      <c r="J231" s="3317"/>
      <c r="K231" s="3317"/>
      <c r="L231" s="3317"/>
      <c r="M231" s="3317"/>
      <c r="N231" s="3317"/>
      <c r="O231" s="3317"/>
      <c r="P231" s="3317"/>
      <c r="Q231" s="3317"/>
      <c r="R231" s="3317"/>
      <c r="S231" s="3317"/>
      <c r="T231" s="3317"/>
      <c r="U231" s="3317"/>
      <c r="V231" s="3317"/>
      <c r="W231" s="3317"/>
      <c r="X231" s="3317"/>
      <c r="Y231" s="3317"/>
      <c r="Z231" s="3317"/>
      <c r="AA231" s="3317"/>
      <c r="AB231" s="3317"/>
      <c r="AC231" s="3307">
        <f t="shared" si="126"/>
        <v>0</v>
      </c>
      <c r="AD231" s="3327"/>
      <c r="AE231" s="3327"/>
      <c r="AF231" s="3327"/>
      <c r="AG231" s="3327"/>
      <c r="AH231" s="3327"/>
      <c r="AI231" s="3327"/>
      <c r="AJ231" s="3327"/>
      <c r="AK231" s="3327"/>
      <c r="AL231" s="3327"/>
      <c r="AM231" s="3327"/>
      <c r="AN231" s="3327"/>
      <c r="AO231" s="3327"/>
      <c r="AP231" s="3327"/>
      <c r="AQ231" s="3327"/>
      <c r="AR231" s="3327"/>
      <c r="AS231" s="3327"/>
      <c r="AT231" s="3337"/>
      <c r="AU231" s="3338"/>
      <c r="AV231" s="1410">
        <f t="shared" si="127"/>
        <v>0</v>
      </c>
      <c r="AW231" s="1410">
        <f t="shared" si="128"/>
        <v>0</v>
      </c>
      <c r="AX231" s="1410">
        <f t="shared" si="129"/>
        <v>0</v>
      </c>
      <c r="AY231" s="3352">
        <f t="shared" si="130"/>
        <v>0</v>
      </c>
      <c r="AZ231" s="3307">
        <f t="shared" si="131"/>
        <v>0</v>
      </c>
      <c r="BA231" s="3307">
        <f t="shared" si="132"/>
        <v>0</v>
      </c>
      <c r="BB231" s="3307">
        <f t="shared" si="133"/>
        <v>0</v>
      </c>
      <c r="BC231" s="3307">
        <f t="shared" si="134"/>
        <v>0</v>
      </c>
      <c r="BD231" s="3307">
        <f t="shared" si="135"/>
        <v>0</v>
      </c>
      <c r="BE231" s="3307">
        <f t="shared" si="136"/>
        <v>0</v>
      </c>
      <c r="BF231" s="3307">
        <f t="shared" si="137"/>
        <v>0</v>
      </c>
      <c r="BG231" s="3307">
        <f t="shared" si="138"/>
        <v>0</v>
      </c>
      <c r="BH231" s="3307">
        <f t="shared" si="139"/>
        <v>0</v>
      </c>
      <c r="BI231" s="3307">
        <f t="shared" si="140"/>
        <v>0</v>
      </c>
      <c r="BJ231" s="3307">
        <f t="shared" si="141"/>
        <v>0</v>
      </c>
      <c r="BK231" s="3307">
        <f t="shared" si="142"/>
        <v>0</v>
      </c>
      <c r="BL231" s="3307">
        <f t="shared" si="143"/>
        <v>0</v>
      </c>
      <c r="BM231" s="3307">
        <f t="shared" si="144"/>
        <v>0</v>
      </c>
      <c r="BN231" s="3307">
        <f t="shared" si="145"/>
        <v>0</v>
      </c>
      <c r="BO231" s="3307">
        <f t="shared" si="146"/>
        <v>0</v>
      </c>
      <c r="BP231" s="3307">
        <f t="shared" si="147"/>
        <v>0</v>
      </c>
      <c r="BQ231" s="3307">
        <f t="shared" si="148"/>
        <v>0</v>
      </c>
      <c r="BR231" s="3307">
        <f t="shared" si="149"/>
        <v>0</v>
      </c>
      <c r="BS231" s="3307">
        <f t="shared" si="150"/>
        <v>0</v>
      </c>
      <c r="BT231" s="3359">
        <f t="shared" si="151"/>
        <v>0</v>
      </c>
    </row>
    <row r="232" spans="1:72">
      <c r="A232" s="3304"/>
      <c r="B232" s="3305"/>
      <c r="C232" s="3305"/>
      <c r="D232" s="3306"/>
      <c r="E232" s="3307">
        <f t="shared" si="123"/>
        <v>0</v>
      </c>
      <c r="F232" s="3308"/>
      <c r="G232" s="3309">
        <f t="shared" si="124"/>
        <v>0</v>
      </c>
      <c r="H232" s="3310">
        <f t="shared" si="125"/>
        <v>0</v>
      </c>
      <c r="I232" s="3317"/>
      <c r="J232" s="3317"/>
      <c r="K232" s="3317"/>
      <c r="L232" s="3317"/>
      <c r="M232" s="3317"/>
      <c r="N232" s="3317"/>
      <c r="O232" s="3317"/>
      <c r="P232" s="3317"/>
      <c r="Q232" s="3317"/>
      <c r="R232" s="3317"/>
      <c r="S232" s="3317"/>
      <c r="T232" s="3317"/>
      <c r="U232" s="3317"/>
      <c r="V232" s="3317"/>
      <c r="W232" s="3317"/>
      <c r="X232" s="3317"/>
      <c r="Y232" s="3317"/>
      <c r="Z232" s="3317"/>
      <c r="AA232" s="3317"/>
      <c r="AB232" s="3317"/>
      <c r="AC232" s="3307">
        <f t="shared" si="126"/>
        <v>0</v>
      </c>
      <c r="AD232" s="3327"/>
      <c r="AE232" s="3327"/>
      <c r="AF232" s="3327"/>
      <c r="AG232" s="3327"/>
      <c r="AH232" s="3327"/>
      <c r="AI232" s="3327"/>
      <c r="AJ232" s="3327"/>
      <c r="AK232" s="3327"/>
      <c r="AL232" s="3327"/>
      <c r="AM232" s="3327"/>
      <c r="AN232" s="3327"/>
      <c r="AO232" s="3327"/>
      <c r="AP232" s="3327"/>
      <c r="AQ232" s="3327"/>
      <c r="AR232" s="3327"/>
      <c r="AS232" s="3327"/>
      <c r="AT232" s="3337"/>
      <c r="AU232" s="3338"/>
      <c r="AV232" s="1410">
        <f t="shared" si="127"/>
        <v>0</v>
      </c>
      <c r="AW232" s="1410">
        <f t="shared" si="128"/>
        <v>0</v>
      </c>
      <c r="AX232" s="1410">
        <f t="shared" si="129"/>
        <v>0</v>
      </c>
      <c r="AY232" s="3352">
        <f t="shared" si="130"/>
        <v>0</v>
      </c>
      <c r="AZ232" s="3307">
        <f t="shared" si="131"/>
        <v>0</v>
      </c>
      <c r="BA232" s="3307">
        <f t="shared" si="132"/>
        <v>0</v>
      </c>
      <c r="BB232" s="3307">
        <f t="shared" si="133"/>
        <v>0</v>
      </c>
      <c r="BC232" s="3307">
        <f t="shared" si="134"/>
        <v>0</v>
      </c>
      <c r="BD232" s="3307">
        <f t="shared" si="135"/>
        <v>0</v>
      </c>
      <c r="BE232" s="3307">
        <f t="shared" si="136"/>
        <v>0</v>
      </c>
      <c r="BF232" s="3307">
        <f t="shared" si="137"/>
        <v>0</v>
      </c>
      <c r="BG232" s="3307">
        <f t="shared" si="138"/>
        <v>0</v>
      </c>
      <c r="BH232" s="3307">
        <f t="shared" si="139"/>
        <v>0</v>
      </c>
      <c r="BI232" s="3307">
        <f t="shared" si="140"/>
        <v>0</v>
      </c>
      <c r="BJ232" s="3307">
        <f t="shared" si="141"/>
        <v>0</v>
      </c>
      <c r="BK232" s="3307">
        <f t="shared" si="142"/>
        <v>0</v>
      </c>
      <c r="BL232" s="3307">
        <f t="shared" si="143"/>
        <v>0</v>
      </c>
      <c r="BM232" s="3307">
        <f t="shared" si="144"/>
        <v>0</v>
      </c>
      <c r="BN232" s="3307">
        <f t="shared" si="145"/>
        <v>0</v>
      </c>
      <c r="BO232" s="3307">
        <f t="shared" si="146"/>
        <v>0</v>
      </c>
      <c r="BP232" s="3307">
        <f t="shared" si="147"/>
        <v>0</v>
      </c>
      <c r="BQ232" s="3307">
        <f t="shared" si="148"/>
        <v>0</v>
      </c>
      <c r="BR232" s="3307">
        <f t="shared" si="149"/>
        <v>0</v>
      </c>
      <c r="BS232" s="3307">
        <f t="shared" si="150"/>
        <v>0</v>
      </c>
      <c r="BT232" s="3359">
        <f t="shared" si="151"/>
        <v>0</v>
      </c>
    </row>
    <row r="233" spans="1:72">
      <c r="A233" s="3304"/>
      <c r="B233" s="3305"/>
      <c r="C233" s="3305"/>
      <c r="D233" s="3306"/>
      <c r="E233" s="3307">
        <f t="shared" si="123"/>
        <v>0</v>
      </c>
      <c r="F233" s="3308"/>
      <c r="G233" s="3309">
        <f t="shared" si="124"/>
        <v>0</v>
      </c>
      <c r="H233" s="3310">
        <f t="shared" si="125"/>
        <v>0</v>
      </c>
      <c r="I233" s="3317"/>
      <c r="J233" s="3317"/>
      <c r="K233" s="3317"/>
      <c r="L233" s="3317"/>
      <c r="M233" s="3317"/>
      <c r="N233" s="3317"/>
      <c r="O233" s="3317"/>
      <c r="P233" s="3317"/>
      <c r="Q233" s="3317"/>
      <c r="R233" s="3317"/>
      <c r="S233" s="3317"/>
      <c r="T233" s="3317"/>
      <c r="U233" s="3317"/>
      <c r="V233" s="3317"/>
      <c r="W233" s="3317"/>
      <c r="X233" s="3317"/>
      <c r="Y233" s="3317"/>
      <c r="Z233" s="3317"/>
      <c r="AA233" s="3317"/>
      <c r="AB233" s="3317"/>
      <c r="AC233" s="3307">
        <f t="shared" si="126"/>
        <v>0</v>
      </c>
      <c r="AD233" s="3327"/>
      <c r="AE233" s="3327"/>
      <c r="AF233" s="3327"/>
      <c r="AG233" s="3327"/>
      <c r="AH233" s="3327"/>
      <c r="AI233" s="3327"/>
      <c r="AJ233" s="3327"/>
      <c r="AK233" s="3327"/>
      <c r="AL233" s="3327"/>
      <c r="AM233" s="3327"/>
      <c r="AN233" s="3327"/>
      <c r="AO233" s="3327"/>
      <c r="AP233" s="3327"/>
      <c r="AQ233" s="3327"/>
      <c r="AR233" s="3327"/>
      <c r="AS233" s="3327"/>
      <c r="AT233" s="3337"/>
      <c r="AU233" s="3338"/>
      <c r="AV233" s="1410">
        <f t="shared" si="127"/>
        <v>0</v>
      </c>
      <c r="AW233" s="1410">
        <f t="shared" si="128"/>
        <v>0</v>
      </c>
      <c r="AX233" s="1410">
        <f t="shared" si="129"/>
        <v>0</v>
      </c>
      <c r="AY233" s="3352">
        <f t="shared" si="130"/>
        <v>0</v>
      </c>
      <c r="AZ233" s="3307">
        <f t="shared" si="131"/>
        <v>0</v>
      </c>
      <c r="BA233" s="3307">
        <f t="shared" si="132"/>
        <v>0</v>
      </c>
      <c r="BB233" s="3307">
        <f t="shared" si="133"/>
        <v>0</v>
      </c>
      <c r="BC233" s="3307">
        <f t="shared" si="134"/>
        <v>0</v>
      </c>
      <c r="BD233" s="3307">
        <f t="shared" si="135"/>
        <v>0</v>
      </c>
      <c r="BE233" s="3307">
        <f t="shared" si="136"/>
        <v>0</v>
      </c>
      <c r="BF233" s="3307">
        <f t="shared" si="137"/>
        <v>0</v>
      </c>
      <c r="BG233" s="3307">
        <f t="shared" si="138"/>
        <v>0</v>
      </c>
      <c r="BH233" s="3307">
        <f t="shared" si="139"/>
        <v>0</v>
      </c>
      <c r="BI233" s="3307">
        <f t="shared" si="140"/>
        <v>0</v>
      </c>
      <c r="BJ233" s="3307">
        <f t="shared" si="141"/>
        <v>0</v>
      </c>
      <c r="BK233" s="3307">
        <f t="shared" si="142"/>
        <v>0</v>
      </c>
      <c r="BL233" s="3307">
        <f t="shared" si="143"/>
        <v>0</v>
      </c>
      <c r="BM233" s="3307">
        <f t="shared" si="144"/>
        <v>0</v>
      </c>
      <c r="BN233" s="3307">
        <f t="shared" si="145"/>
        <v>0</v>
      </c>
      <c r="BO233" s="3307">
        <f t="shared" si="146"/>
        <v>0</v>
      </c>
      <c r="BP233" s="3307">
        <f t="shared" si="147"/>
        <v>0</v>
      </c>
      <c r="BQ233" s="3307">
        <f t="shared" si="148"/>
        <v>0</v>
      </c>
      <c r="BR233" s="3307">
        <f t="shared" si="149"/>
        <v>0</v>
      </c>
      <c r="BS233" s="3307">
        <f t="shared" si="150"/>
        <v>0</v>
      </c>
      <c r="BT233" s="3359">
        <f t="shared" si="151"/>
        <v>0</v>
      </c>
    </row>
    <row r="234" spans="1:72">
      <c r="A234" s="3304"/>
      <c r="B234" s="3305"/>
      <c r="C234" s="3305"/>
      <c r="D234" s="3306"/>
      <c r="E234" s="3307">
        <f t="shared" si="123"/>
        <v>0</v>
      </c>
      <c r="F234" s="3308"/>
      <c r="G234" s="3309">
        <f t="shared" si="124"/>
        <v>0</v>
      </c>
      <c r="H234" s="3310">
        <f t="shared" si="125"/>
        <v>0</v>
      </c>
      <c r="I234" s="3317"/>
      <c r="J234" s="3317"/>
      <c r="K234" s="3317"/>
      <c r="L234" s="3317"/>
      <c r="M234" s="3317"/>
      <c r="N234" s="3317"/>
      <c r="O234" s="3317"/>
      <c r="P234" s="3317"/>
      <c r="Q234" s="3317"/>
      <c r="R234" s="3317"/>
      <c r="S234" s="3317"/>
      <c r="T234" s="3317"/>
      <c r="U234" s="3317"/>
      <c r="V234" s="3317"/>
      <c r="W234" s="3317"/>
      <c r="X234" s="3317"/>
      <c r="Y234" s="3317"/>
      <c r="Z234" s="3317"/>
      <c r="AA234" s="3317"/>
      <c r="AB234" s="3317"/>
      <c r="AC234" s="3307">
        <f t="shared" si="126"/>
        <v>0</v>
      </c>
      <c r="AD234" s="3327"/>
      <c r="AE234" s="3327"/>
      <c r="AF234" s="3327"/>
      <c r="AG234" s="3327"/>
      <c r="AH234" s="3327"/>
      <c r="AI234" s="3327"/>
      <c r="AJ234" s="3327"/>
      <c r="AK234" s="3327"/>
      <c r="AL234" s="3327"/>
      <c r="AM234" s="3327"/>
      <c r="AN234" s="3327"/>
      <c r="AO234" s="3327"/>
      <c r="AP234" s="3327"/>
      <c r="AQ234" s="3327"/>
      <c r="AR234" s="3327"/>
      <c r="AS234" s="3327"/>
      <c r="AT234" s="3337"/>
      <c r="AU234" s="3338"/>
      <c r="AV234" s="1410">
        <f t="shared" si="127"/>
        <v>0</v>
      </c>
      <c r="AW234" s="1410">
        <f t="shared" si="128"/>
        <v>0</v>
      </c>
      <c r="AX234" s="1410">
        <f t="shared" si="129"/>
        <v>0</v>
      </c>
      <c r="AY234" s="3352">
        <f t="shared" si="130"/>
        <v>0</v>
      </c>
      <c r="AZ234" s="3307">
        <f t="shared" si="131"/>
        <v>0</v>
      </c>
      <c r="BA234" s="3307">
        <f t="shared" si="132"/>
        <v>0</v>
      </c>
      <c r="BB234" s="3307">
        <f t="shared" si="133"/>
        <v>0</v>
      </c>
      <c r="BC234" s="3307">
        <f t="shared" si="134"/>
        <v>0</v>
      </c>
      <c r="BD234" s="3307">
        <f t="shared" si="135"/>
        <v>0</v>
      </c>
      <c r="BE234" s="3307">
        <f t="shared" si="136"/>
        <v>0</v>
      </c>
      <c r="BF234" s="3307">
        <f t="shared" si="137"/>
        <v>0</v>
      </c>
      <c r="BG234" s="3307">
        <f t="shared" si="138"/>
        <v>0</v>
      </c>
      <c r="BH234" s="3307">
        <f t="shared" si="139"/>
        <v>0</v>
      </c>
      <c r="BI234" s="3307">
        <f t="shared" si="140"/>
        <v>0</v>
      </c>
      <c r="BJ234" s="3307">
        <f t="shared" si="141"/>
        <v>0</v>
      </c>
      <c r="BK234" s="3307">
        <f t="shared" si="142"/>
        <v>0</v>
      </c>
      <c r="BL234" s="3307">
        <f t="shared" si="143"/>
        <v>0</v>
      </c>
      <c r="BM234" s="3307">
        <f t="shared" si="144"/>
        <v>0</v>
      </c>
      <c r="BN234" s="3307">
        <f t="shared" si="145"/>
        <v>0</v>
      </c>
      <c r="BO234" s="3307">
        <f t="shared" si="146"/>
        <v>0</v>
      </c>
      <c r="BP234" s="3307">
        <f t="shared" si="147"/>
        <v>0</v>
      </c>
      <c r="BQ234" s="3307">
        <f t="shared" si="148"/>
        <v>0</v>
      </c>
      <c r="BR234" s="3307">
        <f t="shared" si="149"/>
        <v>0</v>
      </c>
      <c r="BS234" s="3307">
        <f t="shared" si="150"/>
        <v>0</v>
      </c>
      <c r="BT234" s="3359">
        <f t="shared" si="151"/>
        <v>0</v>
      </c>
    </row>
    <row r="235" spans="1:72">
      <c r="A235" s="3304"/>
      <c r="B235" s="3305"/>
      <c r="C235" s="3305"/>
      <c r="D235" s="3306"/>
      <c r="E235" s="3307">
        <f t="shared" si="123"/>
        <v>0</v>
      </c>
      <c r="F235" s="3308"/>
      <c r="G235" s="3309">
        <f t="shared" si="124"/>
        <v>0</v>
      </c>
      <c r="H235" s="3310">
        <f t="shared" si="125"/>
        <v>0</v>
      </c>
      <c r="I235" s="3317"/>
      <c r="J235" s="3317"/>
      <c r="K235" s="3317"/>
      <c r="L235" s="3317"/>
      <c r="M235" s="3317"/>
      <c r="N235" s="3317"/>
      <c r="O235" s="3317"/>
      <c r="P235" s="3317"/>
      <c r="Q235" s="3317"/>
      <c r="R235" s="3317"/>
      <c r="S235" s="3317"/>
      <c r="T235" s="3317"/>
      <c r="U235" s="3317"/>
      <c r="V235" s="3317"/>
      <c r="W235" s="3317"/>
      <c r="X235" s="3317"/>
      <c r="Y235" s="3317"/>
      <c r="Z235" s="3317"/>
      <c r="AA235" s="3317"/>
      <c r="AB235" s="3317"/>
      <c r="AC235" s="3307">
        <f t="shared" si="126"/>
        <v>0</v>
      </c>
      <c r="AD235" s="3327"/>
      <c r="AE235" s="3327"/>
      <c r="AF235" s="3327"/>
      <c r="AG235" s="3327"/>
      <c r="AH235" s="3327"/>
      <c r="AI235" s="3327"/>
      <c r="AJ235" s="3327"/>
      <c r="AK235" s="3327"/>
      <c r="AL235" s="3327"/>
      <c r="AM235" s="3327"/>
      <c r="AN235" s="3327"/>
      <c r="AO235" s="3327"/>
      <c r="AP235" s="3327"/>
      <c r="AQ235" s="3327"/>
      <c r="AR235" s="3327"/>
      <c r="AS235" s="3327"/>
      <c r="AT235" s="3337"/>
      <c r="AU235" s="3338"/>
      <c r="AV235" s="1410">
        <f t="shared" si="127"/>
        <v>0</v>
      </c>
      <c r="AW235" s="1410">
        <f t="shared" si="128"/>
        <v>0</v>
      </c>
      <c r="AX235" s="1410">
        <f t="shared" si="129"/>
        <v>0</v>
      </c>
      <c r="AY235" s="3352">
        <f t="shared" si="130"/>
        <v>0</v>
      </c>
      <c r="AZ235" s="3307">
        <f t="shared" si="131"/>
        <v>0</v>
      </c>
      <c r="BA235" s="3307">
        <f t="shared" si="132"/>
        <v>0</v>
      </c>
      <c r="BB235" s="3307">
        <f t="shared" si="133"/>
        <v>0</v>
      </c>
      <c r="BC235" s="3307">
        <f t="shared" si="134"/>
        <v>0</v>
      </c>
      <c r="BD235" s="3307">
        <f t="shared" si="135"/>
        <v>0</v>
      </c>
      <c r="BE235" s="3307">
        <f t="shared" si="136"/>
        <v>0</v>
      </c>
      <c r="BF235" s="3307">
        <f t="shared" si="137"/>
        <v>0</v>
      </c>
      <c r="BG235" s="3307">
        <f t="shared" si="138"/>
        <v>0</v>
      </c>
      <c r="BH235" s="3307">
        <f t="shared" si="139"/>
        <v>0</v>
      </c>
      <c r="BI235" s="3307">
        <f t="shared" si="140"/>
        <v>0</v>
      </c>
      <c r="BJ235" s="3307">
        <f t="shared" si="141"/>
        <v>0</v>
      </c>
      <c r="BK235" s="3307">
        <f t="shared" si="142"/>
        <v>0</v>
      </c>
      <c r="BL235" s="3307">
        <f t="shared" si="143"/>
        <v>0</v>
      </c>
      <c r="BM235" s="3307">
        <f t="shared" si="144"/>
        <v>0</v>
      </c>
      <c r="BN235" s="3307">
        <f t="shared" si="145"/>
        <v>0</v>
      </c>
      <c r="BO235" s="3307">
        <f t="shared" si="146"/>
        <v>0</v>
      </c>
      <c r="BP235" s="3307">
        <f t="shared" si="147"/>
        <v>0</v>
      </c>
      <c r="BQ235" s="3307">
        <f t="shared" si="148"/>
        <v>0</v>
      </c>
      <c r="BR235" s="3307">
        <f t="shared" si="149"/>
        <v>0</v>
      </c>
      <c r="BS235" s="3307">
        <f t="shared" si="150"/>
        <v>0</v>
      </c>
      <c r="BT235" s="3359">
        <f t="shared" si="151"/>
        <v>0</v>
      </c>
    </row>
    <row r="236" spans="1:72">
      <c r="A236" s="3304"/>
      <c r="B236" s="3305"/>
      <c r="C236" s="3305"/>
      <c r="D236" s="3306"/>
      <c r="E236" s="3307">
        <f t="shared" si="123"/>
        <v>0</v>
      </c>
      <c r="F236" s="3308"/>
      <c r="G236" s="3309">
        <f t="shared" si="124"/>
        <v>0</v>
      </c>
      <c r="H236" s="3310">
        <f t="shared" si="125"/>
        <v>0</v>
      </c>
      <c r="I236" s="3317"/>
      <c r="J236" s="3317"/>
      <c r="K236" s="3317"/>
      <c r="L236" s="3317"/>
      <c r="M236" s="3317"/>
      <c r="N236" s="3317"/>
      <c r="O236" s="3317"/>
      <c r="P236" s="3317"/>
      <c r="Q236" s="3317"/>
      <c r="R236" s="3317"/>
      <c r="S236" s="3317"/>
      <c r="T236" s="3317"/>
      <c r="U236" s="3317"/>
      <c r="V236" s="3317"/>
      <c r="W236" s="3317"/>
      <c r="X236" s="3317"/>
      <c r="Y236" s="3317"/>
      <c r="Z236" s="3317"/>
      <c r="AA236" s="3317"/>
      <c r="AB236" s="3317"/>
      <c r="AC236" s="3307">
        <f t="shared" si="126"/>
        <v>0</v>
      </c>
      <c r="AD236" s="3327"/>
      <c r="AE236" s="3327"/>
      <c r="AF236" s="3327"/>
      <c r="AG236" s="3327"/>
      <c r="AH236" s="3327"/>
      <c r="AI236" s="3327"/>
      <c r="AJ236" s="3327"/>
      <c r="AK236" s="3327"/>
      <c r="AL236" s="3327"/>
      <c r="AM236" s="3327"/>
      <c r="AN236" s="3327"/>
      <c r="AO236" s="3327"/>
      <c r="AP236" s="3327"/>
      <c r="AQ236" s="3327"/>
      <c r="AR236" s="3327"/>
      <c r="AS236" s="3327"/>
      <c r="AT236" s="3337"/>
      <c r="AU236" s="3338"/>
      <c r="AV236" s="1410">
        <f t="shared" si="127"/>
        <v>0</v>
      </c>
      <c r="AW236" s="1410">
        <f t="shared" si="128"/>
        <v>0</v>
      </c>
      <c r="AX236" s="1410">
        <f t="shared" si="129"/>
        <v>0</v>
      </c>
      <c r="AY236" s="3352">
        <f t="shared" si="130"/>
        <v>0</v>
      </c>
      <c r="AZ236" s="3307">
        <f t="shared" si="131"/>
        <v>0</v>
      </c>
      <c r="BA236" s="3307">
        <f t="shared" si="132"/>
        <v>0</v>
      </c>
      <c r="BB236" s="3307">
        <f t="shared" si="133"/>
        <v>0</v>
      </c>
      <c r="BC236" s="3307">
        <f t="shared" si="134"/>
        <v>0</v>
      </c>
      <c r="BD236" s="3307">
        <f t="shared" si="135"/>
        <v>0</v>
      </c>
      <c r="BE236" s="3307">
        <f t="shared" si="136"/>
        <v>0</v>
      </c>
      <c r="BF236" s="3307">
        <f t="shared" si="137"/>
        <v>0</v>
      </c>
      <c r="BG236" s="3307">
        <f t="shared" si="138"/>
        <v>0</v>
      </c>
      <c r="BH236" s="3307">
        <f t="shared" si="139"/>
        <v>0</v>
      </c>
      <c r="BI236" s="3307">
        <f t="shared" si="140"/>
        <v>0</v>
      </c>
      <c r="BJ236" s="3307">
        <f t="shared" si="141"/>
        <v>0</v>
      </c>
      <c r="BK236" s="3307">
        <f t="shared" si="142"/>
        <v>0</v>
      </c>
      <c r="BL236" s="3307">
        <f t="shared" si="143"/>
        <v>0</v>
      </c>
      <c r="BM236" s="3307">
        <f t="shared" si="144"/>
        <v>0</v>
      </c>
      <c r="BN236" s="3307">
        <f t="shared" si="145"/>
        <v>0</v>
      </c>
      <c r="BO236" s="3307">
        <f t="shared" si="146"/>
        <v>0</v>
      </c>
      <c r="BP236" s="3307">
        <f t="shared" si="147"/>
        <v>0</v>
      </c>
      <c r="BQ236" s="3307">
        <f t="shared" si="148"/>
        <v>0</v>
      </c>
      <c r="BR236" s="3307">
        <f t="shared" si="149"/>
        <v>0</v>
      </c>
      <c r="BS236" s="3307">
        <f t="shared" si="150"/>
        <v>0</v>
      </c>
      <c r="BT236" s="3359">
        <f t="shared" si="151"/>
        <v>0</v>
      </c>
    </row>
    <row r="237" spans="1:72">
      <c r="A237" s="3304"/>
      <c r="B237" s="3305"/>
      <c r="C237" s="3305"/>
      <c r="D237" s="3306"/>
      <c r="E237" s="3307">
        <f t="shared" si="123"/>
        <v>0</v>
      </c>
      <c r="F237" s="3308"/>
      <c r="G237" s="3309">
        <f t="shared" si="124"/>
        <v>0</v>
      </c>
      <c r="H237" s="3310">
        <f t="shared" si="125"/>
        <v>0</v>
      </c>
      <c r="I237" s="3317"/>
      <c r="J237" s="3317"/>
      <c r="K237" s="3317"/>
      <c r="L237" s="3317"/>
      <c r="M237" s="3317"/>
      <c r="N237" s="3317"/>
      <c r="O237" s="3317"/>
      <c r="P237" s="3317"/>
      <c r="Q237" s="3317"/>
      <c r="R237" s="3317"/>
      <c r="S237" s="3317"/>
      <c r="T237" s="3317"/>
      <c r="U237" s="3317"/>
      <c r="V237" s="3317"/>
      <c r="W237" s="3317"/>
      <c r="X237" s="3317"/>
      <c r="Y237" s="3317"/>
      <c r="Z237" s="3317"/>
      <c r="AA237" s="3317"/>
      <c r="AB237" s="3317"/>
      <c r="AC237" s="3307">
        <f t="shared" si="126"/>
        <v>0</v>
      </c>
      <c r="AD237" s="3327"/>
      <c r="AE237" s="3327"/>
      <c r="AF237" s="3327"/>
      <c r="AG237" s="3327"/>
      <c r="AH237" s="3327"/>
      <c r="AI237" s="3327"/>
      <c r="AJ237" s="3327"/>
      <c r="AK237" s="3327"/>
      <c r="AL237" s="3327"/>
      <c r="AM237" s="3327"/>
      <c r="AN237" s="3327"/>
      <c r="AO237" s="3327"/>
      <c r="AP237" s="3327"/>
      <c r="AQ237" s="3327"/>
      <c r="AR237" s="3327"/>
      <c r="AS237" s="3327"/>
      <c r="AT237" s="3337"/>
      <c r="AU237" s="3338"/>
      <c r="AV237" s="1410">
        <f t="shared" si="127"/>
        <v>0</v>
      </c>
      <c r="AW237" s="1410">
        <f t="shared" si="128"/>
        <v>0</v>
      </c>
      <c r="AX237" s="1410">
        <f t="shared" si="129"/>
        <v>0</v>
      </c>
      <c r="AY237" s="3352">
        <f t="shared" si="130"/>
        <v>0</v>
      </c>
      <c r="AZ237" s="3307">
        <f t="shared" si="131"/>
        <v>0</v>
      </c>
      <c r="BA237" s="3307">
        <f t="shared" si="132"/>
        <v>0</v>
      </c>
      <c r="BB237" s="3307">
        <f t="shared" si="133"/>
        <v>0</v>
      </c>
      <c r="BC237" s="3307">
        <f t="shared" si="134"/>
        <v>0</v>
      </c>
      <c r="BD237" s="3307">
        <f t="shared" si="135"/>
        <v>0</v>
      </c>
      <c r="BE237" s="3307">
        <f t="shared" si="136"/>
        <v>0</v>
      </c>
      <c r="BF237" s="3307">
        <f t="shared" si="137"/>
        <v>0</v>
      </c>
      <c r="BG237" s="3307">
        <f t="shared" si="138"/>
        <v>0</v>
      </c>
      <c r="BH237" s="3307">
        <f t="shared" si="139"/>
        <v>0</v>
      </c>
      <c r="BI237" s="3307">
        <f t="shared" si="140"/>
        <v>0</v>
      </c>
      <c r="BJ237" s="3307">
        <f t="shared" si="141"/>
        <v>0</v>
      </c>
      <c r="BK237" s="3307">
        <f t="shared" si="142"/>
        <v>0</v>
      </c>
      <c r="BL237" s="3307">
        <f t="shared" si="143"/>
        <v>0</v>
      </c>
      <c r="BM237" s="3307">
        <f t="shared" si="144"/>
        <v>0</v>
      </c>
      <c r="BN237" s="3307">
        <f t="shared" si="145"/>
        <v>0</v>
      </c>
      <c r="BO237" s="3307">
        <f t="shared" si="146"/>
        <v>0</v>
      </c>
      <c r="BP237" s="3307">
        <f t="shared" si="147"/>
        <v>0</v>
      </c>
      <c r="BQ237" s="3307">
        <f t="shared" si="148"/>
        <v>0</v>
      </c>
      <c r="BR237" s="3307">
        <f t="shared" si="149"/>
        <v>0</v>
      </c>
      <c r="BS237" s="3307">
        <f t="shared" si="150"/>
        <v>0</v>
      </c>
      <c r="BT237" s="3359">
        <f t="shared" si="151"/>
        <v>0</v>
      </c>
    </row>
    <row r="238" spans="1:72">
      <c r="A238" s="3304"/>
      <c r="B238" s="3305"/>
      <c r="C238" s="3305"/>
      <c r="D238" s="3306"/>
      <c r="E238" s="3307">
        <f t="shared" si="123"/>
        <v>0</v>
      </c>
      <c r="F238" s="3308"/>
      <c r="G238" s="3309">
        <f t="shared" si="124"/>
        <v>0</v>
      </c>
      <c r="H238" s="3310">
        <f t="shared" si="125"/>
        <v>0</v>
      </c>
      <c r="I238" s="3317"/>
      <c r="J238" s="3317"/>
      <c r="K238" s="3317"/>
      <c r="L238" s="3317"/>
      <c r="M238" s="3317"/>
      <c r="N238" s="3317"/>
      <c r="O238" s="3317"/>
      <c r="P238" s="3317"/>
      <c r="Q238" s="3317"/>
      <c r="R238" s="3317"/>
      <c r="S238" s="3317"/>
      <c r="T238" s="3317"/>
      <c r="U238" s="3317"/>
      <c r="V238" s="3317"/>
      <c r="W238" s="3317"/>
      <c r="X238" s="3317"/>
      <c r="Y238" s="3317"/>
      <c r="Z238" s="3317"/>
      <c r="AA238" s="3317"/>
      <c r="AB238" s="3317"/>
      <c r="AC238" s="3307">
        <f t="shared" si="126"/>
        <v>0</v>
      </c>
      <c r="AD238" s="3327"/>
      <c r="AE238" s="3327"/>
      <c r="AF238" s="3327"/>
      <c r="AG238" s="3327"/>
      <c r="AH238" s="3327"/>
      <c r="AI238" s="3327"/>
      <c r="AJ238" s="3327"/>
      <c r="AK238" s="3327"/>
      <c r="AL238" s="3327"/>
      <c r="AM238" s="3327"/>
      <c r="AN238" s="3327"/>
      <c r="AO238" s="3327"/>
      <c r="AP238" s="3327"/>
      <c r="AQ238" s="3327"/>
      <c r="AR238" s="3327"/>
      <c r="AS238" s="3327"/>
      <c r="AT238" s="3337"/>
      <c r="AU238" s="3338"/>
      <c r="AV238" s="1410">
        <f t="shared" si="127"/>
        <v>0</v>
      </c>
      <c r="AW238" s="1410">
        <f t="shared" si="128"/>
        <v>0</v>
      </c>
      <c r="AX238" s="1410">
        <f t="shared" si="129"/>
        <v>0</v>
      </c>
      <c r="AY238" s="3352">
        <f t="shared" si="130"/>
        <v>0</v>
      </c>
      <c r="AZ238" s="3307">
        <f t="shared" si="131"/>
        <v>0</v>
      </c>
      <c r="BA238" s="3307">
        <f t="shared" si="132"/>
        <v>0</v>
      </c>
      <c r="BB238" s="3307">
        <f t="shared" si="133"/>
        <v>0</v>
      </c>
      <c r="BC238" s="3307">
        <f t="shared" si="134"/>
        <v>0</v>
      </c>
      <c r="BD238" s="3307">
        <f t="shared" si="135"/>
        <v>0</v>
      </c>
      <c r="BE238" s="3307">
        <f t="shared" si="136"/>
        <v>0</v>
      </c>
      <c r="BF238" s="3307">
        <f t="shared" si="137"/>
        <v>0</v>
      </c>
      <c r="BG238" s="3307">
        <f t="shared" si="138"/>
        <v>0</v>
      </c>
      <c r="BH238" s="3307">
        <f t="shared" si="139"/>
        <v>0</v>
      </c>
      <c r="BI238" s="3307">
        <f t="shared" si="140"/>
        <v>0</v>
      </c>
      <c r="BJ238" s="3307">
        <f t="shared" si="141"/>
        <v>0</v>
      </c>
      <c r="BK238" s="3307">
        <f t="shared" si="142"/>
        <v>0</v>
      </c>
      <c r="BL238" s="3307">
        <f t="shared" si="143"/>
        <v>0</v>
      </c>
      <c r="BM238" s="3307">
        <f t="shared" si="144"/>
        <v>0</v>
      </c>
      <c r="BN238" s="3307">
        <f t="shared" si="145"/>
        <v>0</v>
      </c>
      <c r="BO238" s="3307">
        <f t="shared" si="146"/>
        <v>0</v>
      </c>
      <c r="BP238" s="3307">
        <f t="shared" si="147"/>
        <v>0</v>
      </c>
      <c r="BQ238" s="3307">
        <f t="shared" si="148"/>
        <v>0</v>
      </c>
      <c r="BR238" s="3307">
        <f t="shared" si="149"/>
        <v>0</v>
      </c>
      <c r="BS238" s="3307">
        <f t="shared" si="150"/>
        <v>0</v>
      </c>
      <c r="BT238" s="3359">
        <f t="shared" si="151"/>
        <v>0</v>
      </c>
    </row>
    <row r="239" spans="1:72">
      <c r="A239" s="3304"/>
      <c r="B239" s="3305"/>
      <c r="C239" s="3305"/>
      <c r="D239" s="3306"/>
      <c r="E239" s="3307">
        <f t="shared" si="123"/>
        <v>0</v>
      </c>
      <c r="F239" s="3308"/>
      <c r="G239" s="3309">
        <f t="shared" si="124"/>
        <v>0</v>
      </c>
      <c r="H239" s="3310">
        <f t="shared" si="125"/>
        <v>0</v>
      </c>
      <c r="I239" s="3317"/>
      <c r="J239" s="3317"/>
      <c r="K239" s="3317"/>
      <c r="L239" s="3317"/>
      <c r="M239" s="3317"/>
      <c r="N239" s="3317"/>
      <c r="O239" s="3317"/>
      <c r="P239" s="3317"/>
      <c r="Q239" s="3317"/>
      <c r="R239" s="3317"/>
      <c r="S239" s="3317"/>
      <c r="T239" s="3317"/>
      <c r="U239" s="3317"/>
      <c r="V239" s="3317"/>
      <c r="W239" s="3317"/>
      <c r="X239" s="3317"/>
      <c r="Y239" s="3317"/>
      <c r="Z239" s="3317"/>
      <c r="AA239" s="3317"/>
      <c r="AB239" s="3317"/>
      <c r="AC239" s="3307">
        <f t="shared" si="126"/>
        <v>0</v>
      </c>
      <c r="AD239" s="3327"/>
      <c r="AE239" s="3327"/>
      <c r="AF239" s="3327"/>
      <c r="AG239" s="3327"/>
      <c r="AH239" s="3327"/>
      <c r="AI239" s="3327"/>
      <c r="AJ239" s="3327"/>
      <c r="AK239" s="3327"/>
      <c r="AL239" s="3327"/>
      <c r="AM239" s="3327"/>
      <c r="AN239" s="3327"/>
      <c r="AO239" s="3327"/>
      <c r="AP239" s="3327"/>
      <c r="AQ239" s="3327"/>
      <c r="AR239" s="3327"/>
      <c r="AS239" s="3327"/>
      <c r="AT239" s="3337"/>
      <c r="AU239" s="3338"/>
      <c r="AV239" s="1410">
        <f t="shared" si="127"/>
        <v>0</v>
      </c>
      <c r="AW239" s="1410">
        <f t="shared" si="128"/>
        <v>0</v>
      </c>
      <c r="AX239" s="1410">
        <f t="shared" si="129"/>
        <v>0</v>
      </c>
      <c r="AY239" s="3352">
        <f t="shared" si="130"/>
        <v>0</v>
      </c>
      <c r="AZ239" s="3307">
        <f t="shared" si="131"/>
        <v>0</v>
      </c>
      <c r="BA239" s="3307">
        <f t="shared" si="132"/>
        <v>0</v>
      </c>
      <c r="BB239" s="3307">
        <f t="shared" si="133"/>
        <v>0</v>
      </c>
      <c r="BC239" s="3307">
        <f t="shared" si="134"/>
        <v>0</v>
      </c>
      <c r="BD239" s="3307">
        <f t="shared" si="135"/>
        <v>0</v>
      </c>
      <c r="BE239" s="3307">
        <f t="shared" si="136"/>
        <v>0</v>
      </c>
      <c r="BF239" s="3307">
        <f t="shared" si="137"/>
        <v>0</v>
      </c>
      <c r="BG239" s="3307">
        <f t="shared" si="138"/>
        <v>0</v>
      </c>
      <c r="BH239" s="3307">
        <f t="shared" si="139"/>
        <v>0</v>
      </c>
      <c r="BI239" s="3307">
        <f t="shared" si="140"/>
        <v>0</v>
      </c>
      <c r="BJ239" s="3307">
        <f t="shared" si="141"/>
        <v>0</v>
      </c>
      <c r="BK239" s="3307">
        <f t="shared" si="142"/>
        <v>0</v>
      </c>
      <c r="BL239" s="3307">
        <f t="shared" si="143"/>
        <v>0</v>
      </c>
      <c r="BM239" s="3307">
        <f t="shared" si="144"/>
        <v>0</v>
      </c>
      <c r="BN239" s="3307">
        <f t="shared" si="145"/>
        <v>0</v>
      </c>
      <c r="BO239" s="3307">
        <f t="shared" si="146"/>
        <v>0</v>
      </c>
      <c r="BP239" s="3307">
        <f t="shared" si="147"/>
        <v>0</v>
      </c>
      <c r="BQ239" s="3307">
        <f t="shared" si="148"/>
        <v>0</v>
      </c>
      <c r="BR239" s="3307">
        <f t="shared" si="149"/>
        <v>0</v>
      </c>
      <c r="BS239" s="3307">
        <f t="shared" si="150"/>
        <v>0</v>
      </c>
      <c r="BT239" s="3359">
        <f t="shared" si="151"/>
        <v>0</v>
      </c>
    </row>
    <row r="240" spans="1:72">
      <c r="A240" s="3304"/>
      <c r="B240" s="3305"/>
      <c r="C240" s="3305"/>
      <c r="D240" s="3306"/>
      <c r="E240" s="3307">
        <f t="shared" si="123"/>
        <v>0</v>
      </c>
      <c r="F240" s="3308"/>
      <c r="G240" s="3309">
        <f t="shared" si="124"/>
        <v>0</v>
      </c>
      <c r="H240" s="3310">
        <f t="shared" si="125"/>
        <v>0</v>
      </c>
      <c r="I240" s="3317"/>
      <c r="J240" s="3317"/>
      <c r="K240" s="3317"/>
      <c r="L240" s="3317"/>
      <c r="M240" s="3317"/>
      <c r="N240" s="3317"/>
      <c r="O240" s="3317"/>
      <c r="P240" s="3317"/>
      <c r="Q240" s="3317"/>
      <c r="R240" s="3317"/>
      <c r="S240" s="3317"/>
      <c r="T240" s="3317"/>
      <c r="U240" s="3317"/>
      <c r="V240" s="3317"/>
      <c r="W240" s="3317"/>
      <c r="X240" s="3317"/>
      <c r="Y240" s="3317"/>
      <c r="Z240" s="3317"/>
      <c r="AA240" s="3317"/>
      <c r="AB240" s="3317"/>
      <c r="AC240" s="3307">
        <f t="shared" si="126"/>
        <v>0</v>
      </c>
      <c r="AD240" s="3327"/>
      <c r="AE240" s="3327"/>
      <c r="AF240" s="3327"/>
      <c r="AG240" s="3327"/>
      <c r="AH240" s="3327"/>
      <c r="AI240" s="3327"/>
      <c r="AJ240" s="3327"/>
      <c r="AK240" s="3327"/>
      <c r="AL240" s="3327"/>
      <c r="AM240" s="3327"/>
      <c r="AN240" s="3327"/>
      <c r="AO240" s="3327"/>
      <c r="AP240" s="3327"/>
      <c r="AQ240" s="3327"/>
      <c r="AR240" s="3327"/>
      <c r="AS240" s="3327"/>
      <c r="AT240" s="3337"/>
      <c r="AU240" s="3338"/>
      <c r="AV240" s="1410">
        <f t="shared" si="127"/>
        <v>0</v>
      </c>
      <c r="AW240" s="1410">
        <f t="shared" si="128"/>
        <v>0</v>
      </c>
      <c r="AX240" s="1410">
        <f t="shared" si="129"/>
        <v>0</v>
      </c>
      <c r="AY240" s="3352">
        <f t="shared" si="130"/>
        <v>0</v>
      </c>
      <c r="AZ240" s="3307">
        <f t="shared" si="131"/>
        <v>0</v>
      </c>
      <c r="BA240" s="3307">
        <f t="shared" si="132"/>
        <v>0</v>
      </c>
      <c r="BB240" s="3307">
        <f t="shared" si="133"/>
        <v>0</v>
      </c>
      <c r="BC240" s="3307">
        <f t="shared" si="134"/>
        <v>0</v>
      </c>
      <c r="BD240" s="3307">
        <f t="shared" si="135"/>
        <v>0</v>
      </c>
      <c r="BE240" s="3307">
        <f t="shared" si="136"/>
        <v>0</v>
      </c>
      <c r="BF240" s="3307">
        <f t="shared" si="137"/>
        <v>0</v>
      </c>
      <c r="BG240" s="3307">
        <f t="shared" si="138"/>
        <v>0</v>
      </c>
      <c r="BH240" s="3307">
        <f t="shared" si="139"/>
        <v>0</v>
      </c>
      <c r="BI240" s="3307">
        <f t="shared" si="140"/>
        <v>0</v>
      </c>
      <c r="BJ240" s="3307">
        <f t="shared" si="141"/>
        <v>0</v>
      </c>
      <c r="BK240" s="3307">
        <f t="shared" si="142"/>
        <v>0</v>
      </c>
      <c r="BL240" s="3307">
        <f t="shared" si="143"/>
        <v>0</v>
      </c>
      <c r="BM240" s="3307">
        <f t="shared" si="144"/>
        <v>0</v>
      </c>
      <c r="BN240" s="3307">
        <f t="shared" si="145"/>
        <v>0</v>
      </c>
      <c r="BO240" s="3307">
        <f t="shared" si="146"/>
        <v>0</v>
      </c>
      <c r="BP240" s="3307">
        <f t="shared" si="147"/>
        <v>0</v>
      </c>
      <c r="BQ240" s="3307">
        <f t="shared" si="148"/>
        <v>0</v>
      </c>
      <c r="BR240" s="3307">
        <f t="shared" si="149"/>
        <v>0</v>
      </c>
      <c r="BS240" s="3307">
        <f t="shared" si="150"/>
        <v>0</v>
      </c>
      <c r="BT240" s="3359">
        <f t="shared" si="151"/>
        <v>0</v>
      </c>
    </row>
    <row r="241" spans="1:72">
      <c r="A241" s="3304"/>
      <c r="B241" s="3305"/>
      <c r="C241" s="3305"/>
      <c r="D241" s="3306"/>
      <c r="E241" s="3307">
        <f t="shared" si="123"/>
        <v>0</v>
      </c>
      <c r="F241" s="3308"/>
      <c r="G241" s="3309">
        <f t="shared" si="124"/>
        <v>0</v>
      </c>
      <c r="H241" s="3310">
        <f t="shared" si="125"/>
        <v>0</v>
      </c>
      <c r="I241" s="3317"/>
      <c r="J241" s="3317"/>
      <c r="K241" s="3317"/>
      <c r="L241" s="3317"/>
      <c r="M241" s="3317"/>
      <c r="N241" s="3317"/>
      <c r="O241" s="3317"/>
      <c r="P241" s="3317"/>
      <c r="Q241" s="3317"/>
      <c r="R241" s="3317"/>
      <c r="S241" s="3317"/>
      <c r="T241" s="3317"/>
      <c r="U241" s="3317"/>
      <c r="V241" s="3317"/>
      <c r="W241" s="3317"/>
      <c r="X241" s="3317"/>
      <c r="Y241" s="3317"/>
      <c r="Z241" s="3317"/>
      <c r="AA241" s="3317"/>
      <c r="AB241" s="3317"/>
      <c r="AC241" s="3307">
        <f t="shared" si="126"/>
        <v>0</v>
      </c>
      <c r="AD241" s="3327"/>
      <c r="AE241" s="3327"/>
      <c r="AF241" s="3327"/>
      <c r="AG241" s="3327"/>
      <c r="AH241" s="3327"/>
      <c r="AI241" s="3327"/>
      <c r="AJ241" s="3327"/>
      <c r="AK241" s="3327"/>
      <c r="AL241" s="3327"/>
      <c r="AM241" s="3327"/>
      <c r="AN241" s="3327"/>
      <c r="AO241" s="3327"/>
      <c r="AP241" s="3327"/>
      <c r="AQ241" s="3327"/>
      <c r="AR241" s="3327"/>
      <c r="AS241" s="3327"/>
      <c r="AT241" s="3337"/>
      <c r="AU241" s="3338"/>
      <c r="AV241" s="1410">
        <f t="shared" si="127"/>
        <v>0</v>
      </c>
      <c r="AW241" s="1410">
        <f t="shared" si="128"/>
        <v>0</v>
      </c>
      <c r="AX241" s="1410">
        <f t="shared" si="129"/>
        <v>0</v>
      </c>
      <c r="AY241" s="3352">
        <f t="shared" si="130"/>
        <v>0</v>
      </c>
      <c r="AZ241" s="3307">
        <f t="shared" si="131"/>
        <v>0</v>
      </c>
      <c r="BA241" s="3307">
        <f t="shared" si="132"/>
        <v>0</v>
      </c>
      <c r="BB241" s="3307">
        <f t="shared" si="133"/>
        <v>0</v>
      </c>
      <c r="BC241" s="3307">
        <f t="shared" si="134"/>
        <v>0</v>
      </c>
      <c r="BD241" s="3307">
        <f t="shared" si="135"/>
        <v>0</v>
      </c>
      <c r="BE241" s="3307">
        <f t="shared" si="136"/>
        <v>0</v>
      </c>
      <c r="BF241" s="3307">
        <f t="shared" si="137"/>
        <v>0</v>
      </c>
      <c r="BG241" s="3307">
        <f t="shared" si="138"/>
        <v>0</v>
      </c>
      <c r="BH241" s="3307">
        <f t="shared" si="139"/>
        <v>0</v>
      </c>
      <c r="BI241" s="3307">
        <f t="shared" si="140"/>
        <v>0</v>
      </c>
      <c r="BJ241" s="3307">
        <f t="shared" si="141"/>
        <v>0</v>
      </c>
      <c r="BK241" s="3307">
        <f t="shared" si="142"/>
        <v>0</v>
      </c>
      <c r="BL241" s="3307">
        <f t="shared" si="143"/>
        <v>0</v>
      </c>
      <c r="BM241" s="3307">
        <f t="shared" si="144"/>
        <v>0</v>
      </c>
      <c r="BN241" s="3307">
        <f t="shared" si="145"/>
        <v>0</v>
      </c>
      <c r="BO241" s="3307">
        <f t="shared" si="146"/>
        <v>0</v>
      </c>
      <c r="BP241" s="3307">
        <f t="shared" si="147"/>
        <v>0</v>
      </c>
      <c r="BQ241" s="3307">
        <f t="shared" si="148"/>
        <v>0</v>
      </c>
      <c r="BR241" s="3307">
        <f t="shared" si="149"/>
        <v>0</v>
      </c>
      <c r="BS241" s="3307">
        <f t="shared" si="150"/>
        <v>0</v>
      </c>
      <c r="BT241" s="3359">
        <f t="shared" si="151"/>
        <v>0</v>
      </c>
    </row>
    <row r="242" spans="1:72">
      <c r="A242" s="3304"/>
      <c r="B242" s="3305"/>
      <c r="C242" s="3305"/>
      <c r="D242" s="3306"/>
      <c r="E242" s="3307">
        <f t="shared" si="123"/>
        <v>0</v>
      </c>
      <c r="F242" s="3308"/>
      <c r="G242" s="3309">
        <f t="shared" si="124"/>
        <v>0</v>
      </c>
      <c r="H242" s="3310">
        <f t="shared" si="125"/>
        <v>0</v>
      </c>
      <c r="I242" s="3317"/>
      <c r="J242" s="3317"/>
      <c r="K242" s="3317"/>
      <c r="L242" s="3317"/>
      <c r="M242" s="3317"/>
      <c r="N242" s="3317"/>
      <c r="O242" s="3317"/>
      <c r="P242" s="3317"/>
      <c r="Q242" s="3317"/>
      <c r="R242" s="3317"/>
      <c r="S242" s="3317"/>
      <c r="T242" s="3317"/>
      <c r="U242" s="3317"/>
      <c r="V242" s="3317"/>
      <c r="W242" s="3317"/>
      <c r="X242" s="3317"/>
      <c r="Y242" s="3317"/>
      <c r="Z242" s="3317"/>
      <c r="AA242" s="3317"/>
      <c r="AB242" s="3317"/>
      <c r="AC242" s="3307">
        <f t="shared" si="126"/>
        <v>0</v>
      </c>
      <c r="AD242" s="3327"/>
      <c r="AE242" s="3327"/>
      <c r="AF242" s="3327"/>
      <c r="AG242" s="3327"/>
      <c r="AH242" s="3327"/>
      <c r="AI242" s="3327"/>
      <c r="AJ242" s="3327"/>
      <c r="AK242" s="3327"/>
      <c r="AL242" s="3327"/>
      <c r="AM242" s="3327"/>
      <c r="AN242" s="3327"/>
      <c r="AO242" s="3327"/>
      <c r="AP242" s="3327"/>
      <c r="AQ242" s="3327"/>
      <c r="AR242" s="3327"/>
      <c r="AS242" s="3327"/>
      <c r="AT242" s="3337"/>
      <c r="AU242" s="3338"/>
      <c r="AV242" s="1410">
        <f t="shared" si="127"/>
        <v>0</v>
      </c>
      <c r="AW242" s="1410">
        <f t="shared" si="128"/>
        <v>0</v>
      </c>
      <c r="AX242" s="1410">
        <f t="shared" si="129"/>
        <v>0</v>
      </c>
      <c r="AY242" s="3352">
        <f t="shared" si="130"/>
        <v>0</v>
      </c>
      <c r="AZ242" s="3307">
        <f t="shared" si="131"/>
        <v>0</v>
      </c>
      <c r="BA242" s="3307">
        <f t="shared" si="132"/>
        <v>0</v>
      </c>
      <c r="BB242" s="3307">
        <f t="shared" si="133"/>
        <v>0</v>
      </c>
      <c r="BC242" s="3307">
        <f t="shared" si="134"/>
        <v>0</v>
      </c>
      <c r="BD242" s="3307">
        <f t="shared" si="135"/>
        <v>0</v>
      </c>
      <c r="BE242" s="3307">
        <f t="shared" si="136"/>
        <v>0</v>
      </c>
      <c r="BF242" s="3307">
        <f t="shared" si="137"/>
        <v>0</v>
      </c>
      <c r="BG242" s="3307">
        <f t="shared" si="138"/>
        <v>0</v>
      </c>
      <c r="BH242" s="3307">
        <f t="shared" si="139"/>
        <v>0</v>
      </c>
      <c r="BI242" s="3307">
        <f t="shared" si="140"/>
        <v>0</v>
      </c>
      <c r="BJ242" s="3307">
        <f t="shared" si="141"/>
        <v>0</v>
      </c>
      <c r="BK242" s="3307">
        <f t="shared" si="142"/>
        <v>0</v>
      </c>
      <c r="BL242" s="3307">
        <f t="shared" si="143"/>
        <v>0</v>
      </c>
      <c r="BM242" s="3307">
        <f t="shared" si="144"/>
        <v>0</v>
      </c>
      <c r="BN242" s="3307">
        <f t="shared" si="145"/>
        <v>0</v>
      </c>
      <c r="BO242" s="3307">
        <f t="shared" si="146"/>
        <v>0</v>
      </c>
      <c r="BP242" s="3307">
        <f t="shared" si="147"/>
        <v>0</v>
      </c>
      <c r="BQ242" s="3307">
        <f t="shared" si="148"/>
        <v>0</v>
      </c>
      <c r="BR242" s="3307">
        <f t="shared" si="149"/>
        <v>0</v>
      </c>
      <c r="BS242" s="3307">
        <f t="shared" si="150"/>
        <v>0</v>
      </c>
      <c r="BT242" s="3359">
        <f t="shared" si="151"/>
        <v>0</v>
      </c>
    </row>
    <row r="243" spans="1:72">
      <c r="A243" s="3304"/>
      <c r="B243" s="3305"/>
      <c r="C243" s="3305"/>
      <c r="D243" s="3306"/>
      <c r="E243" s="3307">
        <f t="shared" si="123"/>
        <v>0</v>
      </c>
      <c r="F243" s="3308"/>
      <c r="G243" s="3309">
        <f t="shared" si="124"/>
        <v>0</v>
      </c>
      <c r="H243" s="3310">
        <f t="shared" si="125"/>
        <v>0</v>
      </c>
      <c r="I243" s="3317"/>
      <c r="J243" s="3317"/>
      <c r="K243" s="3317"/>
      <c r="L243" s="3317"/>
      <c r="M243" s="3317"/>
      <c r="N243" s="3317"/>
      <c r="O243" s="3317"/>
      <c r="P243" s="3317"/>
      <c r="Q243" s="3317"/>
      <c r="R243" s="3317"/>
      <c r="S243" s="3317"/>
      <c r="T243" s="3317"/>
      <c r="U243" s="3317"/>
      <c r="V243" s="3317"/>
      <c r="W243" s="3317"/>
      <c r="X243" s="3317"/>
      <c r="Y243" s="3317"/>
      <c r="Z243" s="3317"/>
      <c r="AA243" s="3317"/>
      <c r="AB243" s="3317"/>
      <c r="AC243" s="3307">
        <f t="shared" si="126"/>
        <v>0</v>
      </c>
      <c r="AD243" s="3327"/>
      <c r="AE243" s="3327"/>
      <c r="AF243" s="3327"/>
      <c r="AG243" s="3327"/>
      <c r="AH243" s="3327"/>
      <c r="AI243" s="3327"/>
      <c r="AJ243" s="3327"/>
      <c r="AK243" s="3327"/>
      <c r="AL243" s="3327"/>
      <c r="AM243" s="3327"/>
      <c r="AN243" s="3327"/>
      <c r="AO243" s="3327"/>
      <c r="AP243" s="3327"/>
      <c r="AQ243" s="3327"/>
      <c r="AR243" s="3327"/>
      <c r="AS243" s="3327"/>
      <c r="AT243" s="3337"/>
      <c r="AU243" s="3338"/>
      <c r="AV243" s="1410">
        <f t="shared" si="127"/>
        <v>0</v>
      </c>
      <c r="AW243" s="1410">
        <f t="shared" si="128"/>
        <v>0</v>
      </c>
      <c r="AX243" s="1410">
        <f t="shared" si="129"/>
        <v>0</v>
      </c>
      <c r="AY243" s="3352">
        <f t="shared" si="130"/>
        <v>0</v>
      </c>
      <c r="AZ243" s="3307">
        <f t="shared" si="131"/>
        <v>0</v>
      </c>
      <c r="BA243" s="3307">
        <f t="shared" si="132"/>
        <v>0</v>
      </c>
      <c r="BB243" s="3307">
        <f t="shared" si="133"/>
        <v>0</v>
      </c>
      <c r="BC243" s="3307">
        <f t="shared" si="134"/>
        <v>0</v>
      </c>
      <c r="BD243" s="3307">
        <f t="shared" si="135"/>
        <v>0</v>
      </c>
      <c r="BE243" s="3307">
        <f t="shared" si="136"/>
        <v>0</v>
      </c>
      <c r="BF243" s="3307">
        <f t="shared" si="137"/>
        <v>0</v>
      </c>
      <c r="BG243" s="3307">
        <f t="shared" si="138"/>
        <v>0</v>
      </c>
      <c r="BH243" s="3307">
        <f t="shared" si="139"/>
        <v>0</v>
      </c>
      <c r="BI243" s="3307">
        <f t="shared" si="140"/>
        <v>0</v>
      </c>
      <c r="BJ243" s="3307">
        <f t="shared" si="141"/>
        <v>0</v>
      </c>
      <c r="BK243" s="3307">
        <f t="shared" si="142"/>
        <v>0</v>
      </c>
      <c r="BL243" s="3307">
        <f t="shared" si="143"/>
        <v>0</v>
      </c>
      <c r="BM243" s="3307">
        <f t="shared" si="144"/>
        <v>0</v>
      </c>
      <c r="BN243" s="3307">
        <f t="shared" si="145"/>
        <v>0</v>
      </c>
      <c r="BO243" s="3307">
        <f t="shared" si="146"/>
        <v>0</v>
      </c>
      <c r="BP243" s="3307">
        <f t="shared" si="147"/>
        <v>0</v>
      </c>
      <c r="BQ243" s="3307">
        <f t="shared" si="148"/>
        <v>0</v>
      </c>
      <c r="BR243" s="3307">
        <f t="shared" si="149"/>
        <v>0</v>
      </c>
      <c r="BS243" s="3307">
        <f t="shared" si="150"/>
        <v>0</v>
      </c>
      <c r="BT243" s="3359">
        <f t="shared" si="151"/>
        <v>0</v>
      </c>
    </row>
    <row r="244" spans="1:72">
      <c r="A244" s="3304"/>
      <c r="B244" s="3305"/>
      <c r="C244" s="3305"/>
      <c r="D244" s="3306"/>
      <c r="E244" s="3307">
        <f t="shared" si="123"/>
        <v>0</v>
      </c>
      <c r="F244" s="3308"/>
      <c r="G244" s="3309">
        <f t="shared" si="124"/>
        <v>0</v>
      </c>
      <c r="H244" s="3310">
        <f t="shared" si="125"/>
        <v>0</v>
      </c>
      <c r="I244" s="3317"/>
      <c r="J244" s="3317"/>
      <c r="K244" s="3317"/>
      <c r="L244" s="3317"/>
      <c r="M244" s="3317"/>
      <c r="N244" s="3317"/>
      <c r="O244" s="3317"/>
      <c r="P244" s="3317"/>
      <c r="Q244" s="3317"/>
      <c r="R244" s="3317"/>
      <c r="S244" s="3317"/>
      <c r="T244" s="3317"/>
      <c r="U244" s="3317"/>
      <c r="V244" s="3317"/>
      <c r="W244" s="3317"/>
      <c r="X244" s="3317"/>
      <c r="Y244" s="3317"/>
      <c r="Z244" s="3317"/>
      <c r="AA244" s="3317"/>
      <c r="AB244" s="3317"/>
      <c r="AC244" s="3307">
        <f t="shared" si="126"/>
        <v>0</v>
      </c>
      <c r="AD244" s="3327"/>
      <c r="AE244" s="3327"/>
      <c r="AF244" s="3327"/>
      <c r="AG244" s="3327"/>
      <c r="AH244" s="3327"/>
      <c r="AI244" s="3327"/>
      <c r="AJ244" s="3327"/>
      <c r="AK244" s="3327"/>
      <c r="AL244" s="3327"/>
      <c r="AM244" s="3327"/>
      <c r="AN244" s="3327"/>
      <c r="AO244" s="3327"/>
      <c r="AP244" s="3327"/>
      <c r="AQ244" s="3327"/>
      <c r="AR244" s="3327"/>
      <c r="AS244" s="3327"/>
      <c r="AT244" s="3337"/>
      <c r="AU244" s="3338"/>
      <c r="AV244" s="1410">
        <f t="shared" si="127"/>
        <v>0</v>
      </c>
      <c r="AW244" s="1410">
        <f t="shared" si="128"/>
        <v>0</v>
      </c>
      <c r="AX244" s="1410">
        <f t="shared" si="129"/>
        <v>0</v>
      </c>
      <c r="AY244" s="3352">
        <f t="shared" si="130"/>
        <v>0</v>
      </c>
      <c r="AZ244" s="3307">
        <f t="shared" si="131"/>
        <v>0</v>
      </c>
      <c r="BA244" s="3307">
        <f t="shared" si="132"/>
        <v>0</v>
      </c>
      <c r="BB244" s="3307">
        <f t="shared" si="133"/>
        <v>0</v>
      </c>
      <c r="BC244" s="3307">
        <f t="shared" si="134"/>
        <v>0</v>
      </c>
      <c r="BD244" s="3307">
        <f t="shared" si="135"/>
        <v>0</v>
      </c>
      <c r="BE244" s="3307">
        <f t="shared" si="136"/>
        <v>0</v>
      </c>
      <c r="BF244" s="3307">
        <f t="shared" si="137"/>
        <v>0</v>
      </c>
      <c r="BG244" s="3307">
        <f t="shared" si="138"/>
        <v>0</v>
      </c>
      <c r="BH244" s="3307">
        <f t="shared" si="139"/>
        <v>0</v>
      </c>
      <c r="BI244" s="3307">
        <f t="shared" si="140"/>
        <v>0</v>
      </c>
      <c r="BJ244" s="3307">
        <f t="shared" si="141"/>
        <v>0</v>
      </c>
      <c r="BK244" s="3307">
        <f t="shared" si="142"/>
        <v>0</v>
      </c>
      <c r="BL244" s="3307">
        <f t="shared" si="143"/>
        <v>0</v>
      </c>
      <c r="BM244" s="3307">
        <f t="shared" si="144"/>
        <v>0</v>
      </c>
      <c r="BN244" s="3307">
        <f t="shared" si="145"/>
        <v>0</v>
      </c>
      <c r="BO244" s="3307">
        <f t="shared" si="146"/>
        <v>0</v>
      </c>
      <c r="BP244" s="3307">
        <f t="shared" si="147"/>
        <v>0</v>
      </c>
      <c r="BQ244" s="3307">
        <f t="shared" si="148"/>
        <v>0</v>
      </c>
      <c r="BR244" s="3307">
        <f t="shared" si="149"/>
        <v>0</v>
      </c>
      <c r="BS244" s="3307">
        <f t="shared" si="150"/>
        <v>0</v>
      </c>
      <c r="BT244" s="3359">
        <f t="shared" si="151"/>
        <v>0</v>
      </c>
    </row>
    <row r="245" spans="1:72">
      <c r="A245" s="3304"/>
      <c r="B245" s="3305"/>
      <c r="C245" s="3305"/>
      <c r="D245" s="3306"/>
      <c r="E245" s="3307">
        <f t="shared" si="123"/>
        <v>0</v>
      </c>
      <c r="F245" s="3308"/>
      <c r="G245" s="3309">
        <f t="shared" si="124"/>
        <v>0</v>
      </c>
      <c r="H245" s="3310">
        <f t="shared" si="125"/>
        <v>0</v>
      </c>
      <c r="I245" s="3317"/>
      <c r="J245" s="3317"/>
      <c r="K245" s="3317"/>
      <c r="L245" s="3317"/>
      <c r="M245" s="3317"/>
      <c r="N245" s="3317"/>
      <c r="O245" s="3317"/>
      <c r="P245" s="3317"/>
      <c r="Q245" s="3317"/>
      <c r="R245" s="3317"/>
      <c r="S245" s="3317"/>
      <c r="T245" s="3317"/>
      <c r="U245" s="3317"/>
      <c r="V245" s="3317"/>
      <c r="W245" s="3317"/>
      <c r="X245" s="3317"/>
      <c r="Y245" s="3317"/>
      <c r="Z245" s="3317"/>
      <c r="AA245" s="3317"/>
      <c r="AB245" s="3317"/>
      <c r="AC245" s="3307">
        <f t="shared" si="126"/>
        <v>0</v>
      </c>
      <c r="AD245" s="3327"/>
      <c r="AE245" s="3327"/>
      <c r="AF245" s="3327"/>
      <c r="AG245" s="3327"/>
      <c r="AH245" s="3327"/>
      <c r="AI245" s="3327"/>
      <c r="AJ245" s="3327"/>
      <c r="AK245" s="3327"/>
      <c r="AL245" s="3327"/>
      <c r="AM245" s="3327"/>
      <c r="AN245" s="3327"/>
      <c r="AO245" s="3327"/>
      <c r="AP245" s="3327"/>
      <c r="AQ245" s="3327"/>
      <c r="AR245" s="3327"/>
      <c r="AS245" s="3327"/>
      <c r="AT245" s="3337"/>
      <c r="AU245" s="3338"/>
      <c r="AV245" s="1410">
        <f t="shared" si="127"/>
        <v>0</v>
      </c>
      <c r="AW245" s="1410">
        <f t="shared" si="128"/>
        <v>0</v>
      </c>
      <c r="AX245" s="1410">
        <f t="shared" si="129"/>
        <v>0</v>
      </c>
      <c r="AY245" s="3352">
        <f t="shared" si="130"/>
        <v>0</v>
      </c>
      <c r="AZ245" s="3307">
        <f t="shared" si="131"/>
        <v>0</v>
      </c>
      <c r="BA245" s="3307">
        <f t="shared" si="132"/>
        <v>0</v>
      </c>
      <c r="BB245" s="3307">
        <f t="shared" si="133"/>
        <v>0</v>
      </c>
      <c r="BC245" s="3307">
        <f t="shared" si="134"/>
        <v>0</v>
      </c>
      <c r="BD245" s="3307">
        <f t="shared" si="135"/>
        <v>0</v>
      </c>
      <c r="BE245" s="3307">
        <f t="shared" si="136"/>
        <v>0</v>
      </c>
      <c r="BF245" s="3307">
        <f t="shared" si="137"/>
        <v>0</v>
      </c>
      <c r="BG245" s="3307">
        <f t="shared" si="138"/>
        <v>0</v>
      </c>
      <c r="BH245" s="3307">
        <f t="shared" si="139"/>
        <v>0</v>
      </c>
      <c r="BI245" s="3307">
        <f t="shared" si="140"/>
        <v>0</v>
      </c>
      <c r="BJ245" s="3307">
        <f t="shared" si="141"/>
        <v>0</v>
      </c>
      <c r="BK245" s="3307">
        <f t="shared" si="142"/>
        <v>0</v>
      </c>
      <c r="BL245" s="3307">
        <f t="shared" si="143"/>
        <v>0</v>
      </c>
      <c r="BM245" s="3307">
        <f t="shared" si="144"/>
        <v>0</v>
      </c>
      <c r="BN245" s="3307">
        <f t="shared" si="145"/>
        <v>0</v>
      </c>
      <c r="BO245" s="3307">
        <f t="shared" si="146"/>
        <v>0</v>
      </c>
      <c r="BP245" s="3307">
        <f t="shared" si="147"/>
        <v>0</v>
      </c>
      <c r="BQ245" s="3307">
        <f t="shared" si="148"/>
        <v>0</v>
      </c>
      <c r="BR245" s="3307">
        <f t="shared" si="149"/>
        <v>0</v>
      </c>
      <c r="BS245" s="3307">
        <f t="shared" si="150"/>
        <v>0</v>
      </c>
      <c r="BT245" s="3359">
        <f t="shared" si="151"/>
        <v>0</v>
      </c>
    </row>
    <row r="246" spans="1:72">
      <c r="A246" s="3304"/>
      <c r="B246" s="3305"/>
      <c r="C246" s="3305"/>
      <c r="D246" s="3306"/>
      <c r="E246" s="3307">
        <f t="shared" si="123"/>
        <v>0</v>
      </c>
      <c r="F246" s="3308"/>
      <c r="G246" s="3309">
        <f t="shared" si="124"/>
        <v>0</v>
      </c>
      <c r="H246" s="3310">
        <f t="shared" si="125"/>
        <v>0</v>
      </c>
      <c r="I246" s="3317"/>
      <c r="J246" s="3317"/>
      <c r="K246" s="3317"/>
      <c r="L246" s="3317"/>
      <c r="M246" s="3317"/>
      <c r="N246" s="3317"/>
      <c r="O246" s="3317"/>
      <c r="P246" s="3317"/>
      <c r="Q246" s="3317"/>
      <c r="R246" s="3317"/>
      <c r="S246" s="3317"/>
      <c r="T246" s="3317"/>
      <c r="U246" s="3317"/>
      <c r="V246" s="3317"/>
      <c r="W246" s="3317"/>
      <c r="X246" s="3317"/>
      <c r="Y246" s="3317"/>
      <c r="Z246" s="3317"/>
      <c r="AA246" s="3317"/>
      <c r="AB246" s="3317"/>
      <c r="AC246" s="3307">
        <f t="shared" si="126"/>
        <v>0</v>
      </c>
      <c r="AD246" s="3327"/>
      <c r="AE246" s="3327"/>
      <c r="AF246" s="3327"/>
      <c r="AG246" s="3327"/>
      <c r="AH246" s="3327"/>
      <c r="AI246" s="3327"/>
      <c r="AJ246" s="3327"/>
      <c r="AK246" s="3327"/>
      <c r="AL246" s="3327"/>
      <c r="AM246" s="3327"/>
      <c r="AN246" s="3327"/>
      <c r="AO246" s="3327"/>
      <c r="AP246" s="3327"/>
      <c r="AQ246" s="3327"/>
      <c r="AR246" s="3327"/>
      <c r="AS246" s="3327"/>
      <c r="AT246" s="3337"/>
      <c r="AU246" s="3338"/>
      <c r="AV246" s="1410">
        <f t="shared" si="127"/>
        <v>0</v>
      </c>
      <c r="AW246" s="1410">
        <f t="shared" si="128"/>
        <v>0</v>
      </c>
      <c r="AX246" s="1410">
        <f t="shared" si="129"/>
        <v>0</v>
      </c>
      <c r="AY246" s="3352">
        <f t="shared" si="130"/>
        <v>0</v>
      </c>
      <c r="AZ246" s="3307">
        <f t="shared" si="131"/>
        <v>0</v>
      </c>
      <c r="BA246" s="3307">
        <f t="shared" si="132"/>
        <v>0</v>
      </c>
      <c r="BB246" s="3307">
        <f t="shared" si="133"/>
        <v>0</v>
      </c>
      <c r="BC246" s="3307">
        <f t="shared" si="134"/>
        <v>0</v>
      </c>
      <c r="BD246" s="3307">
        <f t="shared" si="135"/>
        <v>0</v>
      </c>
      <c r="BE246" s="3307">
        <f t="shared" si="136"/>
        <v>0</v>
      </c>
      <c r="BF246" s="3307">
        <f t="shared" si="137"/>
        <v>0</v>
      </c>
      <c r="BG246" s="3307">
        <f t="shared" si="138"/>
        <v>0</v>
      </c>
      <c r="BH246" s="3307">
        <f t="shared" si="139"/>
        <v>0</v>
      </c>
      <c r="BI246" s="3307">
        <f t="shared" si="140"/>
        <v>0</v>
      </c>
      <c r="BJ246" s="3307">
        <f t="shared" si="141"/>
        <v>0</v>
      </c>
      <c r="BK246" s="3307">
        <f t="shared" si="142"/>
        <v>0</v>
      </c>
      <c r="BL246" s="3307">
        <f t="shared" si="143"/>
        <v>0</v>
      </c>
      <c r="BM246" s="3307">
        <f t="shared" si="144"/>
        <v>0</v>
      </c>
      <c r="BN246" s="3307">
        <f t="shared" si="145"/>
        <v>0</v>
      </c>
      <c r="BO246" s="3307">
        <f t="shared" si="146"/>
        <v>0</v>
      </c>
      <c r="BP246" s="3307">
        <f t="shared" si="147"/>
        <v>0</v>
      </c>
      <c r="BQ246" s="3307">
        <f t="shared" si="148"/>
        <v>0</v>
      </c>
      <c r="BR246" s="3307">
        <f t="shared" si="149"/>
        <v>0</v>
      </c>
      <c r="BS246" s="3307">
        <f t="shared" si="150"/>
        <v>0</v>
      </c>
      <c r="BT246" s="3359">
        <f t="shared" si="151"/>
        <v>0</v>
      </c>
    </row>
    <row r="247" spans="1:72">
      <c r="A247" s="3304"/>
      <c r="B247" s="3305"/>
      <c r="C247" s="3305"/>
      <c r="D247" s="3306"/>
      <c r="E247" s="3307">
        <f t="shared" si="123"/>
        <v>0</v>
      </c>
      <c r="F247" s="3308"/>
      <c r="G247" s="3309">
        <f t="shared" si="124"/>
        <v>0</v>
      </c>
      <c r="H247" s="3310">
        <f t="shared" si="125"/>
        <v>0</v>
      </c>
      <c r="I247" s="3317"/>
      <c r="J247" s="3317"/>
      <c r="K247" s="3317"/>
      <c r="L247" s="3317"/>
      <c r="M247" s="3317"/>
      <c r="N247" s="3317"/>
      <c r="O247" s="3317"/>
      <c r="P247" s="3317"/>
      <c r="Q247" s="3317"/>
      <c r="R247" s="3317"/>
      <c r="S247" s="3317"/>
      <c r="T247" s="3317"/>
      <c r="U247" s="3317"/>
      <c r="V247" s="3317"/>
      <c r="W247" s="3317"/>
      <c r="X247" s="3317"/>
      <c r="Y247" s="3317"/>
      <c r="Z247" s="3317"/>
      <c r="AA247" s="3317"/>
      <c r="AB247" s="3317"/>
      <c r="AC247" s="3307">
        <f t="shared" si="126"/>
        <v>0</v>
      </c>
      <c r="AD247" s="3327"/>
      <c r="AE247" s="3327"/>
      <c r="AF247" s="3327"/>
      <c r="AG247" s="3327"/>
      <c r="AH247" s="3327"/>
      <c r="AI247" s="3327"/>
      <c r="AJ247" s="3327"/>
      <c r="AK247" s="3327"/>
      <c r="AL247" s="3327"/>
      <c r="AM247" s="3327"/>
      <c r="AN247" s="3327"/>
      <c r="AO247" s="3327"/>
      <c r="AP247" s="3327"/>
      <c r="AQ247" s="3327"/>
      <c r="AR247" s="3327"/>
      <c r="AS247" s="3327"/>
      <c r="AT247" s="3337"/>
      <c r="AU247" s="3338"/>
      <c r="AV247" s="1410">
        <f t="shared" si="127"/>
        <v>0</v>
      </c>
      <c r="AW247" s="1410">
        <f t="shared" si="128"/>
        <v>0</v>
      </c>
      <c r="AX247" s="1410">
        <f t="shared" si="129"/>
        <v>0</v>
      </c>
      <c r="AY247" s="3352">
        <f t="shared" si="130"/>
        <v>0</v>
      </c>
      <c r="AZ247" s="3307">
        <f t="shared" si="131"/>
        <v>0</v>
      </c>
      <c r="BA247" s="3307">
        <f t="shared" si="132"/>
        <v>0</v>
      </c>
      <c r="BB247" s="3307">
        <f t="shared" si="133"/>
        <v>0</v>
      </c>
      <c r="BC247" s="3307">
        <f t="shared" si="134"/>
        <v>0</v>
      </c>
      <c r="BD247" s="3307">
        <f t="shared" si="135"/>
        <v>0</v>
      </c>
      <c r="BE247" s="3307">
        <f t="shared" si="136"/>
        <v>0</v>
      </c>
      <c r="BF247" s="3307">
        <f t="shared" si="137"/>
        <v>0</v>
      </c>
      <c r="BG247" s="3307">
        <f t="shared" si="138"/>
        <v>0</v>
      </c>
      <c r="BH247" s="3307">
        <f t="shared" si="139"/>
        <v>0</v>
      </c>
      <c r="BI247" s="3307">
        <f t="shared" si="140"/>
        <v>0</v>
      </c>
      <c r="BJ247" s="3307">
        <f t="shared" si="141"/>
        <v>0</v>
      </c>
      <c r="BK247" s="3307">
        <f t="shared" si="142"/>
        <v>0</v>
      </c>
      <c r="BL247" s="3307">
        <f t="shared" si="143"/>
        <v>0</v>
      </c>
      <c r="BM247" s="3307">
        <f t="shared" si="144"/>
        <v>0</v>
      </c>
      <c r="BN247" s="3307">
        <f t="shared" si="145"/>
        <v>0</v>
      </c>
      <c r="BO247" s="3307">
        <f t="shared" si="146"/>
        <v>0</v>
      </c>
      <c r="BP247" s="3307">
        <f t="shared" si="147"/>
        <v>0</v>
      </c>
      <c r="BQ247" s="3307">
        <f t="shared" si="148"/>
        <v>0</v>
      </c>
      <c r="BR247" s="3307">
        <f t="shared" si="149"/>
        <v>0</v>
      </c>
      <c r="BS247" s="3307">
        <f t="shared" si="150"/>
        <v>0</v>
      </c>
      <c r="BT247" s="3359">
        <f t="shared" si="151"/>
        <v>0</v>
      </c>
    </row>
    <row r="248" spans="1:72">
      <c r="A248" s="3304"/>
      <c r="B248" s="3305"/>
      <c r="C248" s="3305"/>
      <c r="D248" s="3306"/>
      <c r="E248" s="3307">
        <f t="shared" si="123"/>
        <v>0</v>
      </c>
      <c r="F248" s="3308"/>
      <c r="G248" s="3309">
        <f t="shared" si="124"/>
        <v>0</v>
      </c>
      <c r="H248" s="3310">
        <f t="shared" si="125"/>
        <v>0</v>
      </c>
      <c r="I248" s="3317"/>
      <c r="J248" s="3317"/>
      <c r="K248" s="3317"/>
      <c r="L248" s="3317"/>
      <c r="M248" s="3317"/>
      <c r="N248" s="3317"/>
      <c r="O248" s="3317"/>
      <c r="P248" s="3317"/>
      <c r="Q248" s="3317"/>
      <c r="R248" s="3317"/>
      <c r="S248" s="3317"/>
      <c r="T248" s="3317"/>
      <c r="U248" s="3317"/>
      <c r="V248" s="3317"/>
      <c r="W248" s="3317"/>
      <c r="X248" s="3317"/>
      <c r="Y248" s="3317"/>
      <c r="Z248" s="3317"/>
      <c r="AA248" s="3317"/>
      <c r="AB248" s="3317"/>
      <c r="AC248" s="3307">
        <f t="shared" si="126"/>
        <v>0</v>
      </c>
      <c r="AD248" s="3327"/>
      <c r="AE248" s="3327"/>
      <c r="AF248" s="3327"/>
      <c r="AG248" s="3327"/>
      <c r="AH248" s="3327"/>
      <c r="AI248" s="3327"/>
      <c r="AJ248" s="3327"/>
      <c r="AK248" s="3327"/>
      <c r="AL248" s="3327"/>
      <c r="AM248" s="3327"/>
      <c r="AN248" s="3327"/>
      <c r="AO248" s="3327"/>
      <c r="AP248" s="3327"/>
      <c r="AQ248" s="3327"/>
      <c r="AR248" s="3327"/>
      <c r="AS248" s="3327"/>
      <c r="AT248" s="3337"/>
      <c r="AU248" s="3338"/>
      <c r="AV248" s="1410">
        <f t="shared" si="127"/>
        <v>0</v>
      </c>
      <c r="AW248" s="1410">
        <f t="shared" si="128"/>
        <v>0</v>
      </c>
      <c r="AX248" s="1410">
        <f t="shared" si="129"/>
        <v>0</v>
      </c>
      <c r="AY248" s="3352">
        <f t="shared" si="130"/>
        <v>0</v>
      </c>
      <c r="AZ248" s="3307">
        <f t="shared" si="131"/>
        <v>0</v>
      </c>
      <c r="BA248" s="3307">
        <f t="shared" si="132"/>
        <v>0</v>
      </c>
      <c r="BB248" s="3307">
        <f t="shared" si="133"/>
        <v>0</v>
      </c>
      <c r="BC248" s="3307">
        <f t="shared" si="134"/>
        <v>0</v>
      </c>
      <c r="BD248" s="3307">
        <f t="shared" si="135"/>
        <v>0</v>
      </c>
      <c r="BE248" s="3307">
        <f t="shared" si="136"/>
        <v>0</v>
      </c>
      <c r="BF248" s="3307">
        <f t="shared" si="137"/>
        <v>0</v>
      </c>
      <c r="BG248" s="3307">
        <f t="shared" si="138"/>
        <v>0</v>
      </c>
      <c r="BH248" s="3307">
        <f t="shared" si="139"/>
        <v>0</v>
      </c>
      <c r="BI248" s="3307">
        <f t="shared" si="140"/>
        <v>0</v>
      </c>
      <c r="BJ248" s="3307">
        <f t="shared" si="141"/>
        <v>0</v>
      </c>
      <c r="BK248" s="3307">
        <f t="shared" si="142"/>
        <v>0</v>
      </c>
      <c r="BL248" s="3307">
        <f t="shared" si="143"/>
        <v>0</v>
      </c>
      <c r="BM248" s="3307">
        <f t="shared" si="144"/>
        <v>0</v>
      </c>
      <c r="BN248" s="3307">
        <f t="shared" si="145"/>
        <v>0</v>
      </c>
      <c r="BO248" s="3307">
        <f t="shared" si="146"/>
        <v>0</v>
      </c>
      <c r="BP248" s="3307">
        <f t="shared" si="147"/>
        <v>0</v>
      </c>
      <c r="BQ248" s="3307">
        <f t="shared" si="148"/>
        <v>0</v>
      </c>
      <c r="BR248" s="3307">
        <f t="shared" si="149"/>
        <v>0</v>
      </c>
      <c r="BS248" s="3307">
        <f t="shared" si="150"/>
        <v>0</v>
      </c>
      <c r="BT248" s="3359">
        <f t="shared" si="151"/>
        <v>0</v>
      </c>
    </row>
    <row r="249" spans="1:72">
      <c r="A249" s="3304"/>
      <c r="B249" s="3305"/>
      <c r="C249" s="3305"/>
      <c r="D249" s="3306"/>
      <c r="E249" s="3307">
        <f t="shared" si="123"/>
        <v>0</v>
      </c>
      <c r="F249" s="3308"/>
      <c r="G249" s="3309">
        <f t="shared" si="124"/>
        <v>0</v>
      </c>
      <c r="H249" s="3310">
        <f t="shared" si="125"/>
        <v>0</v>
      </c>
      <c r="I249" s="3317"/>
      <c r="J249" s="3317"/>
      <c r="K249" s="3317"/>
      <c r="L249" s="3317"/>
      <c r="M249" s="3317"/>
      <c r="N249" s="3317"/>
      <c r="O249" s="3317"/>
      <c r="P249" s="3317"/>
      <c r="Q249" s="3317"/>
      <c r="R249" s="3317"/>
      <c r="S249" s="3317"/>
      <c r="T249" s="3317"/>
      <c r="U249" s="3317"/>
      <c r="V249" s="3317"/>
      <c r="W249" s="3317"/>
      <c r="X249" s="3317"/>
      <c r="Y249" s="3317"/>
      <c r="Z249" s="3317"/>
      <c r="AA249" s="3317"/>
      <c r="AB249" s="3317"/>
      <c r="AC249" s="3307">
        <f t="shared" si="126"/>
        <v>0</v>
      </c>
      <c r="AD249" s="3327"/>
      <c r="AE249" s="3327"/>
      <c r="AF249" s="3327"/>
      <c r="AG249" s="3327"/>
      <c r="AH249" s="3327"/>
      <c r="AI249" s="3327"/>
      <c r="AJ249" s="3327"/>
      <c r="AK249" s="3327"/>
      <c r="AL249" s="3327"/>
      <c r="AM249" s="3327"/>
      <c r="AN249" s="3327"/>
      <c r="AO249" s="3327"/>
      <c r="AP249" s="3327"/>
      <c r="AQ249" s="3327"/>
      <c r="AR249" s="3327"/>
      <c r="AS249" s="3327"/>
      <c r="AT249" s="3337"/>
      <c r="AU249" s="3338"/>
      <c r="AV249" s="1410">
        <f t="shared" si="127"/>
        <v>0</v>
      </c>
      <c r="AW249" s="1410">
        <f t="shared" si="128"/>
        <v>0</v>
      </c>
      <c r="AX249" s="1410">
        <f t="shared" si="129"/>
        <v>0</v>
      </c>
      <c r="AY249" s="3352">
        <f t="shared" si="130"/>
        <v>0</v>
      </c>
      <c r="AZ249" s="3307">
        <f t="shared" si="131"/>
        <v>0</v>
      </c>
      <c r="BA249" s="3307">
        <f t="shared" si="132"/>
        <v>0</v>
      </c>
      <c r="BB249" s="3307">
        <f t="shared" si="133"/>
        <v>0</v>
      </c>
      <c r="BC249" s="3307">
        <f t="shared" si="134"/>
        <v>0</v>
      </c>
      <c r="BD249" s="3307">
        <f t="shared" si="135"/>
        <v>0</v>
      </c>
      <c r="BE249" s="3307">
        <f t="shared" si="136"/>
        <v>0</v>
      </c>
      <c r="BF249" s="3307">
        <f t="shared" si="137"/>
        <v>0</v>
      </c>
      <c r="BG249" s="3307">
        <f t="shared" si="138"/>
        <v>0</v>
      </c>
      <c r="BH249" s="3307">
        <f t="shared" si="139"/>
        <v>0</v>
      </c>
      <c r="BI249" s="3307">
        <f t="shared" si="140"/>
        <v>0</v>
      </c>
      <c r="BJ249" s="3307">
        <f t="shared" si="141"/>
        <v>0</v>
      </c>
      <c r="BK249" s="3307">
        <f t="shared" si="142"/>
        <v>0</v>
      </c>
      <c r="BL249" s="3307">
        <f t="shared" si="143"/>
        <v>0</v>
      </c>
      <c r="BM249" s="3307">
        <f t="shared" si="144"/>
        <v>0</v>
      </c>
      <c r="BN249" s="3307">
        <f t="shared" si="145"/>
        <v>0</v>
      </c>
      <c r="BO249" s="3307">
        <f t="shared" si="146"/>
        <v>0</v>
      </c>
      <c r="BP249" s="3307">
        <f t="shared" si="147"/>
        <v>0</v>
      </c>
      <c r="BQ249" s="3307">
        <f t="shared" si="148"/>
        <v>0</v>
      </c>
      <c r="BR249" s="3307">
        <f t="shared" si="149"/>
        <v>0</v>
      </c>
      <c r="BS249" s="3307">
        <f t="shared" si="150"/>
        <v>0</v>
      </c>
      <c r="BT249" s="3359">
        <f t="shared" si="151"/>
        <v>0</v>
      </c>
    </row>
    <row r="250" spans="1:72">
      <c r="A250" s="3304"/>
      <c r="B250" s="3305"/>
      <c r="C250" s="3305"/>
      <c r="D250" s="3306"/>
      <c r="E250" s="3307">
        <f t="shared" si="123"/>
        <v>0</v>
      </c>
      <c r="F250" s="3308"/>
      <c r="G250" s="3309">
        <f t="shared" si="124"/>
        <v>0</v>
      </c>
      <c r="H250" s="3310">
        <f t="shared" si="125"/>
        <v>0</v>
      </c>
      <c r="I250" s="3317"/>
      <c r="J250" s="3317"/>
      <c r="K250" s="3317"/>
      <c r="L250" s="3317"/>
      <c r="M250" s="3317"/>
      <c r="N250" s="3317"/>
      <c r="O250" s="3317"/>
      <c r="P250" s="3317"/>
      <c r="Q250" s="3317"/>
      <c r="R250" s="3317"/>
      <c r="S250" s="3317"/>
      <c r="T250" s="3317"/>
      <c r="U250" s="3317"/>
      <c r="V250" s="3317"/>
      <c r="W250" s="3317"/>
      <c r="X250" s="3317"/>
      <c r="Y250" s="3317"/>
      <c r="Z250" s="3317"/>
      <c r="AA250" s="3317"/>
      <c r="AB250" s="3317"/>
      <c r="AC250" s="3307">
        <f t="shared" si="126"/>
        <v>0</v>
      </c>
      <c r="AD250" s="3327"/>
      <c r="AE250" s="3327"/>
      <c r="AF250" s="3327"/>
      <c r="AG250" s="3327"/>
      <c r="AH250" s="3327"/>
      <c r="AI250" s="3327"/>
      <c r="AJ250" s="3327"/>
      <c r="AK250" s="3327"/>
      <c r="AL250" s="3327"/>
      <c r="AM250" s="3327"/>
      <c r="AN250" s="3327"/>
      <c r="AO250" s="3327"/>
      <c r="AP250" s="3327"/>
      <c r="AQ250" s="3327"/>
      <c r="AR250" s="3327"/>
      <c r="AS250" s="3327"/>
      <c r="AT250" s="3337"/>
      <c r="AU250" s="3338"/>
      <c r="AV250" s="1410">
        <f t="shared" si="127"/>
        <v>0</v>
      </c>
      <c r="AW250" s="1410">
        <f t="shared" si="128"/>
        <v>0</v>
      </c>
      <c r="AX250" s="1410">
        <f t="shared" si="129"/>
        <v>0</v>
      </c>
      <c r="AY250" s="3352">
        <f t="shared" si="130"/>
        <v>0</v>
      </c>
      <c r="AZ250" s="3307">
        <f t="shared" si="131"/>
        <v>0</v>
      </c>
      <c r="BA250" s="3307">
        <f t="shared" si="132"/>
        <v>0</v>
      </c>
      <c r="BB250" s="3307">
        <f t="shared" si="133"/>
        <v>0</v>
      </c>
      <c r="BC250" s="3307">
        <f t="shared" si="134"/>
        <v>0</v>
      </c>
      <c r="BD250" s="3307">
        <f t="shared" si="135"/>
        <v>0</v>
      </c>
      <c r="BE250" s="3307">
        <f t="shared" si="136"/>
        <v>0</v>
      </c>
      <c r="BF250" s="3307">
        <f t="shared" si="137"/>
        <v>0</v>
      </c>
      <c r="BG250" s="3307">
        <f t="shared" si="138"/>
        <v>0</v>
      </c>
      <c r="BH250" s="3307">
        <f t="shared" si="139"/>
        <v>0</v>
      </c>
      <c r="BI250" s="3307">
        <f t="shared" si="140"/>
        <v>0</v>
      </c>
      <c r="BJ250" s="3307">
        <f t="shared" si="141"/>
        <v>0</v>
      </c>
      <c r="BK250" s="3307">
        <f t="shared" si="142"/>
        <v>0</v>
      </c>
      <c r="BL250" s="3307">
        <f t="shared" si="143"/>
        <v>0</v>
      </c>
      <c r="BM250" s="3307">
        <f t="shared" si="144"/>
        <v>0</v>
      </c>
      <c r="BN250" s="3307">
        <f t="shared" si="145"/>
        <v>0</v>
      </c>
      <c r="BO250" s="3307">
        <f t="shared" si="146"/>
        <v>0</v>
      </c>
      <c r="BP250" s="3307">
        <f t="shared" si="147"/>
        <v>0</v>
      </c>
      <c r="BQ250" s="3307">
        <f t="shared" si="148"/>
        <v>0</v>
      </c>
      <c r="BR250" s="3307">
        <f t="shared" si="149"/>
        <v>0</v>
      </c>
      <c r="BS250" s="3307">
        <f t="shared" si="150"/>
        <v>0</v>
      </c>
      <c r="BT250" s="3359">
        <f t="shared" si="151"/>
        <v>0</v>
      </c>
    </row>
    <row r="251" spans="1:72">
      <c r="A251" s="3304"/>
      <c r="B251" s="3305"/>
      <c r="C251" s="3305"/>
      <c r="D251" s="3306"/>
      <c r="E251" s="3307">
        <f t="shared" si="123"/>
        <v>0</v>
      </c>
      <c r="F251" s="3308"/>
      <c r="G251" s="3309">
        <f t="shared" si="124"/>
        <v>0</v>
      </c>
      <c r="H251" s="3310">
        <f t="shared" si="125"/>
        <v>0</v>
      </c>
      <c r="I251" s="3317"/>
      <c r="J251" s="3317"/>
      <c r="K251" s="3317"/>
      <c r="L251" s="3317"/>
      <c r="M251" s="3317"/>
      <c r="N251" s="3317"/>
      <c r="O251" s="3317"/>
      <c r="P251" s="3317"/>
      <c r="Q251" s="3317"/>
      <c r="R251" s="3317"/>
      <c r="S251" s="3317"/>
      <c r="T251" s="3317"/>
      <c r="U251" s="3317"/>
      <c r="V251" s="3317"/>
      <c r="W251" s="3317"/>
      <c r="X251" s="3317"/>
      <c r="Y251" s="3317"/>
      <c r="Z251" s="3317"/>
      <c r="AA251" s="3317"/>
      <c r="AB251" s="3317"/>
      <c r="AC251" s="3307">
        <f t="shared" si="126"/>
        <v>0</v>
      </c>
      <c r="AD251" s="3327"/>
      <c r="AE251" s="3327"/>
      <c r="AF251" s="3327"/>
      <c r="AG251" s="3327"/>
      <c r="AH251" s="3327"/>
      <c r="AI251" s="3327"/>
      <c r="AJ251" s="3327"/>
      <c r="AK251" s="3327"/>
      <c r="AL251" s="3327"/>
      <c r="AM251" s="3327"/>
      <c r="AN251" s="3327"/>
      <c r="AO251" s="3327"/>
      <c r="AP251" s="3327"/>
      <c r="AQ251" s="3327"/>
      <c r="AR251" s="3327"/>
      <c r="AS251" s="3327"/>
      <c r="AT251" s="3337"/>
      <c r="AU251" s="3338"/>
      <c r="AV251" s="1410">
        <f t="shared" si="127"/>
        <v>0</v>
      </c>
      <c r="AW251" s="1410">
        <f t="shared" si="128"/>
        <v>0</v>
      </c>
      <c r="AX251" s="1410">
        <f t="shared" si="129"/>
        <v>0</v>
      </c>
      <c r="AY251" s="3352">
        <f t="shared" si="130"/>
        <v>0</v>
      </c>
      <c r="AZ251" s="3307">
        <f t="shared" si="131"/>
        <v>0</v>
      </c>
      <c r="BA251" s="3307">
        <f t="shared" si="132"/>
        <v>0</v>
      </c>
      <c r="BB251" s="3307">
        <f t="shared" si="133"/>
        <v>0</v>
      </c>
      <c r="BC251" s="3307">
        <f t="shared" si="134"/>
        <v>0</v>
      </c>
      <c r="BD251" s="3307">
        <f t="shared" si="135"/>
        <v>0</v>
      </c>
      <c r="BE251" s="3307">
        <f t="shared" si="136"/>
        <v>0</v>
      </c>
      <c r="BF251" s="3307">
        <f t="shared" si="137"/>
        <v>0</v>
      </c>
      <c r="BG251" s="3307">
        <f t="shared" si="138"/>
        <v>0</v>
      </c>
      <c r="BH251" s="3307">
        <f t="shared" si="139"/>
        <v>0</v>
      </c>
      <c r="BI251" s="3307">
        <f t="shared" si="140"/>
        <v>0</v>
      </c>
      <c r="BJ251" s="3307">
        <f t="shared" si="141"/>
        <v>0</v>
      </c>
      <c r="BK251" s="3307">
        <f t="shared" si="142"/>
        <v>0</v>
      </c>
      <c r="BL251" s="3307">
        <f t="shared" si="143"/>
        <v>0</v>
      </c>
      <c r="BM251" s="3307">
        <f t="shared" si="144"/>
        <v>0</v>
      </c>
      <c r="BN251" s="3307">
        <f t="shared" si="145"/>
        <v>0</v>
      </c>
      <c r="BO251" s="3307">
        <f t="shared" si="146"/>
        <v>0</v>
      </c>
      <c r="BP251" s="3307">
        <f t="shared" si="147"/>
        <v>0</v>
      </c>
      <c r="BQ251" s="3307">
        <f t="shared" si="148"/>
        <v>0</v>
      </c>
      <c r="BR251" s="3307">
        <f t="shared" si="149"/>
        <v>0</v>
      </c>
      <c r="BS251" s="3307">
        <f t="shared" si="150"/>
        <v>0</v>
      </c>
      <c r="BT251" s="3359">
        <f t="shared" si="151"/>
        <v>0</v>
      </c>
    </row>
    <row r="252" spans="1:72">
      <c r="A252" s="3304"/>
      <c r="B252" s="3305"/>
      <c r="C252" s="3305"/>
      <c r="D252" s="3306"/>
      <c r="E252" s="3307">
        <f t="shared" si="123"/>
        <v>0</v>
      </c>
      <c r="F252" s="3308"/>
      <c r="G252" s="3309">
        <f t="shared" si="124"/>
        <v>0</v>
      </c>
      <c r="H252" s="3310">
        <f t="shared" si="125"/>
        <v>0</v>
      </c>
      <c r="I252" s="3317"/>
      <c r="J252" s="3317"/>
      <c r="K252" s="3317"/>
      <c r="L252" s="3317"/>
      <c r="M252" s="3317"/>
      <c r="N252" s="3317"/>
      <c r="O252" s="3317"/>
      <c r="P252" s="3317"/>
      <c r="Q252" s="3317"/>
      <c r="R252" s="3317"/>
      <c r="S252" s="3317"/>
      <c r="T252" s="3317"/>
      <c r="U252" s="3317"/>
      <c r="V252" s="3317"/>
      <c r="W252" s="3317"/>
      <c r="X252" s="3317"/>
      <c r="Y252" s="3317"/>
      <c r="Z252" s="3317"/>
      <c r="AA252" s="3317"/>
      <c r="AB252" s="3317"/>
      <c r="AC252" s="3307">
        <f t="shared" si="126"/>
        <v>0</v>
      </c>
      <c r="AD252" s="3327"/>
      <c r="AE252" s="3327"/>
      <c r="AF252" s="3327"/>
      <c r="AG252" s="3327"/>
      <c r="AH252" s="3327"/>
      <c r="AI252" s="3327"/>
      <c r="AJ252" s="3327"/>
      <c r="AK252" s="3327"/>
      <c r="AL252" s="3327"/>
      <c r="AM252" s="3327"/>
      <c r="AN252" s="3327"/>
      <c r="AO252" s="3327"/>
      <c r="AP252" s="3327"/>
      <c r="AQ252" s="3327"/>
      <c r="AR252" s="3327"/>
      <c r="AS252" s="3327"/>
      <c r="AT252" s="3337"/>
      <c r="AU252" s="3338"/>
      <c r="AV252" s="1410">
        <f t="shared" si="127"/>
        <v>0</v>
      </c>
      <c r="AW252" s="1410">
        <f t="shared" si="128"/>
        <v>0</v>
      </c>
      <c r="AX252" s="1410">
        <f t="shared" si="129"/>
        <v>0</v>
      </c>
      <c r="AY252" s="3352">
        <f t="shared" si="130"/>
        <v>0</v>
      </c>
      <c r="AZ252" s="3307">
        <f t="shared" si="131"/>
        <v>0</v>
      </c>
      <c r="BA252" s="3307">
        <f t="shared" si="132"/>
        <v>0</v>
      </c>
      <c r="BB252" s="3307">
        <f t="shared" si="133"/>
        <v>0</v>
      </c>
      <c r="BC252" s="3307">
        <f t="shared" si="134"/>
        <v>0</v>
      </c>
      <c r="BD252" s="3307">
        <f t="shared" si="135"/>
        <v>0</v>
      </c>
      <c r="BE252" s="3307">
        <f t="shared" si="136"/>
        <v>0</v>
      </c>
      <c r="BF252" s="3307">
        <f t="shared" si="137"/>
        <v>0</v>
      </c>
      <c r="BG252" s="3307">
        <f t="shared" si="138"/>
        <v>0</v>
      </c>
      <c r="BH252" s="3307">
        <f t="shared" si="139"/>
        <v>0</v>
      </c>
      <c r="BI252" s="3307">
        <f t="shared" si="140"/>
        <v>0</v>
      </c>
      <c r="BJ252" s="3307">
        <f t="shared" si="141"/>
        <v>0</v>
      </c>
      <c r="BK252" s="3307">
        <f t="shared" si="142"/>
        <v>0</v>
      </c>
      <c r="BL252" s="3307">
        <f t="shared" si="143"/>
        <v>0</v>
      </c>
      <c r="BM252" s="3307">
        <f t="shared" si="144"/>
        <v>0</v>
      </c>
      <c r="BN252" s="3307">
        <f t="shared" si="145"/>
        <v>0</v>
      </c>
      <c r="BO252" s="3307">
        <f t="shared" si="146"/>
        <v>0</v>
      </c>
      <c r="BP252" s="3307">
        <f t="shared" si="147"/>
        <v>0</v>
      </c>
      <c r="BQ252" s="3307">
        <f t="shared" si="148"/>
        <v>0</v>
      </c>
      <c r="BR252" s="3307">
        <f t="shared" si="149"/>
        <v>0</v>
      </c>
      <c r="BS252" s="3307">
        <f t="shared" si="150"/>
        <v>0</v>
      </c>
      <c r="BT252" s="3359">
        <f t="shared" si="151"/>
        <v>0</v>
      </c>
    </row>
    <row r="253" spans="1:72">
      <c r="A253" s="3304"/>
      <c r="B253" s="3305"/>
      <c r="C253" s="3305"/>
      <c r="D253" s="3306"/>
      <c r="E253" s="3307">
        <f t="shared" si="123"/>
        <v>0</v>
      </c>
      <c r="F253" s="3308"/>
      <c r="G253" s="3309">
        <f t="shared" si="124"/>
        <v>0</v>
      </c>
      <c r="H253" s="3310">
        <f t="shared" si="125"/>
        <v>0</v>
      </c>
      <c r="I253" s="3317"/>
      <c r="J253" s="3317"/>
      <c r="K253" s="3317"/>
      <c r="L253" s="3317"/>
      <c r="M253" s="3317"/>
      <c r="N253" s="3317"/>
      <c r="O253" s="3317"/>
      <c r="P253" s="3317"/>
      <c r="Q253" s="3317"/>
      <c r="R253" s="3317"/>
      <c r="S253" s="3317"/>
      <c r="T253" s="3317"/>
      <c r="U253" s="3317"/>
      <c r="V253" s="3317"/>
      <c r="W253" s="3317"/>
      <c r="X253" s="3317"/>
      <c r="Y253" s="3317"/>
      <c r="Z253" s="3317"/>
      <c r="AA253" s="3317"/>
      <c r="AB253" s="3317"/>
      <c r="AC253" s="3307">
        <f t="shared" si="126"/>
        <v>0</v>
      </c>
      <c r="AD253" s="3327"/>
      <c r="AE253" s="3327"/>
      <c r="AF253" s="3327"/>
      <c r="AG253" s="3327"/>
      <c r="AH253" s="3327"/>
      <c r="AI253" s="3327"/>
      <c r="AJ253" s="3327"/>
      <c r="AK253" s="3327"/>
      <c r="AL253" s="3327"/>
      <c r="AM253" s="3327"/>
      <c r="AN253" s="3327"/>
      <c r="AO253" s="3327"/>
      <c r="AP253" s="3327"/>
      <c r="AQ253" s="3327"/>
      <c r="AR253" s="3327"/>
      <c r="AS253" s="3327"/>
      <c r="AT253" s="3337"/>
      <c r="AU253" s="3338"/>
      <c r="AV253" s="1410">
        <f t="shared" si="127"/>
        <v>0</v>
      </c>
      <c r="AW253" s="1410">
        <f t="shared" si="128"/>
        <v>0</v>
      </c>
      <c r="AX253" s="1410">
        <f t="shared" si="129"/>
        <v>0</v>
      </c>
      <c r="AY253" s="3352">
        <f t="shared" si="130"/>
        <v>0</v>
      </c>
      <c r="AZ253" s="3307">
        <f t="shared" si="131"/>
        <v>0</v>
      </c>
      <c r="BA253" s="3307">
        <f t="shared" si="132"/>
        <v>0</v>
      </c>
      <c r="BB253" s="3307">
        <f t="shared" si="133"/>
        <v>0</v>
      </c>
      <c r="BC253" s="3307">
        <f t="shared" si="134"/>
        <v>0</v>
      </c>
      <c r="BD253" s="3307">
        <f t="shared" si="135"/>
        <v>0</v>
      </c>
      <c r="BE253" s="3307">
        <f t="shared" si="136"/>
        <v>0</v>
      </c>
      <c r="BF253" s="3307">
        <f t="shared" si="137"/>
        <v>0</v>
      </c>
      <c r="BG253" s="3307">
        <f t="shared" si="138"/>
        <v>0</v>
      </c>
      <c r="BH253" s="3307">
        <f t="shared" si="139"/>
        <v>0</v>
      </c>
      <c r="BI253" s="3307">
        <f t="shared" si="140"/>
        <v>0</v>
      </c>
      <c r="BJ253" s="3307">
        <f t="shared" si="141"/>
        <v>0</v>
      </c>
      <c r="BK253" s="3307">
        <f t="shared" si="142"/>
        <v>0</v>
      </c>
      <c r="BL253" s="3307">
        <f t="shared" si="143"/>
        <v>0</v>
      </c>
      <c r="BM253" s="3307">
        <f t="shared" si="144"/>
        <v>0</v>
      </c>
      <c r="BN253" s="3307">
        <f t="shared" si="145"/>
        <v>0</v>
      </c>
      <c r="BO253" s="3307">
        <f t="shared" si="146"/>
        <v>0</v>
      </c>
      <c r="BP253" s="3307">
        <f t="shared" si="147"/>
        <v>0</v>
      </c>
      <c r="BQ253" s="3307">
        <f t="shared" si="148"/>
        <v>0</v>
      </c>
      <c r="BR253" s="3307">
        <f t="shared" si="149"/>
        <v>0</v>
      </c>
      <c r="BS253" s="3307">
        <f t="shared" si="150"/>
        <v>0</v>
      </c>
      <c r="BT253" s="3359">
        <f t="shared" si="151"/>
        <v>0</v>
      </c>
    </row>
    <row r="254" spans="1:72">
      <c r="A254" s="3304"/>
      <c r="B254" s="3305"/>
      <c r="C254" s="3305"/>
      <c r="D254" s="3306"/>
      <c r="E254" s="3307">
        <f t="shared" si="123"/>
        <v>0</v>
      </c>
      <c r="F254" s="3308"/>
      <c r="G254" s="3309">
        <f t="shared" si="124"/>
        <v>0</v>
      </c>
      <c r="H254" s="3310">
        <f t="shared" si="125"/>
        <v>0</v>
      </c>
      <c r="I254" s="3317"/>
      <c r="J254" s="3317"/>
      <c r="K254" s="3317"/>
      <c r="L254" s="3317"/>
      <c r="M254" s="3317"/>
      <c r="N254" s="3317"/>
      <c r="O254" s="3317"/>
      <c r="P254" s="3317"/>
      <c r="Q254" s="3317"/>
      <c r="R254" s="3317"/>
      <c r="S254" s="3317"/>
      <c r="T254" s="3317"/>
      <c r="U254" s="3317"/>
      <c r="V254" s="3317"/>
      <c r="W254" s="3317"/>
      <c r="X254" s="3317"/>
      <c r="Y254" s="3317"/>
      <c r="Z254" s="3317"/>
      <c r="AA254" s="3317"/>
      <c r="AB254" s="3317"/>
      <c r="AC254" s="3307">
        <f t="shared" si="126"/>
        <v>0</v>
      </c>
      <c r="AD254" s="3327"/>
      <c r="AE254" s="3327"/>
      <c r="AF254" s="3327"/>
      <c r="AG254" s="3327"/>
      <c r="AH254" s="3327"/>
      <c r="AI254" s="3327"/>
      <c r="AJ254" s="3327"/>
      <c r="AK254" s="3327"/>
      <c r="AL254" s="3327"/>
      <c r="AM254" s="3327"/>
      <c r="AN254" s="3327"/>
      <c r="AO254" s="3327"/>
      <c r="AP254" s="3327"/>
      <c r="AQ254" s="3327"/>
      <c r="AR254" s="3327"/>
      <c r="AS254" s="3327"/>
      <c r="AT254" s="3337"/>
      <c r="AU254" s="3338"/>
      <c r="AV254" s="1410">
        <f t="shared" si="127"/>
        <v>0</v>
      </c>
      <c r="AW254" s="1410">
        <f t="shared" si="128"/>
        <v>0</v>
      </c>
      <c r="AX254" s="1410">
        <f t="shared" si="129"/>
        <v>0</v>
      </c>
      <c r="AY254" s="3352">
        <f t="shared" si="130"/>
        <v>0</v>
      </c>
      <c r="AZ254" s="3307">
        <f t="shared" si="131"/>
        <v>0</v>
      </c>
      <c r="BA254" s="3307">
        <f t="shared" si="132"/>
        <v>0</v>
      </c>
      <c r="BB254" s="3307">
        <f t="shared" si="133"/>
        <v>0</v>
      </c>
      <c r="BC254" s="3307">
        <f t="shared" si="134"/>
        <v>0</v>
      </c>
      <c r="BD254" s="3307">
        <f t="shared" si="135"/>
        <v>0</v>
      </c>
      <c r="BE254" s="3307">
        <f t="shared" si="136"/>
        <v>0</v>
      </c>
      <c r="BF254" s="3307">
        <f t="shared" si="137"/>
        <v>0</v>
      </c>
      <c r="BG254" s="3307">
        <f t="shared" si="138"/>
        <v>0</v>
      </c>
      <c r="BH254" s="3307">
        <f t="shared" si="139"/>
        <v>0</v>
      </c>
      <c r="BI254" s="3307">
        <f t="shared" si="140"/>
        <v>0</v>
      </c>
      <c r="BJ254" s="3307">
        <f t="shared" si="141"/>
        <v>0</v>
      </c>
      <c r="BK254" s="3307">
        <f t="shared" si="142"/>
        <v>0</v>
      </c>
      <c r="BL254" s="3307">
        <f t="shared" si="143"/>
        <v>0</v>
      </c>
      <c r="BM254" s="3307">
        <f t="shared" si="144"/>
        <v>0</v>
      </c>
      <c r="BN254" s="3307">
        <f t="shared" si="145"/>
        <v>0</v>
      </c>
      <c r="BO254" s="3307">
        <f t="shared" si="146"/>
        <v>0</v>
      </c>
      <c r="BP254" s="3307">
        <f t="shared" si="147"/>
        <v>0</v>
      </c>
      <c r="BQ254" s="3307">
        <f t="shared" si="148"/>
        <v>0</v>
      </c>
      <c r="BR254" s="3307">
        <f t="shared" si="149"/>
        <v>0</v>
      </c>
      <c r="BS254" s="3307">
        <f t="shared" si="150"/>
        <v>0</v>
      </c>
      <c r="BT254" s="3359">
        <f t="shared" si="151"/>
        <v>0</v>
      </c>
    </row>
    <row r="255" spans="1:72">
      <c r="A255" s="3304"/>
      <c r="B255" s="3305"/>
      <c r="C255" s="3305"/>
      <c r="D255" s="3306"/>
      <c r="E255" s="3307">
        <f t="shared" si="123"/>
        <v>0</v>
      </c>
      <c r="F255" s="3308"/>
      <c r="G255" s="3309">
        <f t="shared" si="124"/>
        <v>0</v>
      </c>
      <c r="H255" s="3310">
        <f t="shared" si="125"/>
        <v>0</v>
      </c>
      <c r="I255" s="3317"/>
      <c r="J255" s="3317"/>
      <c r="K255" s="3317"/>
      <c r="L255" s="3317"/>
      <c r="M255" s="3317"/>
      <c r="N255" s="3317"/>
      <c r="O255" s="3317"/>
      <c r="P255" s="3317"/>
      <c r="Q255" s="3317"/>
      <c r="R255" s="3317"/>
      <c r="S255" s="3317"/>
      <c r="T255" s="3317"/>
      <c r="U255" s="3317"/>
      <c r="V255" s="3317"/>
      <c r="W255" s="3317"/>
      <c r="X255" s="3317"/>
      <c r="Y255" s="3317"/>
      <c r="Z255" s="3317"/>
      <c r="AA255" s="3317"/>
      <c r="AB255" s="3317"/>
      <c r="AC255" s="3307">
        <f t="shared" si="126"/>
        <v>0</v>
      </c>
      <c r="AD255" s="3327"/>
      <c r="AE255" s="3327"/>
      <c r="AF255" s="3327"/>
      <c r="AG255" s="3327"/>
      <c r="AH255" s="3327"/>
      <c r="AI255" s="3327"/>
      <c r="AJ255" s="3327"/>
      <c r="AK255" s="3327"/>
      <c r="AL255" s="3327"/>
      <c r="AM255" s="3327"/>
      <c r="AN255" s="3327"/>
      <c r="AO255" s="3327"/>
      <c r="AP255" s="3327"/>
      <c r="AQ255" s="3327"/>
      <c r="AR255" s="3327"/>
      <c r="AS255" s="3327"/>
      <c r="AT255" s="3337"/>
      <c r="AU255" s="3338"/>
      <c r="AV255" s="1410">
        <f t="shared" si="127"/>
        <v>0</v>
      </c>
      <c r="AW255" s="1410">
        <f t="shared" si="128"/>
        <v>0</v>
      </c>
      <c r="AX255" s="1410">
        <f t="shared" si="129"/>
        <v>0</v>
      </c>
      <c r="AY255" s="3352">
        <f t="shared" si="130"/>
        <v>0</v>
      </c>
      <c r="AZ255" s="3307">
        <f t="shared" si="131"/>
        <v>0</v>
      </c>
      <c r="BA255" s="3307">
        <f t="shared" si="132"/>
        <v>0</v>
      </c>
      <c r="BB255" s="3307">
        <f t="shared" si="133"/>
        <v>0</v>
      </c>
      <c r="BC255" s="3307">
        <f t="shared" si="134"/>
        <v>0</v>
      </c>
      <c r="BD255" s="3307">
        <f t="shared" si="135"/>
        <v>0</v>
      </c>
      <c r="BE255" s="3307">
        <f t="shared" si="136"/>
        <v>0</v>
      </c>
      <c r="BF255" s="3307">
        <f t="shared" si="137"/>
        <v>0</v>
      </c>
      <c r="BG255" s="3307">
        <f t="shared" si="138"/>
        <v>0</v>
      </c>
      <c r="BH255" s="3307">
        <f t="shared" si="139"/>
        <v>0</v>
      </c>
      <c r="BI255" s="3307">
        <f t="shared" si="140"/>
        <v>0</v>
      </c>
      <c r="BJ255" s="3307">
        <f t="shared" si="141"/>
        <v>0</v>
      </c>
      <c r="BK255" s="3307">
        <f t="shared" si="142"/>
        <v>0</v>
      </c>
      <c r="BL255" s="3307">
        <f t="shared" si="143"/>
        <v>0</v>
      </c>
      <c r="BM255" s="3307">
        <f t="shared" si="144"/>
        <v>0</v>
      </c>
      <c r="BN255" s="3307">
        <f t="shared" si="145"/>
        <v>0</v>
      </c>
      <c r="BO255" s="3307">
        <f t="shared" si="146"/>
        <v>0</v>
      </c>
      <c r="BP255" s="3307">
        <f t="shared" si="147"/>
        <v>0</v>
      </c>
      <c r="BQ255" s="3307">
        <f t="shared" si="148"/>
        <v>0</v>
      </c>
      <c r="BR255" s="3307">
        <f t="shared" si="149"/>
        <v>0</v>
      </c>
      <c r="BS255" s="3307">
        <f t="shared" si="150"/>
        <v>0</v>
      </c>
      <c r="BT255" s="3359">
        <f t="shared" si="151"/>
        <v>0</v>
      </c>
    </row>
    <row r="256" spans="1:72">
      <c r="A256" s="3304"/>
      <c r="B256" s="3305"/>
      <c r="C256" s="3305"/>
      <c r="D256" s="3306"/>
      <c r="E256" s="3307">
        <f t="shared" si="123"/>
        <v>0</v>
      </c>
      <c r="F256" s="3308"/>
      <c r="G256" s="3309">
        <f t="shared" si="124"/>
        <v>0</v>
      </c>
      <c r="H256" s="3310">
        <f t="shared" si="125"/>
        <v>0</v>
      </c>
      <c r="I256" s="3317"/>
      <c r="J256" s="3317"/>
      <c r="K256" s="3317"/>
      <c r="L256" s="3317"/>
      <c r="M256" s="3317"/>
      <c r="N256" s="3317"/>
      <c r="O256" s="3317"/>
      <c r="P256" s="3317"/>
      <c r="Q256" s="3317"/>
      <c r="R256" s="3317"/>
      <c r="S256" s="3317"/>
      <c r="T256" s="3317"/>
      <c r="U256" s="3317"/>
      <c r="V256" s="3317"/>
      <c r="W256" s="3317"/>
      <c r="X256" s="3317"/>
      <c r="Y256" s="3317"/>
      <c r="Z256" s="3317"/>
      <c r="AA256" s="3317"/>
      <c r="AB256" s="3317"/>
      <c r="AC256" s="3307">
        <f t="shared" si="126"/>
        <v>0</v>
      </c>
      <c r="AD256" s="3327"/>
      <c r="AE256" s="3327"/>
      <c r="AF256" s="3327"/>
      <c r="AG256" s="3327"/>
      <c r="AH256" s="3327"/>
      <c r="AI256" s="3327"/>
      <c r="AJ256" s="3327"/>
      <c r="AK256" s="3327"/>
      <c r="AL256" s="3327"/>
      <c r="AM256" s="3327"/>
      <c r="AN256" s="3327"/>
      <c r="AO256" s="3327"/>
      <c r="AP256" s="3327"/>
      <c r="AQ256" s="3327"/>
      <c r="AR256" s="3327"/>
      <c r="AS256" s="3327"/>
      <c r="AT256" s="3337"/>
      <c r="AU256" s="3338"/>
      <c r="AV256" s="1410">
        <f t="shared" si="127"/>
        <v>0</v>
      </c>
      <c r="AW256" s="1410">
        <f t="shared" si="128"/>
        <v>0</v>
      </c>
      <c r="AX256" s="1410">
        <f t="shared" si="129"/>
        <v>0</v>
      </c>
      <c r="AY256" s="3352">
        <f t="shared" si="130"/>
        <v>0</v>
      </c>
      <c r="AZ256" s="3307">
        <f t="shared" si="131"/>
        <v>0</v>
      </c>
      <c r="BA256" s="3307">
        <f t="shared" si="132"/>
        <v>0</v>
      </c>
      <c r="BB256" s="3307">
        <f t="shared" si="133"/>
        <v>0</v>
      </c>
      <c r="BC256" s="3307">
        <f t="shared" si="134"/>
        <v>0</v>
      </c>
      <c r="BD256" s="3307">
        <f t="shared" si="135"/>
        <v>0</v>
      </c>
      <c r="BE256" s="3307">
        <f t="shared" si="136"/>
        <v>0</v>
      </c>
      <c r="BF256" s="3307">
        <f t="shared" si="137"/>
        <v>0</v>
      </c>
      <c r="BG256" s="3307">
        <f t="shared" si="138"/>
        <v>0</v>
      </c>
      <c r="BH256" s="3307">
        <f t="shared" si="139"/>
        <v>0</v>
      </c>
      <c r="BI256" s="3307">
        <f t="shared" si="140"/>
        <v>0</v>
      </c>
      <c r="BJ256" s="3307">
        <f t="shared" si="141"/>
        <v>0</v>
      </c>
      <c r="BK256" s="3307">
        <f t="shared" si="142"/>
        <v>0</v>
      </c>
      <c r="BL256" s="3307">
        <f t="shared" si="143"/>
        <v>0</v>
      </c>
      <c r="BM256" s="3307">
        <f t="shared" si="144"/>
        <v>0</v>
      </c>
      <c r="BN256" s="3307">
        <f t="shared" si="145"/>
        <v>0</v>
      </c>
      <c r="BO256" s="3307">
        <f t="shared" si="146"/>
        <v>0</v>
      </c>
      <c r="BP256" s="3307">
        <f t="shared" si="147"/>
        <v>0</v>
      </c>
      <c r="BQ256" s="3307">
        <f t="shared" si="148"/>
        <v>0</v>
      </c>
      <c r="BR256" s="3307">
        <f t="shared" si="149"/>
        <v>0</v>
      </c>
      <c r="BS256" s="3307">
        <f t="shared" si="150"/>
        <v>0</v>
      </c>
      <c r="BT256" s="3359">
        <f t="shared" si="151"/>
        <v>0</v>
      </c>
    </row>
    <row r="257" spans="1:72">
      <c r="A257" s="3304"/>
      <c r="B257" s="3305"/>
      <c r="C257" s="3305"/>
      <c r="D257" s="3306"/>
      <c r="E257" s="3307">
        <f t="shared" si="123"/>
        <v>0</v>
      </c>
      <c r="F257" s="3308"/>
      <c r="G257" s="3309">
        <f t="shared" si="124"/>
        <v>0</v>
      </c>
      <c r="H257" s="3310">
        <f t="shared" si="125"/>
        <v>0</v>
      </c>
      <c r="I257" s="3317"/>
      <c r="J257" s="3317"/>
      <c r="K257" s="3317"/>
      <c r="L257" s="3317"/>
      <c r="M257" s="3317"/>
      <c r="N257" s="3317"/>
      <c r="O257" s="3317"/>
      <c r="P257" s="3317"/>
      <c r="Q257" s="3317"/>
      <c r="R257" s="3317"/>
      <c r="S257" s="3317"/>
      <c r="T257" s="3317"/>
      <c r="U257" s="3317"/>
      <c r="V257" s="3317"/>
      <c r="W257" s="3317"/>
      <c r="X257" s="3317"/>
      <c r="Y257" s="3317"/>
      <c r="Z257" s="3317"/>
      <c r="AA257" s="3317"/>
      <c r="AB257" s="3317"/>
      <c r="AC257" s="3307">
        <f t="shared" si="126"/>
        <v>0</v>
      </c>
      <c r="AD257" s="3327"/>
      <c r="AE257" s="3327"/>
      <c r="AF257" s="3327"/>
      <c r="AG257" s="3327"/>
      <c r="AH257" s="3327"/>
      <c r="AI257" s="3327"/>
      <c r="AJ257" s="3327"/>
      <c r="AK257" s="3327"/>
      <c r="AL257" s="3327"/>
      <c r="AM257" s="3327"/>
      <c r="AN257" s="3327"/>
      <c r="AO257" s="3327"/>
      <c r="AP257" s="3327"/>
      <c r="AQ257" s="3327"/>
      <c r="AR257" s="3327"/>
      <c r="AS257" s="3327"/>
      <c r="AT257" s="3337"/>
      <c r="AU257" s="3338"/>
      <c r="AV257" s="1410">
        <f t="shared" si="127"/>
        <v>0</v>
      </c>
      <c r="AW257" s="1410">
        <f t="shared" si="128"/>
        <v>0</v>
      </c>
      <c r="AX257" s="1410">
        <f t="shared" si="129"/>
        <v>0</v>
      </c>
      <c r="AY257" s="3352">
        <f t="shared" si="130"/>
        <v>0</v>
      </c>
      <c r="AZ257" s="3307">
        <f t="shared" si="131"/>
        <v>0</v>
      </c>
      <c r="BA257" s="3307">
        <f t="shared" si="132"/>
        <v>0</v>
      </c>
      <c r="BB257" s="3307">
        <f t="shared" si="133"/>
        <v>0</v>
      </c>
      <c r="BC257" s="3307">
        <f t="shared" si="134"/>
        <v>0</v>
      </c>
      <c r="BD257" s="3307">
        <f t="shared" si="135"/>
        <v>0</v>
      </c>
      <c r="BE257" s="3307">
        <f t="shared" si="136"/>
        <v>0</v>
      </c>
      <c r="BF257" s="3307">
        <f t="shared" si="137"/>
        <v>0</v>
      </c>
      <c r="BG257" s="3307">
        <f t="shared" si="138"/>
        <v>0</v>
      </c>
      <c r="BH257" s="3307">
        <f t="shared" si="139"/>
        <v>0</v>
      </c>
      <c r="BI257" s="3307">
        <f t="shared" si="140"/>
        <v>0</v>
      </c>
      <c r="BJ257" s="3307">
        <f t="shared" si="141"/>
        <v>0</v>
      </c>
      <c r="BK257" s="3307">
        <f t="shared" si="142"/>
        <v>0</v>
      </c>
      <c r="BL257" s="3307">
        <f t="shared" si="143"/>
        <v>0</v>
      </c>
      <c r="BM257" s="3307">
        <f t="shared" si="144"/>
        <v>0</v>
      </c>
      <c r="BN257" s="3307">
        <f t="shared" si="145"/>
        <v>0</v>
      </c>
      <c r="BO257" s="3307">
        <f t="shared" si="146"/>
        <v>0</v>
      </c>
      <c r="BP257" s="3307">
        <f t="shared" si="147"/>
        <v>0</v>
      </c>
      <c r="BQ257" s="3307">
        <f t="shared" si="148"/>
        <v>0</v>
      </c>
      <c r="BR257" s="3307">
        <f t="shared" si="149"/>
        <v>0</v>
      </c>
      <c r="BS257" s="3307">
        <f t="shared" si="150"/>
        <v>0</v>
      </c>
      <c r="BT257" s="3359">
        <f t="shared" si="151"/>
        <v>0</v>
      </c>
    </row>
    <row r="258" spans="1:72">
      <c r="A258" s="3304"/>
      <c r="B258" s="3305"/>
      <c r="C258" s="3305"/>
      <c r="D258" s="3306"/>
      <c r="E258" s="3307">
        <f t="shared" si="123"/>
        <v>0</v>
      </c>
      <c r="F258" s="3308"/>
      <c r="G258" s="3309">
        <f t="shared" si="124"/>
        <v>0</v>
      </c>
      <c r="H258" s="3310">
        <f t="shared" si="125"/>
        <v>0</v>
      </c>
      <c r="I258" s="3317"/>
      <c r="J258" s="3317"/>
      <c r="K258" s="3317"/>
      <c r="L258" s="3317"/>
      <c r="M258" s="3317"/>
      <c r="N258" s="3317"/>
      <c r="O258" s="3317"/>
      <c r="P258" s="3317"/>
      <c r="Q258" s="3317"/>
      <c r="R258" s="3317"/>
      <c r="S258" s="3317"/>
      <c r="T258" s="3317"/>
      <c r="U258" s="3317"/>
      <c r="V258" s="3317"/>
      <c r="W258" s="3317"/>
      <c r="X258" s="3317"/>
      <c r="Y258" s="3317"/>
      <c r="Z258" s="3317"/>
      <c r="AA258" s="3317"/>
      <c r="AB258" s="3317"/>
      <c r="AC258" s="3307">
        <f t="shared" si="126"/>
        <v>0</v>
      </c>
      <c r="AD258" s="3327"/>
      <c r="AE258" s="3327"/>
      <c r="AF258" s="3327"/>
      <c r="AG258" s="3327"/>
      <c r="AH258" s="3327"/>
      <c r="AI258" s="3327"/>
      <c r="AJ258" s="3327"/>
      <c r="AK258" s="3327"/>
      <c r="AL258" s="3327"/>
      <c r="AM258" s="3327"/>
      <c r="AN258" s="3327"/>
      <c r="AO258" s="3327"/>
      <c r="AP258" s="3327"/>
      <c r="AQ258" s="3327"/>
      <c r="AR258" s="3327"/>
      <c r="AS258" s="3327"/>
      <c r="AT258" s="3337"/>
      <c r="AU258" s="3338"/>
      <c r="AV258" s="1410">
        <f t="shared" si="127"/>
        <v>0</v>
      </c>
      <c r="AW258" s="1410">
        <f t="shared" si="128"/>
        <v>0</v>
      </c>
      <c r="AX258" s="1410">
        <f t="shared" si="129"/>
        <v>0</v>
      </c>
      <c r="AY258" s="3352">
        <f t="shared" si="130"/>
        <v>0</v>
      </c>
      <c r="AZ258" s="3307">
        <f t="shared" si="131"/>
        <v>0</v>
      </c>
      <c r="BA258" s="3307">
        <f t="shared" si="132"/>
        <v>0</v>
      </c>
      <c r="BB258" s="3307">
        <f t="shared" si="133"/>
        <v>0</v>
      </c>
      <c r="BC258" s="3307">
        <f t="shared" si="134"/>
        <v>0</v>
      </c>
      <c r="BD258" s="3307">
        <f t="shared" si="135"/>
        <v>0</v>
      </c>
      <c r="BE258" s="3307">
        <f t="shared" si="136"/>
        <v>0</v>
      </c>
      <c r="BF258" s="3307">
        <f t="shared" si="137"/>
        <v>0</v>
      </c>
      <c r="BG258" s="3307">
        <f t="shared" si="138"/>
        <v>0</v>
      </c>
      <c r="BH258" s="3307">
        <f t="shared" si="139"/>
        <v>0</v>
      </c>
      <c r="BI258" s="3307">
        <f t="shared" si="140"/>
        <v>0</v>
      </c>
      <c r="BJ258" s="3307">
        <f t="shared" si="141"/>
        <v>0</v>
      </c>
      <c r="BK258" s="3307">
        <f t="shared" si="142"/>
        <v>0</v>
      </c>
      <c r="BL258" s="3307">
        <f t="shared" si="143"/>
        <v>0</v>
      </c>
      <c r="BM258" s="3307">
        <f t="shared" si="144"/>
        <v>0</v>
      </c>
      <c r="BN258" s="3307">
        <f t="shared" si="145"/>
        <v>0</v>
      </c>
      <c r="BO258" s="3307">
        <f t="shared" si="146"/>
        <v>0</v>
      </c>
      <c r="BP258" s="3307">
        <f t="shared" si="147"/>
        <v>0</v>
      </c>
      <c r="BQ258" s="3307">
        <f t="shared" si="148"/>
        <v>0</v>
      </c>
      <c r="BR258" s="3307">
        <f t="shared" si="149"/>
        <v>0</v>
      </c>
      <c r="BS258" s="3307">
        <f t="shared" si="150"/>
        <v>0</v>
      </c>
      <c r="BT258" s="3359">
        <f t="shared" si="151"/>
        <v>0</v>
      </c>
    </row>
    <row r="259" spans="1:72">
      <c r="A259" s="3304"/>
      <c r="B259" s="3305"/>
      <c r="C259" s="3305"/>
      <c r="D259" s="3306"/>
      <c r="E259" s="3307">
        <f t="shared" si="123"/>
        <v>0</v>
      </c>
      <c r="F259" s="3308"/>
      <c r="G259" s="3309">
        <f t="shared" si="124"/>
        <v>0</v>
      </c>
      <c r="H259" s="3310">
        <f t="shared" si="125"/>
        <v>0</v>
      </c>
      <c r="I259" s="3317"/>
      <c r="J259" s="3317"/>
      <c r="K259" s="3317"/>
      <c r="L259" s="3317"/>
      <c r="M259" s="3317"/>
      <c r="N259" s="3317"/>
      <c r="O259" s="3317"/>
      <c r="P259" s="3317"/>
      <c r="Q259" s="3317"/>
      <c r="R259" s="3317"/>
      <c r="S259" s="3317"/>
      <c r="T259" s="3317"/>
      <c r="U259" s="3317"/>
      <c r="V259" s="3317"/>
      <c r="W259" s="3317"/>
      <c r="X259" s="3317"/>
      <c r="Y259" s="3317"/>
      <c r="Z259" s="3317"/>
      <c r="AA259" s="3317"/>
      <c r="AB259" s="3317"/>
      <c r="AC259" s="3307">
        <f t="shared" si="126"/>
        <v>0</v>
      </c>
      <c r="AD259" s="3327"/>
      <c r="AE259" s="3327"/>
      <c r="AF259" s="3327"/>
      <c r="AG259" s="3327"/>
      <c r="AH259" s="3327"/>
      <c r="AI259" s="3327"/>
      <c r="AJ259" s="3327"/>
      <c r="AK259" s="3327"/>
      <c r="AL259" s="3327"/>
      <c r="AM259" s="3327"/>
      <c r="AN259" s="3327"/>
      <c r="AO259" s="3327"/>
      <c r="AP259" s="3327"/>
      <c r="AQ259" s="3327"/>
      <c r="AR259" s="3327"/>
      <c r="AS259" s="3327"/>
      <c r="AT259" s="3337"/>
      <c r="AU259" s="3338"/>
      <c r="AV259" s="1410">
        <f t="shared" si="127"/>
        <v>0</v>
      </c>
      <c r="AW259" s="1410">
        <f t="shared" si="128"/>
        <v>0</v>
      </c>
      <c r="AX259" s="1410">
        <f t="shared" si="129"/>
        <v>0</v>
      </c>
      <c r="AY259" s="3352">
        <f t="shared" si="130"/>
        <v>0</v>
      </c>
      <c r="AZ259" s="3307">
        <f t="shared" si="131"/>
        <v>0</v>
      </c>
      <c r="BA259" s="3307">
        <f t="shared" si="132"/>
        <v>0</v>
      </c>
      <c r="BB259" s="3307">
        <f t="shared" si="133"/>
        <v>0</v>
      </c>
      <c r="BC259" s="3307">
        <f t="shared" si="134"/>
        <v>0</v>
      </c>
      <c r="BD259" s="3307">
        <f t="shared" si="135"/>
        <v>0</v>
      </c>
      <c r="BE259" s="3307">
        <f t="shared" si="136"/>
        <v>0</v>
      </c>
      <c r="BF259" s="3307">
        <f t="shared" si="137"/>
        <v>0</v>
      </c>
      <c r="BG259" s="3307">
        <f t="shared" si="138"/>
        <v>0</v>
      </c>
      <c r="BH259" s="3307">
        <f t="shared" si="139"/>
        <v>0</v>
      </c>
      <c r="BI259" s="3307">
        <f t="shared" si="140"/>
        <v>0</v>
      </c>
      <c r="BJ259" s="3307">
        <f t="shared" si="141"/>
        <v>0</v>
      </c>
      <c r="BK259" s="3307">
        <f t="shared" si="142"/>
        <v>0</v>
      </c>
      <c r="BL259" s="3307">
        <f t="shared" si="143"/>
        <v>0</v>
      </c>
      <c r="BM259" s="3307">
        <f t="shared" si="144"/>
        <v>0</v>
      </c>
      <c r="BN259" s="3307">
        <f t="shared" si="145"/>
        <v>0</v>
      </c>
      <c r="BO259" s="3307">
        <f t="shared" si="146"/>
        <v>0</v>
      </c>
      <c r="BP259" s="3307">
        <f t="shared" si="147"/>
        <v>0</v>
      </c>
      <c r="BQ259" s="3307">
        <f t="shared" si="148"/>
        <v>0</v>
      </c>
      <c r="BR259" s="3307">
        <f t="shared" si="149"/>
        <v>0</v>
      </c>
      <c r="BS259" s="3307">
        <f t="shared" si="150"/>
        <v>0</v>
      </c>
      <c r="BT259" s="3359">
        <f t="shared" si="151"/>
        <v>0</v>
      </c>
    </row>
    <row r="260" spans="1:72">
      <c r="A260" s="3304"/>
      <c r="B260" s="3305"/>
      <c r="C260" s="3305"/>
      <c r="D260" s="3306"/>
      <c r="E260" s="3307">
        <f t="shared" si="123"/>
        <v>0</v>
      </c>
      <c r="F260" s="3308"/>
      <c r="G260" s="3309">
        <f t="shared" si="124"/>
        <v>0</v>
      </c>
      <c r="H260" s="3310">
        <f t="shared" si="125"/>
        <v>0</v>
      </c>
      <c r="I260" s="3317"/>
      <c r="J260" s="3317"/>
      <c r="K260" s="3317"/>
      <c r="L260" s="3317"/>
      <c r="M260" s="3317"/>
      <c r="N260" s="3317"/>
      <c r="O260" s="3317"/>
      <c r="P260" s="3317"/>
      <c r="Q260" s="3317"/>
      <c r="R260" s="3317"/>
      <c r="S260" s="3317"/>
      <c r="T260" s="3317"/>
      <c r="U260" s="3317"/>
      <c r="V260" s="3317"/>
      <c r="W260" s="3317"/>
      <c r="X260" s="3317"/>
      <c r="Y260" s="3317"/>
      <c r="Z260" s="3317"/>
      <c r="AA260" s="3317"/>
      <c r="AB260" s="3317"/>
      <c r="AC260" s="3307">
        <f t="shared" si="126"/>
        <v>0</v>
      </c>
      <c r="AD260" s="3327"/>
      <c r="AE260" s="3327"/>
      <c r="AF260" s="3327"/>
      <c r="AG260" s="3327"/>
      <c r="AH260" s="3327"/>
      <c r="AI260" s="3327"/>
      <c r="AJ260" s="3327"/>
      <c r="AK260" s="3327"/>
      <c r="AL260" s="3327"/>
      <c r="AM260" s="3327"/>
      <c r="AN260" s="3327"/>
      <c r="AO260" s="3327"/>
      <c r="AP260" s="3327"/>
      <c r="AQ260" s="3327"/>
      <c r="AR260" s="3327"/>
      <c r="AS260" s="3327"/>
      <c r="AT260" s="3337"/>
      <c r="AU260" s="3338"/>
      <c r="AV260" s="1410">
        <f t="shared" si="127"/>
        <v>0</v>
      </c>
      <c r="AW260" s="1410">
        <f t="shared" si="128"/>
        <v>0</v>
      </c>
      <c r="AX260" s="1410">
        <f t="shared" si="129"/>
        <v>0</v>
      </c>
      <c r="AY260" s="3352">
        <f t="shared" si="130"/>
        <v>0</v>
      </c>
      <c r="AZ260" s="3307">
        <f t="shared" si="131"/>
        <v>0</v>
      </c>
      <c r="BA260" s="3307">
        <f t="shared" si="132"/>
        <v>0</v>
      </c>
      <c r="BB260" s="3307">
        <f t="shared" si="133"/>
        <v>0</v>
      </c>
      <c r="BC260" s="3307">
        <f t="shared" si="134"/>
        <v>0</v>
      </c>
      <c r="BD260" s="3307">
        <f t="shared" si="135"/>
        <v>0</v>
      </c>
      <c r="BE260" s="3307">
        <f t="shared" si="136"/>
        <v>0</v>
      </c>
      <c r="BF260" s="3307">
        <f t="shared" si="137"/>
        <v>0</v>
      </c>
      <c r="BG260" s="3307">
        <f t="shared" si="138"/>
        <v>0</v>
      </c>
      <c r="BH260" s="3307">
        <f t="shared" si="139"/>
        <v>0</v>
      </c>
      <c r="BI260" s="3307">
        <f t="shared" si="140"/>
        <v>0</v>
      </c>
      <c r="BJ260" s="3307">
        <f t="shared" si="141"/>
        <v>0</v>
      </c>
      <c r="BK260" s="3307">
        <f t="shared" si="142"/>
        <v>0</v>
      </c>
      <c r="BL260" s="3307">
        <f t="shared" si="143"/>
        <v>0</v>
      </c>
      <c r="BM260" s="3307">
        <f t="shared" si="144"/>
        <v>0</v>
      </c>
      <c r="BN260" s="3307">
        <f t="shared" si="145"/>
        <v>0</v>
      </c>
      <c r="BO260" s="3307">
        <f t="shared" si="146"/>
        <v>0</v>
      </c>
      <c r="BP260" s="3307">
        <f t="shared" si="147"/>
        <v>0</v>
      </c>
      <c r="BQ260" s="3307">
        <f t="shared" si="148"/>
        <v>0</v>
      </c>
      <c r="BR260" s="3307">
        <f t="shared" si="149"/>
        <v>0</v>
      </c>
      <c r="BS260" s="3307">
        <f t="shared" si="150"/>
        <v>0</v>
      </c>
      <c r="BT260" s="3359">
        <f t="shared" si="151"/>
        <v>0</v>
      </c>
    </row>
    <row r="261" spans="1:72">
      <c r="A261" s="3304"/>
      <c r="B261" s="3305"/>
      <c r="C261" s="3305"/>
      <c r="D261" s="3306"/>
      <c r="E261" s="3307">
        <f t="shared" si="123"/>
        <v>0</v>
      </c>
      <c r="F261" s="3308"/>
      <c r="G261" s="3309">
        <f t="shared" si="124"/>
        <v>0</v>
      </c>
      <c r="H261" s="3310">
        <f t="shared" si="125"/>
        <v>0</v>
      </c>
      <c r="I261" s="3317"/>
      <c r="J261" s="3317"/>
      <c r="K261" s="3317"/>
      <c r="L261" s="3317"/>
      <c r="M261" s="3317"/>
      <c r="N261" s="3317"/>
      <c r="O261" s="3317"/>
      <c r="P261" s="3317"/>
      <c r="Q261" s="3317"/>
      <c r="R261" s="3317"/>
      <c r="S261" s="3317"/>
      <c r="T261" s="3317"/>
      <c r="U261" s="3317"/>
      <c r="V261" s="3317"/>
      <c r="W261" s="3317"/>
      <c r="X261" s="3317"/>
      <c r="Y261" s="3317"/>
      <c r="Z261" s="3317"/>
      <c r="AA261" s="3317"/>
      <c r="AB261" s="3317"/>
      <c r="AC261" s="3307">
        <f t="shared" si="126"/>
        <v>0</v>
      </c>
      <c r="AD261" s="3327"/>
      <c r="AE261" s="3327"/>
      <c r="AF261" s="3327"/>
      <c r="AG261" s="3327"/>
      <c r="AH261" s="3327"/>
      <c r="AI261" s="3327"/>
      <c r="AJ261" s="3327"/>
      <c r="AK261" s="3327"/>
      <c r="AL261" s="3327"/>
      <c r="AM261" s="3327"/>
      <c r="AN261" s="3327"/>
      <c r="AO261" s="3327"/>
      <c r="AP261" s="3327"/>
      <c r="AQ261" s="3327"/>
      <c r="AR261" s="3327"/>
      <c r="AS261" s="3327"/>
      <c r="AT261" s="3337"/>
      <c r="AU261" s="3338"/>
      <c r="AV261" s="1410">
        <f t="shared" si="127"/>
        <v>0</v>
      </c>
      <c r="AW261" s="1410">
        <f t="shared" si="128"/>
        <v>0</v>
      </c>
      <c r="AX261" s="1410">
        <f t="shared" si="129"/>
        <v>0</v>
      </c>
      <c r="AY261" s="3352">
        <f t="shared" si="130"/>
        <v>0</v>
      </c>
      <c r="AZ261" s="3307">
        <f t="shared" si="131"/>
        <v>0</v>
      </c>
      <c r="BA261" s="3307">
        <f t="shared" si="132"/>
        <v>0</v>
      </c>
      <c r="BB261" s="3307">
        <f t="shared" si="133"/>
        <v>0</v>
      </c>
      <c r="BC261" s="3307">
        <f t="shared" si="134"/>
        <v>0</v>
      </c>
      <c r="BD261" s="3307">
        <f t="shared" si="135"/>
        <v>0</v>
      </c>
      <c r="BE261" s="3307">
        <f t="shared" si="136"/>
        <v>0</v>
      </c>
      <c r="BF261" s="3307">
        <f t="shared" si="137"/>
        <v>0</v>
      </c>
      <c r="BG261" s="3307">
        <f t="shared" si="138"/>
        <v>0</v>
      </c>
      <c r="BH261" s="3307">
        <f t="shared" si="139"/>
        <v>0</v>
      </c>
      <c r="BI261" s="3307">
        <f t="shared" si="140"/>
        <v>0</v>
      </c>
      <c r="BJ261" s="3307">
        <f t="shared" si="141"/>
        <v>0</v>
      </c>
      <c r="BK261" s="3307">
        <f t="shared" si="142"/>
        <v>0</v>
      </c>
      <c r="BL261" s="3307">
        <f t="shared" si="143"/>
        <v>0</v>
      </c>
      <c r="BM261" s="3307">
        <f t="shared" si="144"/>
        <v>0</v>
      </c>
      <c r="BN261" s="3307">
        <f t="shared" si="145"/>
        <v>0</v>
      </c>
      <c r="BO261" s="3307">
        <f t="shared" si="146"/>
        <v>0</v>
      </c>
      <c r="BP261" s="3307">
        <f t="shared" si="147"/>
        <v>0</v>
      </c>
      <c r="BQ261" s="3307">
        <f t="shared" si="148"/>
        <v>0</v>
      </c>
      <c r="BR261" s="3307">
        <f t="shared" si="149"/>
        <v>0</v>
      </c>
      <c r="BS261" s="3307">
        <f t="shared" si="150"/>
        <v>0</v>
      </c>
      <c r="BT261" s="3359">
        <f t="shared" si="151"/>
        <v>0</v>
      </c>
    </row>
    <row r="262" spans="1:72">
      <c r="A262" s="3304"/>
      <c r="B262" s="3305"/>
      <c r="C262" s="3305"/>
      <c r="D262" s="3306"/>
      <c r="E262" s="3307">
        <f t="shared" si="123"/>
        <v>0</v>
      </c>
      <c r="F262" s="3308"/>
      <c r="G262" s="3309">
        <f t="shared" si="124"/>
        <v>0</v>
      </c>
      <c r="H262" s="3310">
        <f t="shared" si="125"/>
        <v>0</v>
      </c>
      <c r="I262" s="3317"/>
      <c r="J262" s="3317"/>
      <c r="K262" s="3317"/>
      <c r="L262" s="3317"/>
      <c r="M262" s="3317"/>
      <c r="N262" s="3317"/>
      <c r="O262" s="3317"/>
      <c r="P262" s="3317"/>
      <c r="Q262" s="3317"/>
      <c r="R262" s="3317"/>
      <c r="S262" s="3317"/>
      <c r="T262" s="3317"/>
      <c r="U262" s="3317"/>
      <c r="V262" s="3317"/>
      <c r="W262" s="3317"/>
      <c r="X262" s="3317"/>
      <c r="Y262" s="3317"/>
      <c r="Z262" s="3317"/>
      <c r="AA262" s="3317"/>
      <c r="AB262" s="3317"/>
      <c r="AC262" s="3307">
        <f t="shared" si="126"/>
        <v>0</v>
      </c>
      <c r="AD262" s="3327"/>
      <c r="AE262" s="3327"/>
      <c r="AF262" s="3327"/>
      <c r="AG262" s="3327"/>
      <c r="AH262" s="3327"/>
      <c r="AI262" s="3327"/>
      <c r="AJ262" s="3327"/>
      <c r="AK262" s="3327"/>
      <c r="AL262" s="3327"/>
      <c r="AM262" s="3327"/>
      <c r="AN262" s="3327"/>
      <c r="AO262" s="3327"/>
      <c r="AP262" s="3327"/>
      <c r="AQ262" s="3327"/>
      <c r="AR262" s="3327"/>
      <c r="AS262" s="3327"/>
      <c r="AT262" s="3337"/>
      <c r="AU262" s="3338"/>
      <c r="AV262" s="1410">
        <f t="shared" si="127"/>
        <v>0</v>
      </c>
      <c r="AW262" s="1410">
        <f t="shared" si="128"/>
        <v>0</v>
      </c>
      <c r="AX262" s="1410">
        <f t="shared" si="129"/>
        <v>0</v>
      </c>
      <c r="AY262" s="3352">
        <f t="shared" si="130"/>
        <v>0</v>
      </c>
      <c r="AZ262" s="3307">
        <f t="shared" si="131"/>
        <v>0</v>
      </c>
      <c r="BA262" s="3307">
        <f t="shared" si="132"/>
        <v>0</v>
      </c>
      <c r="BB262" s="3307">
        <f t="shared" si="133"/>
        <v>0</v>
      </c>
      <c r="BC262" s="3307">
        <f t="shared" si="134"/>
        <v>0</v>
      </c>
      <c r="BD262" s="3307">
        <f t="shared" si="135"/>
        <v>0</v>
      </c>
      <c r="BE262" s="3307">
        <f t="shared" si="136"/>
        <v>0</v>
      </c>
      <c r="BF262" s="3307">
        <f t="shared" si="137"/>
        <v>0</v>
      </c>
      <c r="BG262" s="3307">
        <f t="shared" si="138"/>
        <v>0</v>
      </c>
      <c r="BH262" s="3307">
        <f t="shared" si="139"/>
        <v>0</v>
      </c>
      <c r="BI262" s="3307">
        <f t="shared" si="140"/>
        <v>0</v>
      </c>
      <c r="BJ262" s="3307">
        <f t="shared" si="141"/>
        <v>0</v>
      </c>
      <c r="BK262" s="3307">
        <f t="shared" si="142"/>
        <v>0</v>
      </c>
      <c r="BL262" s="3307">
        <f t="shared" si="143"/>
        <v>0</v>
      </c>
      <c r="BM262" s="3307">
        <f t="shared" si="144"/>
        <v>0</v>
      </c>
      <c r="BN262" s="3307">
        <f t="shared" si="145"/>
        <v>0</v>
      </c>
      <c r="BO262" s="3307">
        <f t="shared" si="146"/>
        <v>0</v>
      </c>
      <c r="BP262" s="3307">
        <f t="shared" si="147"/>
        <v>0</v>
      </c>
      <c r="BQ262" s="3307">
        <f t="shared" si="148"/>
        <v>0</v>
      </c>
      <c r="BR262" s="3307">
        <f t="shared" si="149"/>
        <v>0</v>
      </c>
      <c r="BS262" s="3307">
        <f t="shared" si="150"/>
        <v>0</v>
      </c>
      <c r="BT262" s="3359">
        <f t="shared" si="151"/>
        <v>0</v>
      </c>
    </row>
    <row r="263" spans="1:72">
      <c r="A263" s="3304"/>
      <c r="B263" s="3305"/>
      <c r="C263" s="3305"/>
      <c r="D263" s="3306"/>
      <c r="E263" s="3307">
        <f t="shared" si="123"/>
        <v>0</v>
      </c>
      <c r="F263" s="3308"/>
      <c r="G263" s="3309">
        <f t="shared" si="124"/>
        <v>0</v>
      </c>
      <c r="H263" s="3310">
        <f t="shared" si="125"/>
        <v>0</v>
      </c>
      <c r="I263" s="3317"/>
      <c r="J263" s="3317"/>
      <c r="K263" s="3317"/>
      <c r="L263" s="3317"/>
      <c r="M263" s="3317"/>
      <c r="N263" s="3317"/>
      <c r="O263" s="3317"/>
      <c r="P263" s="3317"/>
      <c r="Q263" s="3317"/>
      <c r="R263" s="3317"/>
      <c r="S263" s="3317"/>
      <c r="T263" s="3317"/>
      <c r="U263" s="3317"/>
      <c r="V263" s="3317"/>
      <c r="W263" s="3317"/>
      <c r="X263" s="3317"/>
      <c r="Y263" s="3317"/>
      <c r="Z263" s="3317"/>
      <c r="AA263" s="3317"/>
      <c r="AB263" s="3317"/>
      <c r="AC263" s="3307">
        <f t="shared" si="126"/>
        <v>0</v>
      </c>
      <c r="AD263" s="3327"/>
      <c r="AE263" s="3327"/>
      <c r="AF263" s="3327"/>
      <c r="AG263" s="3327"/>
      <c r="AH263" s="3327"/>
      <c r="AI263" s="3327"/>
      <c r="AJ263" s="3327"/>
      <c r="AK263" s="3327"/>
      <c r="AL263" s="3327"/>
      <c r="AM263" s="3327"/>
      <c r="AN263" s="3327"/>
      <c r="AO263" s="3327"/>
      <c r="AP263" s="3327"/>
      <c r="AQ263" s="3327"/>
      <c r="AR263" s="3327"/>
      <c r="AS263" s="3327"/>
      <c r="AT263" s="3337"/>
      <c r="AU263" s="3338"/>
      <c r="AV263" s="1410">
        <f t="shared" si="127"/>
        <v>0</v>
      </c>
      <c r="AW263" s="1410">
        <f t="shared" si="128"/>
        <v>0</v>
      </c>
      <c r="AX263" s="1410">
        <f t="shared" si="129"/>
        <v>0</v>
      </c>
      <c r="AY263" s="3352">
        <f t="shared" si="130"/>
        <v>0</v>
      </c>
      <c r="AZ263" s="3307">
        <f t="shared" si="131"/>
        <v>0</v>
      </c>
      <c r="BA263" s="3307">
        <f t="shared" si="132"/>
        <v>0</v>
      </c>
      <c r="BB263" s="3307">
        <f t="shared" si="133"/>
        <v>0</v>
      </c>
      <c r="BC263" s="3307">
        <f t="shared" si="134"/>
        <v>0</v>
      </c>
      <c r="BD263" s="3307">
        <f t="shared" si="135"/>
        <v>0</v>
      </c>
      <c r="BE263" s="3307">
        <f t="shared" si="136"/>
        <v>0</v>
      </c>
      <c r="BF263" s="3307">
        <f t="shared" si="137"/>
        <v>0</v>
      </c>
      <c r="BG263" s="3307">
        <f t="shared" si="138"/>
        <v>0</v>
      </c>
      <c r="BH263" s="3307">
        <f t="shared" si="139"/>
        <v>0</v>
      </c>
      <c r="BI263" s="3307">
        <f t="shared" si="140"/>
        <v>0</v>
      </c>
      <c r="BJ263" s="3307">
        <f t="shared" si="141"/>
        <v>0</v>
      </c>
      <c r="BK263" s="3307">
        <f t="shared" si="142"/>
        <v>0</v>
      </c>
      <c r="BL263" s="3307">
        <f t="shared" si="143"/>
        <v>0</v>
      </c>
      <c r="BM263" s="3307">
        <f t="shared" si="144"/>
        <v>0</v>
      </c>
      <c r="BN263" s="3307">
        <f t="shared" si="145"/>
        <v>0</v>
      </c>
      <c r="BO263" s="3307">
        <f t="shared" si="146"/>
        <v>0</v>
      </c>
      <c r="BP263" s="3307">
        <f t="shared" si="147"/>
        <v>0</v>
      </c>
      <c r="BQ263" s="3307">
        <f t="shared" si="148"/>
        <v>0</v>
      </c>
      <c r="BR263" s="3307">
        <f t="shared" si="149"/>
        <v>0</v>
      </c>
      <c r="BS263" s="3307">
        <f t="shared" si="150"/>
        <v>0</v>
      </c>
      <c r="BT263" s="3359">
        <f t="shared" si="151"/>
        <v>0</v>
      </c>
    </row>
    <row r="264" spans="1:72">
      <c r="A264" s="3304"/>
      <c r="B264" s="3305"/>
      <c r="C264" s="3305"/>
      <c r="D264" s="3306"/>
      <c r="E264" s="3307">
        <f t="shared" si="123"/>
        <v>0</v>
      </c>
      <c r="F264" s="3308"/>
      <c r="G264" s="3309">
        <f t="shared" si="124"/>
        <v>0</v>
      </c>
      <c r="H264" s="3310">
        <f t="shared" si="125"/>
        <v>0</v>
      </c>
      <c r="I264" s="3317"/>
      <c r="J264" s="3317"/>
      <c r="K264" s="3317"/>
      <c r="L264" s="3317"/>
      <c r="M264" s="3317"/>
      <c r="N264" s="3317"/>
      <c r="O264" s="3317"/>
      <c r="P264" s="3317"/>
      <c r="Q264" s="3317"/>
      <c r="R264" s="3317"/>
      <c r="S264" s="3317"/>
      <c r="T264" s="3317"/>
      <c r="U264" s="3317"/>
      <c r="V264" s="3317"/>
      <c r="W264" s="3317"/>
      <c r="X264" s="3317"/>
      <c r="Y264" s="3317"/>
      <c r="Z264" s="3317"/>
      <c r="AA264" s="3317"/>
      <c r="AB264" s="3317"/>
      <c r="AC264" s="3307">
        <f t="shared" si="126"/>
        <v>0</v>
      </c>
      <c r="AD264" s="3327"/>
      <c r="AE264" s="3327"/>
      <c r="AF264" s="3327"/>
      <c r="AG264" s="3327"/>
      <c r="AH264" s="3327"/>
      <c r="AI264" s="3327"/>
      <c r="AJ264" s="3327"/>
      <c r="AK264" s="3327"/>
      <c r="AL264" s="3327"/>
      <c r="AM264" s="3327"/>
      <c r="AN264" s="3327"/>
      <c r="AO264" s="3327"/>
      <c r="AP264" s="3327"/>
      <c r="AQ264" s="3327"/>
      <c r="AR264" s="3327"/>
      <c r="AS264" s="3327"/>
      <c r="AT264" s="3337"/>
      <c r="AU264" s="3338"/>
      <c r="AV264" s="1410">
        <f t="shared" si="127"/>
        <v>0</v>
      </c>
      <c r="AW264" s="1410">
        <f t="shared" si="128"/>
        <v>0</v>
      </c>
      <c r="AX264" s="1410">
        <f t="shared" si="129"/>
        <v>0</v>
      </c>
      <c r="AY264" s="3352">
        <f t="shared" si="130"/>
        <v>0</v>
      </c>
      <c r="AZ264" s="3307">
        <f t="shared" si="131"/>
        <v>0</v>
      </c>
      <c r="BA264" s="3307">
        <f t="shared" si="132"/>
        <v>0</v>
      </c>
      <c r="BB264" s="3307">
        <f t="shared" si="133"/>
        <v>0</v>
      </c>
      <c r="BC264" s="3307">
        <f t="shared" si="134"/>
        <v>0</v>
      </c>
      <c r="BD264" s="3307">
        <f t="shared" si="135"/>
        <v>0</v>
      </c>
      <c r="BE264" s="3307">
        <f t="shared" si="136"/>
        <v>0</v>
      </c>
      <c r="BF264" s="3307">
        <f t="shared" si="137"/>
        <v>0</v>
      </c>
      <c r="BG264" s="3307">
        <f t="shared" si="138"/>
        <v>0</v>
      </c>
      <c r="BH264" s="3307">
        <f t="shared" si="139"/>
        <v>0</v>
      </c>
      <c r="BI264" s="3307">
        <f t="shared" si="140"/>
        <v>0</v>
      </c>
      <c r="BJ264" s="3307">
        <f t="shared" si="141"/>
        <v>0</v>
      </c>
      <c r="BK264" s="3307">
        <f t="shared" si="142"/>
        <v>0</v>
      </c>
      <c r="BL264" s="3307">
        <f t="shared" si="143"/>
        <v>0</v>
      </c>
      <c r="BM264" s="3307">
        <f t="shared" si="144"/>
        <v>0</v>
      </c>
      <c r="BN264" s="3307">
        <f t="shared" si="145"/>
        <v>0</v>
      </c>
      <c r="BO264" s="3307">
        <f t="shared" si="146"/>
        <v>0</v>
      </c>
      <c r="BP264" s="3307">
        <f t="shared" si="147"/>
        <v>0</v>
      </c>
      <c r="BQ264" s="3307">
        <f t="shared" si="148"/>
        <v>0</v>
      </c>
      <c r="BR264" s="3307">
        <f t="shared" si="149"/>
        <v>0</v>
      </c>
      <c r="BS264" s="3307">
        <f t="shared" si="150"/>
        <v>0</v>
      </c>
      <c r="BT264" s="3359">
        <f t="shared" si="151"/>
        <v>0</v>
      </c>
    </row>
    <row r="265" spans="1:72">
      <c r="A265" s="3304"/>
      <c r="B265" s="3305"/>
      <c r="C265" s="3305"/>
      <c r="D265" s="3306"/>
      <c r="E265" s="3307">
        <f t="shared" si="123"/>
        <v>0</v>
      </c>
      <c r="F265" s="3308"/>
      <c r="G265" s="3309">
        <f t="shared" si="124"/>
        <v>0</v>
      </c>
      <c r="H265" s="3310">
        <f t="shared" si="125"/>
        <v>0</v>
      </c>
      <c r="I265" s="3317"/>
      <c r="J265" s="3317"/>
      <c r="K265" s="3317"/>
      <c r="L265" s="3317"/>
      <c r="M265" s="3317"/>
      <c r="N265" s="3317"/>
      <c r="O265" s="3317"/>
      <c r="P265" s="3317"/>
      <c r="Q265" s="3317"/>
      <c r="R265" s="3317"/>
      <c r="S265" s="3317"/>
      <c r="T265" s="3317"/>
      <c r="U265" s="3317"/>
      <c r="V265" s="3317"/>
      <c r="W265" s="3317"/>
      <c r="X265" s="3317"/>
      <c r="Y265" s="3317"/>
      <c r="Z265" s="3317"/>
      <c r="AA265" s="3317"/>
      <c r="AB265" s="3317"/>
      <c r="AC265" s="3307">
        <f t="shared" si="126"/>
        <v>0</v>
      </c>
      <c r="AD265" s="3327"/>
      <c r="AE265" s="3327"/>
      <c r="AF265" s="3327"/>
      <c r="AG265" s="3327"/>
      <c r="AH265" s="3327"/>
      <c r="AI265" s="3327"/>
      <c r="AJ265" s="3327"/>
      <c r="AK265" s="3327"/>
      <c r="AL265" s="3327"/>
      <c r="AM265" s="3327"/>
      <c r="AN265" s="3327"/>
      <c r="AO265" s="3327"/>
      <c r="AP265" s="3327"/>
      <c r="AQ265" s="3327"/>
      <c r="AR265" s="3327"/>
      <c r="AS265" s="3327"/>
      <c r="AT265" s="3337"/>
      <c r="AU265" s="3338"/>
      <c r="AV265" s="1410">
        <f t="shared" si="127"/>
        <v>0</v>
      </c>
      <c r="AW265" s="1410">
        <f t="shared" si="128"/>
        <v>0</v>
      </c>
      <c r="AX265" s="1410">
        <f t="shared" si="129"/>
        <v>0</v>
      </c>
      <c r="AY265" s="3352">
        <f t="shared" si="130"/>
        <v>0</v>
      </c>
      <c r="AZ265" s="3307">
        <f t="shared" si="131"/>
        <v>0</v>
      </c>
      <c r="BA265" s="3307">
        <f t="shared" si="132"/>
        <v>0</v>
      </c>
      <c r="BB265" s="3307">
        <f t="shared" si="133"/>
        <v>0</v>
      </c>
      <c r="BC265" s="3307">
        <f t="shared" si="134"/>
        <v>0</v>
      </c>
      <c r="BD265" s="3307">
        <f t="shared" si="135"/>
        <v>0</v>
      </c>
      <c r="BE265" s="3307">
        <f t="shared" si="136"/>
        <v>0</v>
      </c>
      <c r="BF265" s="3307">
        <f t="shared" si="137"/>
        <v>0</v>
      </c>
      <c r="BG265" s="3307">
        <f t="shared" si="138"/>
        <v>0</v>
      </c>
      <c r="BH265" s="3307">
        <f t="shared" si="139"/>
        <v>0</v>
      </c>
      <c r="BI265" s="3307">
        <f t="shared" si="140"/>
        <v>0</v>
      </c>
      <c r="BJ265" s="3307">
        <f t="shared" si="141"/>
        <v>0</v>
      </c>
      <c r="BK265" s="3307">
        <f t="shared" si="142"/>
        <v>0</v>
      </c>
      <c r="BL265" s="3307">
        <f t="shared" si="143"/>
        <v>0</v>
      </c>
      <c r="BM265" s="3307">
        <f t="shared" si="144"/>
        <v>0</v>
      </c>
      <c r="BN265" s="3307">
        <f t="shared" si="145"/>
        <v>0</v>
      </c>
      <c r="BO265" s="3307">
        <f t="shared" si="146"/>
        <v>0</v>
      </c>
      <c r="BP265" s="3307">
        <f t="shared" si="147"/>
        <v>0</v>
      </c>
      <c r="BQ265" s="3307">
        <f t="shared" si="148"/>
        <v>0</v>
      </c>
      <c r="BR265" s="3307">
        <f t="shared" si="149"/>
        <v>0</v>
      </c>
      <c r="BS265" s="3307">
        <f t="shared" si="150"/>
        <v>0</v>
      </c>
      <c r="BT265" s="3359">
        <f t="shared" si="151"/>
        <v>0</v>
      </c>
    </row>
    <row r="266" spans="1:72">
      <c r="A266" s="3304"/>
      <c r="B266" s="3305"/>
      <c r="C266" s="3305"/>
      <c r="D266" s="3306"/>
      <c r="E266" s="3307">
        <f t="shared" si="123"/>
        <v>0</v>
      </c>
      <c r="F266" s="3308"/>
      <c r="G266" s="3309">
        <f t="shared" si="124"/>
        <v>0</v>
      </c>
      <c r="H266" s="3310">
        <f t="shared" si="125"/>
        <v>0</v>
      </c>
      <c r="I266" s="3317"/>
      <c r="J266" s="3317"/>
      <c r="K266" s="3317"/>
      <c r="L266" s="3317"/>
      <c r="M266" s="3317"/>
      <c r="N266" s="3317"/>
      <c r="O266" s="3317"/>
      <c r="P266" s="3317"/>
      <c r="Q266" s="3317"/>
      <c r="R266" s="3317"/>
      <c r="S266" s="3317"/>
      <c r="T266" s="3317"/>
      <c r="U266" s="3317"/>
      <c r="V266" s="3317"/>
      <c r="W266" s="3317"/>
      <c r="X266" s="3317"/>
      <c r="Y266" s="3317"/>
      <c r="Z266" s="3317"/>
      <c r="AA266" s="3317"/>
      <c r="AB266" s="3317"/>
      <c r="AC266" s="3307">
        <f t="shared" si="126"/>
        <v>0</v>
      </c>
      <c r="AD266" s="3327"/>
      <c r="AE266" s="3327"/>
      <c r="AF266" s="3327"/>
      <c r="AG266" s="3327"/>
      <c r="AH266" s="3327"/>
      <c r="AI266" s="3327"/>
      <c r="AJ266" s="3327"/>
      <c r="AK266" s="3327"/>
      <c r="AL266" s="3327"/>
      <c r="AM266" s="3327"/>
      <c r="AN266" s="3327"/>
      <c r="AO266" s="3327"/>
      <c r="AP266" s="3327"/>
      <c r="AQ266" s="3327"/>
      <c r="AR266" s="3327"/>
      <c r="AS266" s="3327"/>
      <c r="AT266" s="3337"/>
      <c r="AU266" s="3338"/>
      <c r="AV266" s="1410">
        <f t="shared" si="127"/>
        <v>0</v>
      </c>
      <c r="AW266" s="1410">
        <f t="shared" si="128"/>
        <v>0</v>
      </c>
      <c r="AX266" s="1410">
        <f t="shared" si="129"/>
        <v>0</v>
      </c>
      <c r="AY266" s="3352">
        <f t="shared" si="130"/>
        <v>0</v>
      </c>
      <c r="AZ266" s="3307">
        <f t="shared" si="131"/>
        <v>0</v>
      </c>
      <c r="BA266" s="3307">
        <f t="shared" si="132"/>
        <v>0</v>
      </c>
      <c r="BB266" s="3307">
        <f t="shared" si="133"/>
        <v>0</v>
      </c>
      <c r="BC266" s="3307">
        <f t="shared" si="134"/>
        <v>0</v>
      </c>
      <c r="BD266" s="3307">
        <f t="shared" si="135"/>
        <v>0</v>
      </c>
      <c r="BE266" s="3307">
        <f t="shared" si="136"/>
        <v>0</v>
      </c>
      <c r="BF266" s="3307">
        <f t="shared" si="137"/>
        <v>0</v>
      </c>
      <c r="BG266" s="3307">
        <f t="shared" si="138"/>
        <v>0</v>
      </c>
      <c r="BH266" s="3307">
        <f t="shared" si="139"/>
        <v>0</v>
      </c>
      <c r="BI266" s="3307">
        <f t="shared" si="140"/>
        <v>0</v>
      </c>
      <c r="BJ266" s="3307">
        <f t="shared" si="141"/>
        <v>0</v>
      </c>
      <c r="BK266" s="3307">
        <f t="shared" si="142"/>
        <v>0</v>
      </c>
      <c r="BL266" s="3307">
        <f t="shared" si="143"/>
        <v>0</v>
      </c>
      <c r="BM266" s="3307">
        <f t="shared" si="144"/>
        <v>0</v>
      </c>
      <c r="BN266" s="3307">
        <f t="shared" si="145"/>
        <v>0</v>
      </c>
      <c r="BO266" s="3307">
        <f t="shared" si="146"/>
        <v>0</v>
      </c>
      <c r="BP266" s="3307">
        <f t="shared" si="147"/>
        <v>0</v>
      </c>
      <c r="BQ266" s="3307">
        <f t="shared" si="148"/>
        <v>0</v>
      </c>
      <c r="BR266" s="3307">
        <f t="shared" si="149"/>
        <v>0</v>
      </c>
      <c r="BS266" s="3307">
        <f t="shared" si="150"/>
        <v>0</v>
      </c>
      <c r="BT266" s="3359">
        <f t="shared" si="151"/>
        <v>0</v>
      </c>
    </row>
    <row r="267" spans="1:72">
      <c r="A267" s="3304"/>
      <c r="B267" s="3305"/>
      <c r="C267" s="3305"/>
      <c r="D267" s="3306"/>
      <c r="E267" s="3307">
        <f t="shared" si="123"/>
        <v>0</v>
      </c>
      <c r="F267" s="3308"/>
      <c r="G267" s="3309">
        <f t="shared" si="124"/>
        <v>0</v>
      </c>
      <c r="H267" s="3310">
        <f t="shared" si="125"/>
        <v>0</v>
      </c>
      <c r="I267" s="3317"/>
      <c r="J267" s="3317"/>
      <c r="K267" s="3317"/>
      <c r="L267" s="3317"/>
      <c r="M267" s="3317"/>
      <c r="N267" s="3317"/>
      <c r="O267" s="3317"/>
      <c r="P267" s="3317"/>
      <c r="Q267" s="3317"/>
      <c r="R267" s="3317"/>
      <c r="S267" s="3317"/>
      <c r="T267" s="3317"/>
      <c r="U267" s="3317"/>
      <c r="V267" s="3317"/>
      <c r="W267" s="3317"/>
      <c r="X267" s="3317"/>
      <c r="Y267" s="3317"/>
      <c r="Z267" s="3317"/>
      <c r="AA267" s="3317"/>
      <c r="AB267" s="3317"/>
      <c r="AC267" s="3307">
        <f t="shared" si="126"/>
        <v>0</v>
      </c>
      <c r="AD267" s="3327"/>
      <c r="AE267" s="3327"/>
      <c r="AF267" s="3327"/>
      <c r="AG267" s="3327"/>
      <c r="AH267" s="3327"/>
      <c r="AI267" s="3327"/>
      <c r="AJ267" s="3327"/>
      <c r="AK267" s="3327"/>
      <c r="AL267" s="3327"/>
      <c r="AM267" s="3327"/>
      <c r="AN267" s="3327"/>
      <c r="AO267" s="3327"/>
      <c r="AP267" s="3327"/>
      <c r="AQ267" s="3327"/>
      <c r="AR267" s="3327"/>
      <c r="AS267" s="3327"/>
      <c r="AT267" s="3337"/>
      <c r="AU267" s="3338"/>
      <c r="AV267" s="1410">
        <f t="shared" si="127"/>
        <v>0</v>
      </c>
      <c r="AW267" s="1410">
        <f t="shared" si="128"/>
        <v>0</v>
      </c>
      <c r="AX267" s="1410">
        <f t="shared" si="129"/>
        <v>0</v>
      </c>
      <c r="AY267" s="3352">
        <f t="shared" si="130"/>
        <v>0</v>
      </c>
      <c r="AZ267" s="3307">
        <f t="shared" si="131"/>
        <v>0</v>
      </c>
      <c r="BA267" s="3307">
        <f t="shared" si="132"/>
        <v>0</v>
      </c>
      <c r="BB267" s="3307">
        <f t="shared" si="133"/>
        <v>0</v>
      </c>
      <c r="BC267" s="3307">
        <f t="shared" si="134"/>
        <v>0</v>
      </c>
      <c r="BD267" s="3307">
        <f t="shared" si="135"/>
        <v>0</v>
      </c>
      <c r="BE267" s="3307">
        <f t="shared" si="136"/>
        <v>0</v>
      </c>
      <c r="BF267" s="3307">
        <f t="shared" si="137"/>
        <v>0</v>
      </c>
      <c r="BG267" s="3307">
        <f t="shared" si="138"/>
        <v>0</v>
      </c>
      <c r="BH267" s="3307">
        <f t="shared" si="139"/>
        <v>0</v>
      </c>
      <c r="BI267" s="3307">
        <f t="shared" si="140"/>
        <v>0</v>
      </c>
      <c r="BJ267" s="3307">
        <f t="shared" si="141"/>
        <v>0</v>
      </c>
      <c r="BK267" s="3307">
        <f t="shared" si="142"/>
        <v>0</v>
      </c>
      <c r="BL267" s="3307">
        <f t="shared" si="143"/>
        <v>0</v>
      </c>
      <c r="BM267" s="3307">
        <f t="shared" si="144"/>
        <v>0</v>
      </c>
      <c r="BN267" s="3307">
        <f t="shared" si="145"/>
        <v>0</v>
      </c>
      <c r="BO267" s="3307">
        <f t="shared" si="146"/>
        <v>0</v>
      </c>
      <c r="BP267" s="3307">
        <f t="shared" si="147"/>
        <v>0</v>
      </c>
      <c r="BQ267" s="3307">
        <f t="shared" si="148"/>
        <v>0</v>
      </c>
      <c r="BR267" s="3307">
        <f t="shared" si="149"/>
        <v>0</v>
      </c>
      <c r="BS267" s="3307">
        <f t="shared" si="150"/>
        <v>0</v>
      </c>
      <c r="BT267" s="3359">
        <f t="shared" si="151"/>
        <v>0</v>
      </c>
    </row>
    <row r="268" spans="1:72">
      <c r="A268" s="3304"/>
      <c r="B268" s="3305"/>
      <c r="C268" s="3305"/>
      <c r="D268" s="3306"/>
      <c r="E268" s="3307">
        <f t="shared" si="123"/>
        <v>0</v>
      </c>
      <c r="F268" s="3308"/>
      <c r="G268" s="3309">
        <f t="shared" si="124"/>
        <v>0</v>
      </c>
      <c r="H268" s="3310">
        <f t="shared" si="125"/>
        <v>0</v>
      </c>
      <c r="I268" s="3317"/>
      <c r="J268" s="3317"/>
      <c r="K268" s="3317"/>
      <c r="L268" s="3317"/>
      <c r="M268" s="3317"/>
      <c r="N268" s="3317"/>
      <c r="O268" s="3317"/>
      <c r="P268" s="3317"/>
      <c r="Q268" s="3317"/>
      <c r="R268" s="3317"/>
      <c r="S268" s="3317"/>
      <c r="T268" s="3317"/>
      <c r="U268" s="3317"/>
      <c r="V268" s="3317"/>
      <c r="W268" s="3317"/>
      <c r="X268" s="3317"/>
      <c r="Y268" s="3317"/>
      <c r="Z268" s="3317"/>
      <c r="AA268" s="3317"/>
      <c r="AB268" s="3317"/>
      <c r="AC268" s="3307">
        <f t="shared" si="126"/>
        <v>0</v>
      </c>
      <c r="AD268" s="3327"/>
      <c r="AE268" s="3327"/>
      <c r="AF268" s="3327"/>
      <c r="AG268" s="3327"/>
      <c r="AH268" s="3327"/>
      <c r="AI268" s="3327"/>
      <c r="AJ268" s="3327"/>
      <c r="AK268" s="3327"/>
      <c r="AL268" s="3327"/>
      <c r="AM268" s="3327"/>
      <c r="AN268" s="3327"/>
      <c r="AO268" s="3327"/>
      <c r="AP268" s="3327"/>
      <c r="AQ268" s="3327"/>
      <c r="AR268" s="3327"/>
      <c r="AS268" s="3327"/>
      <c r="AT268" s="3337"/>
      <c r="AU268" s="3338"/>
      <c r="AV268" s="1410">
        <f t="shared" si="127"/>
        <v>0</v>
      </c>
      <c r="AW268" s="1410">
        <f t="shared" si="128"/>
        <v>0</v>
      </c>
      <c r="AX268" s="1410">
        <f t="shared" si="129"/>
        <v>0</v>
      </c>
      <c r="AY268" s="3352">
        <f t="shared" si="130"/>
        <v>0</v>
      </c>
      <c r="AZ268" s="3307">
        <f t="shared" si="131"/>
        <v>0</v>
      </c>
      <c r="BA268" s="3307">
        <f t="shared" si="132"/>
        <v>0</v>
      </c>
      <c r="BB268" s="3307">
        <f t="shared" si="133"/>
        <v>0</v>
      </c>
      <c r="BC268" s="3307">
        <f t="shared" si="134"/>
        <v>0</v>
      </c>
      <c r="BD268" s="3307">
        <f t="shared" si="135"/>
        <v>0</v>
      </c>
      <c r="BE268" s="3307">
        <f t="shared" si="136"/>
        <v>0</v>
      </c>
      <c r="BF268" s="3307">
        <f t="shared" si="137"/>
        <v>0</v>
      </c>
      <c r="BG268" s="3307">
        <f t="shared" si="138"/>
        <v>0</v>
      </c>
      <c r="BH268" s="3307">
        <f t="shared" si="139"/>
        <v>0</v>
      </c>
      <c r="BI268" s="3307">
        <f t="shared" si="140"/>
        <v>0</v>
      </c>
      <c r="BJ268" s="3307">
        <f t="shared" si="141"/>
        <v>0</v>
      </c>
      <c r="BK268" s="3307">
        <f t="shared" si="142"/>
        <v>0</v>
      </c>
      <c r="BL268" s="3307">
        <f t="shared" si="143"/>
        <v>0</v>
      </c>
      <c r="BM268" s="3307">
        <f t="shared" si="144"/>
        <v>0</v>
      </c>
      <c r="BN268" s="3307">
        <f t="shared" si="145"/>
        <v>0</v>
      </c>
      <c r="BO268" s="3307">
        <f t="shared" si="146"/>
        <v>0</v>
      </c>
      <c r="BP268" s="3307">
        <f t="shared" si="147"/>
        <v>0</v>
      </c>
      <c r="BQ268" s="3307">
        <f t="shared" si="148"/>
        <v>0</v>
      </c>
      <c r="BR268" s="3307">
        <f t="shared" si="149"/>
        <v>0</v>
      </c>
      <c r="BS268" s="3307">
        <f t="shared" si="150"/>
        <v>0</v>
      </c>
      <c r="BT268" s="3359">
        <f t="shared" si="151"/>
        <v>0</v>
      </c>
    </row>
    <row r="269" spans="1:72">
      <c r="A269" s="3304"/>
      <c r="B269" s="3305"/>
      <c r="C269" s="3305"/>
      <c r="D269" s="3306"/>
      <c r="E269" s="3307">
        <f t="shared" si="123"/>
        <v>0</v>
      </c>
      <c r="F269" s="3308"/>
      <c r="G269" s="3309">
        <f t="shared" si="124"/>
        <v>0</v>
      </c>
      <c r="H269" s="3310">
        <f t="shared" si="125"/>
        <v>0</v>
      </c>
      <c r="I269" s="3317"/>
      <c r="J269" s="3317"/>
      <c r="K269" s="3317"/>
      <c r="L269" s="3317"/>
      <c r="M269" s="3317"/>
      <c r="N269" s="3317"/>
      <c r="O269" s="3317"/>
      <c r="P269" s="3317"/>
      <c r="Q269" s="3317"/>
      <c r="R269" s="3317"/>
      <c r="S269" s="3317"/>
      <c r="T269" s="3317"/>
      <c r="U269" s="3317"/>
      <c r="V269" s="3317"/>
      <c r="W269" s="3317"/>
      <c r="X269" s="3317"/>
      <c r="Y269" s="3317"/>
      <c r="Z269" s="3317"/>
      <c r="AA269" s="3317"/>
      <c r="AB269" s="3317"/>
      <c r="AC269" s="3307">
        <f t="shared" si="126"/>
        <v>0</v>
      </c>
      <c r="AD269" s="3327"/>
      <c r="AE269" s="3327"/>
      <c r="AF269" s="3327"/>
      <c r="AG269" s="3327"/>
      <c r="AH269" s="3327"/>
      <c r="AI269" s="3327"/>
      <c r="AJ269" s="3327"/>
      <c r="AK269" s="3327"/>
      <c r="AL269" s="3327"/>
      <c r="AM269" s="3327"/>
      <c r="AN269" s="3327"/>
      <c r="AO269" s="3327"/>
      <c r="AP269" s="3327"/>
      <c r="AQ269" s="3327"/>
      <c r="AR269" s="3327"/>
      <c r="AS269" s="3327"/>
      <c r="AT269" s="3337"/>
      <c r="AU269" s="3338"/>
      <c r="AV269" s="1410">
        <f t="shared" si="127"/>
        <v>0</v>
      </c>
      <c r="AW269" s="1410">
        <f t="shared" si="128"/>
        <v>0</v>
      </c>
      <c r="AX269" s="1410">
        <f t="shared" si="129"/>
        <v>0</v>
      </c>
      <c r="AY269" s="3352">
        <f t="shared" si="130"/>
        <v>0</v>
      </c>
      <c r="AZ269" s="3307">
        <f t="shared" si="131"/>
        <v>0</v>
      </c>
      <c r="BA269" s="3307">
        <f t="shared" si="132"/>
        <v>0</v>
      </c>
      <c r="BB269" s="3307">
        <f t="shared" si="133"/>
        <v>0</v>
      </c>
      <c r="BC269" s="3307">
        <f t="shared" si="134"/>
        <v>0</v>
      </c>
      <c r="BD269" s="3307">
        <f t="shared" si="135"/>
        <v>0</v>
      </c>
      <c r="BE269" s="3307">
        <f t="shared" si="136"/>
        <v>0</v>
      </c>
      <c r="BF269" s="3307">
        <f t="shared" si="137"/>
        <v>0</v>
      </c>
      <c r="BG269" s="3307">
        <f t="shared" si="138"/>
        <v>0</v>
      </c>
      <c r="BH269" s="3307">
        <f t="shared" si="139"/>
        <v>0</v>
      </c>
      <c r="BI269" s="3307">
        <f t="shared" si="140"/>
        <v>0</v>
      </c>
      <c r="BJ269" s="3307">
        <f t="shared" si="141"/>
        <v>0</v>
      </c>
      <c r="BK269" s="3307">
        <f t="shared" si="142"/>
        <v>0</v>
      </c>
      <c r="BL269" s="3307">
        <f t="shared" si="143"/>
        <v>0</v>
      </c>
      <c r="BM269" s="3307">
        <f t="shared" si="144"/>
        <v>0</v>
      </c>
      <c r="BN269" s="3307">
        <f t="shared" si="145"/>
        <v>0</v>
      </c>
      <c r="BO269" s="3307">
        <f t="shared" si="146"/>
        <v>0</v>
      </c>
      <c r="BP269" s="3307">
        <f t="shared" si="147"/>
        <v>0</v>
      </c>
      <c r="BQ269" s="3307">
        <f t="shared" si="148"/>
        <v>0</v>
      </c>
      <c r="BR269" s="3307">
        <f t="shared" si="149"/>
        <v>0</v>
      </c>
      <c r="BS269" s="3307">
        <f t="shared" si="150"/>
        <v>0</v>
      </c>
      <c r="BT269" s="3359">
        <f t="shared" si="151"/>
        <v>0</v>
      </c>
    </row>
    <row r="270" spans="1:72">
      <c r="A270" s="3304"/>
      <c r="B270" s="3305"/>
      <c r="C270" s="3305"/>
      <c r="D270" s="3306"/>
      <c r="E270" s="3307">
        <f t="shared" si="123"/>
        <v>0</v>
      </c>
      <c r="F270" s="3308"/>
      <c r="G270" s="3309">
        <f t="shared" si="124"/>
        <v>0</v>
      </c>
      <c r="H270" s="3310">
        <f t="shared" si="125"/>
        <v>0</v>
      </c>
      <c r="I270" s="3317"/>
      <c r="J270" s="3317"/>
      <c r="K270" s="3317"/>
      <c r="L270" s="3317"/>
      <c r="M270" s="3317"/>
      <c r="N270" s="3317"/>
      <c r="O270" s="3317"/>
      <c r="P270" s="3317"/>
      <c r="Q270" s="3317"/>
      <c r="R270" s="3317"/>
      <c r="S270" s="3317"/>
      <c r="T270" s="3317"/>
      <c r="U270" s="3317"/>
      <c r="V270" s="3317"/>
      <c r="W270" s="3317"/>
      <c r="X270" s="3317"/>
      <c r="Y270" s="3317"/>
      <c r="Z270" s="3317"/>
      <c r="AA270" s="3317"/>
      <c r="AB270" s="3317"/>
      <c r="AC270" s="3307">
        <f t="shared" si="126"/>
        <v>0</v>
      </c>
      <c r="AD270" s="3327"/>
      <c r="AE270" s="3327"/>
      <c r="AF270" s="3327"/>
      <c r="AG270" s="3327"/>
      <c r="AH270" s="3327"/>
      <c r="AI270" s="3327"/>
      <c r="AJ270" s="3327"/>
      <c r="AK270" s="3327"/>
      <c r="AL270" s="3327"/>
      <c r="AM270" s="3327"/>
      <c r="AN270" s="3327"/>
      <c r="AO270" s="3327"/>
      <c r="AP270" s="3327"/>
      <c r="AQ270" s="3327"/>
      <c r="AR270" s="3327"/>
      <c r="AS270" s="3327"/>
      <c r="AT270" s="3337"/>
      <c r="AU270" s="3338"/>
      <c r="AV270" s="1410">
        <f t="shared" si="127"/>
        <v>0</v>
      </c>
      <c r="AW270" s="1410">
        <f t="shared" si="128"/>
        <v>0</v>
      </c>
      <c r="AX270" s="1410">
        <f t="shared" si="129"/>
        <v>0</v>
      </c>
      <c r="AY270" s="3352">
        <f t="shared" si="130"/>
        <v>0</v>
      </c>
      <c r="AZ270" s="3307">
        <f t="shared" si="131"/>
        <v>0</v>
      </c>
      <c r="BA270" s="3307">
        <f t="shared" si="132"/>
        <v>0</v>
      </c>
      <c r="BB270" s="3307">
        <f t="shared" si="133"/>
        <v>0</v>
      </c>
      <c r="BC270" s="3307">
        <f t="shared" si="134"/>
        <v>0</v>
      </c>
      <c r="BD270" s="3307">
        <f t="shared" si="135"/>
        <v>0</v>
      </c>
      <c r="BE270" s="3307">
        <f t="shared" si="136"/>
        <v>0</v>
      </c>
      <c r="BF270" s="3307">
        <f t="shared" si="137"/>
        <v>0</v>
      </c>
      <c r="BG270" s="3307">
        <f t="shared" si="138"/>
        <v>0</v>
      </c>
      <c r="BH270" s="3307">
        <f t="shared" si="139"/>
        <v>0</v>
      </c>
      <c r="BI270" s="3307">
        <f t="shared" si="140"/>
        <v>0</v>
      </c>
      <c r="BJ270" s="3307">
        <f t="shared" si="141"/>
        <v>0</v>
      </c>
      <c r="BK270" s="3307">
        <f t="shared" si="142"/>
        <v>0</v>
      </c>
      <c r="BL270" s="3307">
        <f t="shared" si="143"/>
        <v>0</v>
      </c>
      <c r="BM270" s="3307">
        <f t="shared" si="144"/>
        <v>0</v>
      </c>
      <c r="BN270" s="3307">
        <f t="shared" si="145"/>
        <v>0</v>
      </c>
      <c r="BO270" s="3307">
        <f t="shared" si="146"/>
        <v>0</v>
      </c>
      <c r="BP270" s="3307">
        <f t="shared" si="147"/>
        <v>0</v>
      </c>
      <c r="BQ270" s="3307">
        <f t="shared" si="148"/>
        <v>0</v>
      </c>
      <c r="BR270" s="3307">
        <f t="shared" si="149"/>
        <v>0</v>
      </c>
      <c r="BS270" s="3307">
        <f t="shared" si="150"/>
        <v>0</v>
      </c>
      <c r="BT270" s="3359">
        <f t="shared" si="151"/>
        <v>0</v>
      </c>
    </row>
    <row r="271" spans="1:72">
      <c r="A271" s="3304"/>
      <c r="B271" s="3305"/>
      <c r="C271" s="3305"/>
      <c r="D271" s="3306"/>
      <c r="E271" s="3307">
        <f t="shared" si="123"/>
        <v>0</v>
      </c>
      <c r="F271" s="3308"/>
      <c r="G271" s="3309">
        <f t="shared" si="124"/>
        <v>0</v>
      </c>
      <c r="H271" s="3310">
        <f t="shared" si="125"/>
        <v>0</v>
      </c>
      <c r="I271" s="3317"/>
      <c r="J271" s="3317"/>
      <c r="K271" s="3317"/>
      <c r="L271" s="3317"/>
      <c r="M271" s="3317"/>
      <c r="N271" s="3317"/>
      <c r="O271" s="3317"/>
      <c r="P271" s="3317"/>
      <c r="Q271" s="3317"/>
      <c r="R271" s="3317"/>
      <c r="S271" s="3317"/>
      <c r="T271" s="3317"/>
      <c r="U271" s="3317"/>
      <c r="V271" s="3317"/>
      <c r="W271" s="3317"/>
      <c r="X271" s="3317"/>
      <c r="Y271" s="3317"/>
      <c r="Z271" s="3317"/>
      <c r="AA271" s="3317"/>
      <c r="AB271" s="3317"/>
      <c r="AC271" s="3307">
        <f t="shared" si="126"/>
        <v>0</v>
      </c>
      <c r="AD271" s="3327"/>
      <c r="AE271" s="3327"/>
      <c r="AF271" s="3327"/>
      <c r="AG271" s="3327"/>
      <c r="AH271" s="3327"/>
      <c r="AI271" s="3327"/>
      <c r="AJ271" s="3327"/>
      <c r="AK271" s="3327"/>
      <c r="AL271" s="3327"/>
      <c r="AM271" s="3327"/>
      <c r="AN271" s="3327"/>
      <c r="AO271" s="3327"/>
      <c r="AP271" s="3327"/>
      <c r="AQ271" s="3327"/>
      <c r="AR271" s="3327"/>
      <c r="AS271" s="3327"/>
      <c r="AT271" s="3337"/>
      <c r="AU271" s="3338"/>
      <c r="AV271" s="1410">
        <f t="shared" si="127"/>
        <v>0</v>
      </c>
      <c r="AW271" s="1410">
        <f t="shared" si="128"/>
        <v>0</v>
      </c>
      <c r="AX271" s="1410">
        <f t="shared" si="129"/>
        <v>0</v>
      </c>
      <c r="AY271" s="3352">
        <f t="shared" si="130"/>
        <v>0</v>
      </c>
      <c r="AZ271" s="3307">
        <f t="shared" si="131"/>
        <v>0</v>
      </c>
      <c r="BA271" s="3307">
        <f t="shared" si="132"/>
        <v>0</v>
      </c>
      <c r="BB271" s="3307">
        <f t="shared" si="133"/>
        <v>0</v>
      </c>
      <c r="BC271" s="3307">
        <f t="shared" si="134"/>
        <v>0</v>
      </c>
      <c r="BD271" s="3307">
        <f t="shared" si="135"/>
        <v>0</v>
      </c>
      <c r="BE271" s="3307">
        <f t="shared" si="136"/>
        <v>0</v>
      </c>
      <c r="BF271" s="3307">
        <f t="shared" si="137"/>
        <v>0</v>
      </c>
      <c r="BG271" s="3307">
        <f t="shared" si="138"/>
        <v>0</v>
      </c>
      <c r="BH271" s="3307">
        <f t="shared" si="139"/>
        <v>0</v>
      </c>
      <c r="BI271" s="3307">
        <f t="shared" si="140"/>
        <v>0</v>
      </c>
      <c r="BJ271" s="3307">
        <f t="shared" si="141"/>
        <v>0</v>
      </c>
      <c r="BK271" s="3307">
        <f t="shared" si="142"/>
        <v>0</v>
      </c>
      <c r="BL271" s="3307">
        <f t="shared" si="143"/>
        <v>0</v>
      </c>
      <c r="BM271" s="3307">
        <f t="shared" si="144"/>
        <v>0</v>
      </c>
      <c r="BN271" s="3307">
        <f t="shared" si="145"/>
        <v>0</v>
      </c>
      <c r="BO271" s="3307">
        <f t="shared" si="146"/>
        <v>0</v>
      </c>
      <c r="BP271" s="3307">
        <f t="shared" si="147"/>
        <v>0</v>
      </c>
      <c r="BQ271" s="3307">
        <f t="shared" si="148"/>
        <v>0</v>
      </c>
      <c r="BR271" s="3307">
        <f t="shared" si="149"/>
        <v>0</v>
      </c>
      <c r="BS271" s="3307">
        <f t="shared" si="150"/>
        <v>0</v>
      </c>
      <c r="BT271" s="3359">
        <f t="shared" si="151"/>
        <v>0</v>
      </c>
    </row>
    <row r="272" spans="1:72">
      <c r="A272" s="3304"/>
      <c r="B272" s="3305"/>
      <c r="C272" s="3305"/>
      <c r="D272" s="3306"/>
      <c r="E272" s="3307">
        <f t="shared" si="123"/>
        <v>0</v>
      </c>
      <c r="F272" s="3308"/>
      <c r="G272" s="3309">
        <f t="shared" si="124"/>
        <v>0</v>
      </c>
      <c r="H272" s="3310">
        <f t="shared" si="125"/>
        <v>0</v>
      </c>
      <c r="I272" s="3317"/>
      <c r="J272" s="3317"/>
      <c r="K272" s="3317"/>
      <c r="L272" s="3317"/>
      <c r="M272" s="3317"/>
      <c r="N272" s="3317"/>
      <c r="O272" s="3317"/>
      <c r="P272" s="3317"/>
      <c r="Q272" s="3317"/>
      <c r="R272" s="3317"/>
      <c r="S272" s="3317"/>
      <c r="T272" s="3317"/>
      <c r="U272" s="3317"/>
      <c r="V272" s="3317"/>
      <c r="W272" s="3317"/>
      <c r="X272" s="3317"/>
      <c r="Y272" s="3317"/>
      <c r="Z272" s="3317"/>
      <c r="AA272" s="3317"/>
      <c r="AB272" s="3317"/>
      <c r="AC272" s="3307">
        <f t="shared" si="126"/>
        <v>0</v>
      </c>
      <c r="AD272" s="3327"/>
      <c r="AE272" s="3327"/>
      <c r="AF272" s="3327"/>
      <c r="AG272" s="3327"/>
      <c r="AH272" s="3327"/>
      <c r="AI272" s="3327"/>
      <c r="AJ272" s="3327"/>
      <c r="AK272" s="3327"/>
      <c r="AL272" s="3327"/>
      <c r="AM272" s="3327"/>
      <c r="AN272" s="3327"/>
      <c r="AO272" s="3327"/>
      <c r="AP272" s="3327"/>
      <c r="AQ272" s="3327"/>
      <c r="AR272" s="3327"/>
      <c r="AS272" s="3327"/>
      <c r="AT272" s="3337"/>
      <c r="AU272" s="3338"/>
      <c r="AV272" s="1410">
        <f t="shared" si="127"/>
        <v>0</v>
      </c>
      <c r="AW272" s="1410">
        <f t="shared" si="128"/>
        <v>0</v>
      </c>
      <c r="AX272" s="1410">
        <f t="shared" si="129"/>
        <v>0</v>
      </c>
      <c r="AY272" s="3352">
        <f t="shared" si="130"/>
        <v>0</v>
      </c>
      <c r="AZ272" s="3307">
        <f t="shared" si="131"/>
        <v>0</v>
      </c>
      <c r="BA272" s="3307">
        <f t="shared" si="132"/>
        <v>0</v>
      </c>
      <c r="BB272" s="3307">
        <f t="shared" si="133"/>
        <v>0</v>
      </c>
      <c r="BC272" s="3307">
        <f t="shared" si="134"/>
        <v>0</v>
      </c>
      <c r="BD272" s="3307">
        <f t="shared" si="135"/>
        <v>0</v>
      </c>
      <c r="BE272" s="3307">
        <f t="shared" si="136"/>
        <v>0</v>
      </c>
      <c r="BF272" s="3307">
        <f t="shared" si="137"/>
        <v>0</v>
      </c>
      <c r="BG272" s="3307">
        <f t="shared" si="138"/>
        <v>0</v>
      </c>
      <c r="BH272" s="3307">
        <f t="shared" si="139"/>
        <v>0</v>
      </c>
      <c r="BI272" s="3307">
        <f t="shared" si="140"/>
        <v>0</v>
      </c>
      <c r="BJ272" s="3307">
        <f t="shared" si="141"/>
        <v>0</v>
      </c>
      <c r="BK272" s="3307">
        <f t="shared" si="142"/>
        <v>0</v>
      </c>
      <c r="BL272" s="3307">
        <f t="shared" si="143"/>
        <v>0</v>
      </c>
      <c r="BM272" s="3307">
        <f t="shared" si="144"/>
        <v>0</v>
      </c>
      <c r="BN272" s="3307">
        <f t="shared" si="145"/>
        <v>0</v>
      </c>
      <c r="BO272" s="3307">
        <f t="shared" si="146"/>
        <v>0</v>
      </c>
      <c r="BP272" s="3307">
        <f t="shared" si="147"/>
        <v>0</v>
      </c>
      <c r="BQ272" s="3307">
        <f t="shared" si="148"/>
        <v>0</v>
      </c>
      <c r="BR272" s="3307">
        <f t="shared" si="149"/>
        <v>0</v>
      </c>
      <c r="BS272" s="3307">
        <f t="shared" si="150"/>
        <v>0</v>
      </c>
      <c r="BT272" s="3359">
        <f t="shared" si="151"/>
        <v>0</v>
      </c>
    </row>
    <row r="273" spans="1:72">
      <c r="A273" s="3304"/>
      <c r="B273" s="3305"/>
      <c r="C273" s="3305"/>
      <c r="D273" s="3306"/>
      <c r="E273" s="3307">
        <f t="shared" si="123"/>
        <v>0</v>
      </c>
      <c r="F273" s="3308"/>
      <c r="G273" s="3309">
        <f t="shared" si="124"/>
        <v>0</v>
      </c>
      <c r="H273" s="3310">
        <f t="shared" si="125"/>
        <v>0</v>
      </c>
      <c r="I273" s="3317"/>
      <c r="J273" s="3317"/>
      <c r="K273" s="3317"/>
      <c r="L273" s="3317"/>
      <c r="M273" s="3317"/>
      <c r="N273" s="3317"/>
      <c r="O273" s="3317"/>
      <c r="P273" s="3317"/>
      <c r="Q273" s="3317"/>
      <c r="R273" s="3317"/>
      <c r="S273" s="3317"/>
      <c r="T273" s="3317"/>
      <c r="U273" s="3317"/>
      <c r="V273" s="3317"/>
      <c r="W273" s="3317"/>
      <c r="X273" s="3317"/>
      <c r="Y273" s="3317"/>
      <c r="Z273" s="3317"/>
      <c r="AA273" s="3317"/>
      <c r="AB273" s="3317"/>
      <c r="AC273" s="3307">
        <f t="shared" si="126"/>
        <v>0</v>
      </c>
      <c r="AD273" s="3327"/>
      <c r="AE273" s="3327"/>
      <c r="AF273" s="3327"/>
      <c r="AG273" s="3327"/>
      <c r="AH273" s="3327"/>
      <c r="AI273" s="3327"/>
      <c r="AJ273" s="3327"/>
      <c r="AK273" s="3327"/>
      <c r="AL273" s="3327"/>
      <c r="AM273" s="3327"/>
      <c r="AN273" s="3327"/>
      <c r="AO273" s="3327"/>
      <c r="AP273" s="3327"/>
      <c r="AQ273" s="3327"/>
      <c r="AR273" s="3327"/>
      <c r="AS273" s="3327"/>
      <c r="AT273" s="3337"/>
      <c r="AU273" s="3338"/>
      <c r="AV273" s="1410">
        <f t="shared" si="127"/>
        <v>0</v>
      </c>
      <c r="AW273" s="1410">
        <f t="shared" si="128"/>
        <v>0</v>
      </c>
      <c r="AX273" s="1410">
        <f t="shared" si="129"/>
        <v>0</v>
      </c>
      <c r="AY273" s="3352">
        <f t="shared" si="130"/>
        <v>0</v>
      </c>
      <c r="AZ273" s="3307">
        <f t="shared" si="131"/>
        <v>0</v>
      </c>
      <c r="BA273" s="3307">
        <f t="shared" si="132"/>
        <v>0</v>
      </c>
      <c r="BB273" s="3307">
        <f t="shared" si="133"/>
        <v>0</v>
      </c>
      <c r="BC273" s="3307">
        <f t="shared" si="134"/>
        <v>0</v>
      </c>
      <c r="BD273" s="3307">
        <f t="shared" si="135"/>
        <v>0</v>
      </c>
      <c r="BE273" s="3307">
        <f t="shared" si="136"/>
        <v>0</v>
      </c>
      <c r="BF273" s="3307">
        <f t="shared" si="137"/>
        <v>0</v>
      </c>
      <c r="BG273" s="3307">
        <f t="shared" si="138"/>
        <v>0</v>
      </c>
      <c r="BH273" s="3307">
        <f t="shared" si="139"/>
        <v>0</v>
      </c>
      <c r="BI273" s="3307">
        <f t="shared" si="140"/>
        <v>0</v>
      </c>
      <c r="BJ273" s="3307">
        <f t="shared" si="141"/>
        <v>0</v>
      </c>
      <c r="BK273" s="3307">
        <f t="shared" si="142"/>
        <v>0</v>
      </c>
      <c r="BL273" s="3307">
        <f t="shared" si="143"/>
        <v>0</v>
      </c>
      <c r="BM273" s="3307">
        <f t="shared" si="144"/>
        <v>0</v>
      </c>
      <c r="BN273" s="3307">
        <f t="shared" si="145"/>
        <v>0</v>
      </c>
      <c r="BO273" s="3307">
        <f t="shared" si="146"/>
        <v>0</v>
      </c>
      <c r="BP273" s="3307">
        <f t="shared" si="147"/>
        <v>0</v>
      </c>
      <c r="BQ273" s="3307">
        <f t="shared" si="148"/>
        <v>0</v>
      </c>
      <c r="BR273" s="3307">
        <f t="shared" si="149"/>
        <v>0</v>
      </c>
      <c r="BS273" s="3307">
        <f t="shared" si="150"/>
        <v>0</v>
      </c>
      <c r="BT273" s="3359">
        <f t="shared" si="151"/>
        <v>0</v>
      </c>
    </row>
    <row r="274" spans="1:72">
      <c r="A274" s="3304"/>
      <c r="B274" s="3305"/>
      <c r="C274" s="3305"/>
      <c r="D274" s="3306"/>
      <c r="E274" s="3307">
        <f t="shared" si="123"/>
        <v>0</v>
      </c>
      <c r="F274" s="3308"/>
      <c r="G274" s="3309">
        <f t="shared" si="124"/>
        <v>0</v>
      </c>
      <c r="H274" s="3310">
        <f t="shared" si="125"/>
        <v>0</v>
      </c>
      <c r="I274" s="3317"/>
      <c r="J274" s="3317"/>
      <c r="K274" s="3317"/>
      <c r="L274" s="3317"/>
      <c r="M274" s="3317"/>
      <c r="N274" s="3317"/>
      <c r="O274" s="3317"/>
      <c r="P274" s="3317"/>
      <c r="Q274" s="3317"/>
      <c r="R274" s="3317"/>
      <c r="S274" s="3317"/>
      <c r="T274" s="3317"/>
      <c r="U274" s="3317"/>
      <c r="V274" s="3317"/>
      <c r="W274" s="3317"/>
      <c r="X274" s="3317"/>
      <c r="Y274" s="3317"/>
      <c r="Z274" s="3317"/>
      <c r="AA274" s="3317"/>
      <c r="AB274" s="3317"/>
      <c r="AC274" s="3307">
        <f t="shared" si="126"/>
        <v>0</v>
      </c>
      <c r="AD274" s="3327"/>
      <c r="AE274" s="3327"/>
      <c r="AF274" s="3327"/>
      <c r="AG274" s="3327"/>
      <c r="AH274" s="3327"/>
      <c r="AI274" s="3327"/>
      <c r="AJ274" s="3327"/>
      <c r="AK274" s="3327"/>
      <c r="AL274" s="3327"/>
      <c r="AM274" s="3327"/>
      <c r="AN274" s="3327"/>
      <c r="AO274" s="3327"/>
      <c r="AP274" s="3327"/>
      <c r="AQ274" s="3327"/>
      <c r="AR274" s="3327"/>
      <c r="AS274" s="3327"/>
      <c r="AT274" s="3337"/>
      <c r="AU274" s="3338"/>
      <c r="AV274" s="1410">
        <f t="shared" si="127"/>
        <v>0</v>
      </c>
      <c r="AW274" s="1410">
        <f t="shared" si="128"/>
        <v>0</v>
      </c>
      <c r="AX274" s="1410">
        <f t="shared" si="129"/>
        <v>0</v>
      </c>
      <c r="AY274" s="3352">
        <f t="shared" si="130"/>
        <v>0</v>
      </c>
      <c r="AZ274" s="3307">
        <f t="shared" si="131"/>
        <v>0</v>
      </c>
      <c r="BA274" s="3307">
        <f t="shared" si="132"/>
        <v>0</v>
      </c>
      <c r="BB274" s="3307">
        <f t="shared" si="133"/>
        <v>0</v>
      </c>
      <c r="BC274" s="3307">
        <f t="shared" si="134"/>
        <v>0</v>
      </c>
      <c r="BD274" s="3307">
        <f t="shared" si="135"/>
        <v>0</v>
      </c>
      <c r="BE274" s="3307">
        <f t="shared" si="136"/>
        <v>0</v>
      </c>
      <c r="BF274" s="3307">
        <f t="shared" si="137"/>
        <v>0</v>
      </c>
      <c r="BG274" s="3307">
        <f t="shared" si="138"/>
        <v>0</v>
      </c>
      <c r="BH274" s="3307">
        <f t="shared" si="139"/>
        <v>0</v>
      </c>
      <c r="BI274" s="3307">
        <f t="shared" si="140"/>
        <v>0</v>
      </c>
      <c r="BJ274" s="3307">
        <f t="shared" si="141"/>
        <v>0</v>
      </c>
      <c r="BK274" s="3307">
        <f t="shared" si="142"/>
        <v>0</v>
      </c>
      <c r="BL274" s="3307">
        <f t="shared" si="143"/>
        <v>0</v>
      </c>
      <c r="BM274" s="3307">
        <f t="shared" si="144"/>
        <v>0</v>
      </c>
      <c r="BN274" s="3307">
        <f t="shared" si="145"/>
        <v>0</v>
      </c>
      <c r="BO274" s="3307">
        <f t="shared" si="146"/>
        <v>0</v>
      </c>
      <c r="BP274" s="3307">
        <f t="shared" si="147"/>
        <v>0</v>
      </c>
      <c r="BQ274" s="3307">
        <f t="shared" si="148"/>
        <v>0</v>
      </c>
      <c r="BR274" s="3307">
        <f t="shared" si="149"/>
        <v>0</v>
      </c>
      <c r="BS274" s="3307">
        <f t="shared" si="150"/>
        <v>0</v>
      </c>
      <c r="BT274" s="3359">
        <f t="shared" si="151"/>
        <v>0</v>
      </c>
    </row>
    <row r="275" spans="1:72">
      <c r="A275" s="3304"/>
      <c r="B275" s="3305"/>
      <c r="C275" s="3305"/>
      <c r="D275" s="3306"/>
      <c r="E275" s="3307">
        <f t="shared" si="123"/>
        <v>0</v>
      </c>
      <c r="F275" s="3308"/>
      <c r="G275" s="3309">
        <f t="shared" si="124"/>
        <v>0</v>
      </c>
      <c r="H275" s="3310">
        <f t="shared" si="125"/>
        <v>0</v>
      </c>
      <c r="I275" s="3317"/>
      <c r="J275" s="3317"/>
      <c r="K275" s="3317"/>
      <c r="L275" s="3317"/>
      <c r="M275" s="3317"/>
      <c r="N275" s="3317"/>
      <c r="O275" s="3317"/>
      <c r="P275" s="3317"/>
      <c r="Q275" s="3317"/>
      <c r="R275" s="3317"/>
      <c r="S275" s="3317"/>
      <c r="T275" s="3317"/>
      <c r="U275" s="3317"/>
      <c r="V275" s="3317"/>
      <c r="W275" s="3317"/>
      <c r="X275" s="3317"/>
      <c r="Y275" s="3317"/>
      <c r="Z275" s="3317"/>
      <c r="AA275" s="3317"/>
      <c r="AB275" s="3317"/>
      <c r="AC275" s="3307">
        <f t="shared" si="126"/>
        <v>0</v>
      </c>
      <c r="AD275" s="3327"/>
      <c r="AE275" s="3327"/>
      <c r="AF275" s="3327"/>
      <c r="AG275" s="3327"/>
      <c r="AH275" s="3327"/>
      <c r="AI275" s="3327"/>
      <c r="AJ275" s="3327"/>
      <c r="AK275" s="3327"/>
      <c r="AL275" s="3327"/>
      <c r="AM275" s="3327"/>
      <c r="AN275" s="3327"/>
      <c r="AO275" s="3327"/>
      <c r="AP275" s="3327"/>
      <c r="AQ275" s="3327"/>
      <c r="AR275" s="3327"/>
      <c r="AS275" s="3327"/>
      <c r="AT275" s="3337"/>
      <c r="AU275" s="3338"/>
      <c r="AV275" s="1410">
        <f t="shared" si="127"/>
        <v>0</v>
      </c>
      <c r="AW275" s="1410">
        <f t="shared" si="128"/>
        <v>0</v>
      </c>
      <c r="AX275" s="1410">
        <f t="shared" si="129"/>
        <v>0</v>
      </c>
      <c r="AY275" s="3352">
        <f t="shared" si="130"/>
        <v>0</v>
      </c>
      <c r="AZ275" s="3307">
        <f t="shared" si="131"/>
        <v>0</v>
      </c>
      <c r="BA275" s="3307">
        <f t="shared" si="132"/>
        <v>0</v>
      </c>
      <c r="BB275" s="3307">
        <f t="shared" si="133"/>
        <v>0</v>
      </c>
      <c r="BC275" s="3307">
        <f t="shared" si="134"/>
        <v>0</v>
      </c>
      <c r="BD275" s="3307">
        <f t="shared" si="135"/>
        <v>0</v>
      </c>
      <c r="BE275" s="3307">
        <f t="shared" si="136"/>
        <v>0</v>
      </c>
      <c r="BF275" s="3307">
        <f t="shared" si="137"/>
        <v>0</v>
      </c>
      <c r="BG275" s="3307">
        <f t="shared" si="138"/>
        <v>0</v>
      </c>
      <c r="BH275" s="3307">
        <f t="shared" si="139"/>
        <v>0</v>
      </c>
      <c r="BI275" s="3307">
        <f t="shared" si="140"/>
        <v>0</v>
      </c>
      <c r="BJ275" s="3307">
        <f t="shared" si="141"/>
        <v>0</v>
      </c>
      <c r="BK275" s="3307">
        <f t="shared" si="142"/>
        <v>0</v>
      </c>
      <c r="BL275" s="3307">
        <f t="shared" si="143"/>
        <v>0</v>
      </c>
      <c r="BM275" s="3307">
        <f t="shared" si="144"/>
        <v>0</v>
      </c>
      <c r="BN275" s="3307">
        <f t="shared" si="145"/>
        <v>0</v>
      </c>
      <c r="BO275" s="3307">
        <f t="shared" si="146"/>
        <v>0</v>
      </c>
      <c r="BP275" s="3307">
        <f t="shared" si="147"/>
        <v>0</v>
      </c>
      <c r="BQ275" s="3307">
        <f t="shared" si="148"/>
        <v>0</v>
      </c>
      <c r="BR275" s="3307">
        <f t="shared" si="149"/>
        <v>0</v>
      </c>
      <c r="BS275" s="3307">
        <f t="shared" si="150"/>
        <v>0</v>
      </c>
      <c r="BT275" s="3359">
        <f t="shared" si="151"/>
        <v>0</v>
      </c>
    </row>
    <row r="276" spans="1:72">
      <c r="A276" s="3304"/>
      <c r="B276" s="3305"/>
      <c r="C276" s="3305"/>
      <c r="D276" s="3306"/>
      <c r="E276" s="3307">
        <f t="shared" si="123"/>
        <v>0</v>
      </c>
      <c r="F276" s="3308"/>
      <c r="G276" s="3309">
        <f t="shared" si="124"/>
        <v>0</v>
      </c>
      <c r="H276" s="3310">
        <f t="shared" si="125"/>
        <v>0</v>
      </c>
      <c r="I276" s="3317"/>
      <c r="J276" s="3317"/>
      <c r="K276" s="3317"/>
      <c r="L276" s="3317"/>
      <c r="M276" s="3317"/>
      <c r="N276" s="3317"/>
      <c r="O276" s="3317"/>
      <c r="P276" s="3317"/>
      <c r="Q276" s="3317"/>
      <c r="R276" s="3317"/>
      <c r="S276" s="3317"/>
      <c r="T276" s="3317"/>
      <c r="U276" s="3317"/>
      <c r="V276" s="3317"/>
      <c r="W276" s="3317"/>
      <c r="X276" s="3317"/>
      <c r="Y276" s="3317"/>
      <c r="Z276" s="3317"/>
      <c r="AA276" s="3317"/>
      <c r="AB276" s="3317"/>
      <c r="AC276" s="3307">
        <f t="shared" si="126"/>
        <v>0</v>
      </c>
      <c r="AD276" s="3327"/>
      <c r="AE276" s="3327"/>
      <c r="AF276" s="3327"/>
      <c r="AG276" s="3327"/>
      <c r="AH276" s="3327"/>
      <c r="AI276" s="3327"/>
      <c r="AJ276" s="3327"/>
      <c r="AK276" s="3327"/>
      <c r="AL276" s="3327"/>
      <c r="AM276" s="3327"/>
      <c r="AN276" s="3327"/>
      <c r="AO276" s="3327"/>
      <c r="AP276" s="3327"/>
      <c r="AQ276" s="3327"/>
      <c r="AR276" s="3327"/>
      <c r="AS276" s="3327"/>
      <c r="AT276" s="3337"/>
      <c r="AU276" s="3338"/>
      <c r="AV276" s="1410">
        <f t="shared" si="127"/>
        <v>0</v>
      </c>
      <c r="AW276" s="1410">
        <f t="shared" si="128"/>
        <v>0</v>
      </c>
      <c r="AX276" s="1410">
        <f t="shared" si="129"/>
        <v>0</v>
      </c>
      <c r="AY276" s="3352">
        <f t="shared" si="130"/>
        <v>0</v>
      </c>
      <c r="AZ276" s="3307">
        <f t="shared" si="131"/>
        <v>0</v>
      </c>
      <c r="BA276" s="3307">
        <f t="shared" si="132"/>
        <v>0</v>
      </c>
      <c r="BB276" s="3307">
        <f t="shared" si="133"/>
        <v>0</v>
      </c>
      <c r="BC276" s="3307">
        <f t="shared" si="134"/>
        <v>0</v>
      </c>
      <c r="BD276" s="3307">
        <f t="shared" si="135"/>
        <v>0</v>
      </c>
      <c r="BE276" s="3307">
        <f t="shared" si="136"/>
        <v>0</v>
      </c>
      <c r="BF276" s="3307">
        <f t="shared" si="137"/>
        <v>0</v>
      </c>
      <c r="BG276" s="3307">
        <f t="shared" si="138"/>
        <v>0</v>
      </c>
      <c r="BH276" s="3307">
        <f t="shared" si="139"/>
        <v>0</v>
      </c>
      <c r="BI276" s="3307">
        <f t="shared" si="140"/>
        <v>0</v>
      </c>
      <c r="BJ276" s="3307">
        <f t="shared" si="141"/>
        <v>0</v>
      </c>
      <c r="BK276" s="3307">
        <f t="shared" si="142"/>
        <v>0</v>
      </c>
      <c r="BL276" s="3307">
        <f t="shared" si="143"/>
        <v>0</v>
      </c>
      <c r="BM276" s="3307">
        <f t="shared" si="144"/>
        <v>0</v>
      </c>
      <c r="BN276" s="3307">
        <f t="shared" si="145"/>
        <v>0</v>
      </c>
      <c r="BO276" s="3307">
        <f t="shared" si="146"/>
        <v>0</v>
      </c>
      <c r="BP276" s="3307">
        <f t="shared" si="147"/>
        <v>0</v>
      </c>
      <c r="BQ276" s="3307">
        <f t="shared" si="148"/>
        <v>0</v>
      </c>
      <c r="BR276" s="3307">
        <f t="shared" si="149"/>
        <v>0</v>
      </c>
      <c r="BS276" s="3307">
        <f t="shared" si="150"/>
        <v>0</v>
      </c>
      <c r="BT276" s="3359">
        <f t="shared" si="151"/>
        <v>0</v>
      </c>
    </row>
    <row r="277" spans="1:72">
      <c r="A277" s="3304"/>
      <c r="B277" s="3305"/>
      <c r="C277" s="3305"/>
      <c r="D277" s="3306"/>
      <c r="E277" s="3307">
        <f t="shared" si="123"/>
        <v>0</v>
      </c>
      <c r="F277" s="3308"/>
      <c r="G277" s="3309">
        <f t="shared" si="124"/>
        <v>0</v>
      </c>
      <c r="H277" s="3310">
        <f t="shared" si="125"/>
        <v>0</v>
      </c>
      <c r="I277" s="3317"/>
      <c r="J277" s="3317"/>
      <c r="K277" s="3317"/>
      <c r="L277" s="3317"/>
      <c r="M277" s="3317"/>
      <c r="N277" s="3317"/>
      <c r="O277" s="3317"/>
      <c r="P277" s="3317"/>
      <c r="Q277" s="3317"/>
      <c r="R277" s="3317"/>
      <c r="S277" s="3317"/>
      <c r="T277" s="3317"/>
      <c r="U277" s="3317"/>
      <c r="V277" s="3317"/>
      <c r="W277" s="3317"/>
      <c r="X277" s="3317"/>
      <c r="Y277" s="3317"/>
      <c r="Z277" s="3317"/>
      <c r="AA277" s="3317"/>
      <c r="AB277" s="3317"/>
      <c r="AC277" s="3307">
        <f t="shared" si="126"/>
        <v>0</v>
      </c>
      <c r="AD277" s="3327"/>
      <c r="AE277" s="3327"/>
      <c r="AF277" s="3327"/>
      <c r="AG277" s="3327"/>
      <c r="AH277" s="3327"/>
      <c r="AI277" s="3327"/>
      <c r="AJ277" s="3327"/>
      <c r="AK277" s="3327"/>
      <c r="AL277" s="3327"/>
      <c r="AM277" s="3327"/>
      <c r="AN277" s="3327"/>
      <c r="AO277" s="3327"/>
      <c r="AP277" s="3327"/>
      <c r="AQ277" s="3327"/>
      <c r="AR277" s="3327"/>
      <c r="AS277" s="3327"/>
      <c r="AT277" s="3337"/>
      <c r="AU277" s="3338"/>
      <c r="AV277" s="1410">
        <f t="shared" si="127"/>
        <v>0</v>
      </c>
      <c r="AW277" s="1410">
        <f t="shared" si="128"/>
        <v>0</v>
      </c>
      <c r="AX277" s="1410">
        <f t="shared" si="129"/>
        <v>0</v>
      </c>
      <c r="AY277" s="3352">
        <f t="shared" si="130"/>
        <v>0</v>
      </c>
      <c r="AZ277" s="3307">
        <f t="shared" si="131"/>
        <v>0</v>
      </c>
      <c r="BA277" s="3307">
        <f t="shared" si="132"/>
        <v>0</v>
      </c>
      <c r="BB277" s="3307">
        <f t="shared" si="133"/>
        <v>0</v>
      </c>
      <c r="BC277" s="3307">
        <f t="shared" si="134"/>
        <v>0</v>
      </c>
      <c r="BD277" s="3307">
        <f t="shared" si="135"/>
        <v>0</v>
      </c>
      <c r="BE277" s="3307">
        <f t="shared" si="136"/>
        <v>0</v>
      </c>
      <c r="BF277" s="3307">
        <f t="shared" si="137"/>
        <v>0</v>
      </c>
      <c r="BG277" s="3307">
        <f t="shared" si="138"/>
        <v>0</v>
      </c>
      <c r="BH277" s="3307">
        <f t="shared" si="139"/>
        <v>0</v>
      </c>
      <c r="BI277" s="3307">
        <f t="shared" si="140"/>
        <v>0</v>
      </c>
      <c r="BJ277" s="3307">
        <f t="shared" si="141"/>
        <v>0</v>
      </c>
      <c r="BK277" s="3307">
        <f t="shared" si="142"/>
        <v>0</v>
      </c>
      <c r="BL277" s="3307">
        <f t="shared" si="143"/>
        <v>0</v>
      </c>
      <c r="BM277" s="3307">
        <f t="shared" si="144"/>
        <v>0</v>
      </c>
      <c r="BN277" s="3307">
        <f t="shared" si="145"/>
        <v>0</v>
      </c>
      <c r="BO277" s="3307">
        <f t="shared" si="146"/>
        <v>0</v>
      </c>
      <c r="BP277" s="3307">
        <f t="shared" si="147"/>
        <v>0</v>
      </c>
      <c r="BQ277" s="3307">
        <f t="shared" si="148"/>
        <v>0</v>
      </c>
      <c r="BR277" s="3307">
        <f t="shared" si="149"/>
        <v>0</v>
      </c>
      <c r="BS277" s="3307">
        <f t="shared" si="150"/>
        <v>0</v>
      </c>
      <c r="BT277" s="3359">
        <f t="shared" si="151"/>
        <v>0</v>
      </c>
    </row>
    <row r="278" spans="1:72">
      <c r="A278" s="3304"/>
      <c r="B278" s="3305"/>
      <c r="C278" s="3305"/>
      <c r="D278" s="3306"/>
      <c r="E278" s="3307">
        <f t="shared" si="123"/>
        <v>0</v>
      </c>
      <c r="F278" s="3308"/>
      <c r="G278" s="3309">
        <f t="shared" si="124"/>
        <v>0</v>
      </c>
      <c r="H278" s="3310">
        <f t="shared" si="125"/>
        <v>0</v>
      </c>
      <c r="I278" s="3317"/>
      <c r="J278" s="3317"/>
      <c r="K278" s="3317"/>
      <c r="L278" s="3317"/>
      <c r="M278" s="3317"/>
      <c r="N278" s="3317"/>
      <c r="O278" s="3317"/>
      <c r="P278" s="3317"/>
      <c r="Q278" s="3317"/>
      <c r="R278" s="3317"/>
      <c r="S278" s="3317"/>
      <c r="T278" s="3317"/>
      <c r="U278" s="3317"/>
      <c r="V278" s="3317"/>
      <c r="W278" s="3317"/>
      <c r="X278" s="3317"/>
      <c r="Y278" s="3317"/>
      <c r="Z278" s="3317"/>
      <c r="AA278" s="3317"/>
      <c r="AB278" s="3317"/>
      <c r="AC278" s="3307">
        <f t="shared" si="126"/>
        <v>0</v>
      </c>
      <c r="AD278" s="3327"/>
      <c r="AE278" s="3327"/>
      <c r="AF278" s="3327"/>
      <c r="AG278" s="3327"/>
      <c r="AH278" s="3327"/>
      <c r="AI278" s="3327"/>
      <c r="AJ278" s="3327"/>
      <c r="AK278" s="3327"/>
      <c r="AL278" s="3327"/>
      <c r="AM278" s="3327"/>
      <c r="AN278" s="3327"/>
      <c r="AO278" s="3327"/>
      <c r="AP278" s="3327"/>
      <c r="AQ278" s="3327"/>
      <c r="AR278" s="3327"/>
      <c r="AS278" s="3327"/>
      <c r="AT278" s="3337"/>
      <c r="AU278" s="3338"/>
      <c r="AV278" s="1410">
        <f t="shared" si="127"/>
        <v>0</v>
      </c>
      <c r="AW278" s="1410">
        <f t="shared" si="128"/>
        <v>0</v>
      </c>
      <c r="AX278" s="1410">
        <f t="shared" si="129"/>
        <v>0</v>
      </c>
      <c r="AY278" s="3352">
        <f t="shared" si="130"/>
        <v>0</v>
      </c>
      <c r="AZ278" s="3307">
        <f t="shared" si="131"/>
        <v>0</v>
      </c>
      <c r="BA278" s="3307">
        <f t="shared" si="132"/>
        <v>0</v>
      </c>
      <c r="BB278" s="3307">
        <f t="shared" si="133"/>
        <v>0</v>
      </c>
      <c r="BC278" s="3307">
        <f t="shared" si="134"/>
        <v>0</v>
      </c>
      <c r="BD278" s="3307">
        <f t="shared" si="135"/>
        <v>0</v>
      </c>
      <c r="BE278" s="3307">
        <f t="shared" si="136"/>
        <v>0</v>
      </c>
      <c r="BF278" s="3307">
        <f t="shared" si="137"/>
        <v>0</v>
      </c>
      <c r="BG278" s="3307">
        <f t="shared" si="138"/>
        <v>0</v>
      </c>
      <c r="BH278" s="3307">
        <f t="shared" si="139"/>
        <v>0</v>
      </c>
      <c r="BI278" s="3307">
        <f t="shared" si="140"/>
        <v>0</v>
      </c>
      <c r="BJ278" s="3307">
        <f t="shared" si="141"/>
        <v>0</v>
      </c>
      <c r="BK278" s="3307">
        <f t="shared" si="142"/>
        <v>0</v>
      </c>
      <c r="BL278" s="3307">
        <f t="shared" si="143"/>
        <v>0</v>
      </c>
      <c r="BM278" s="3307">
        <f t="shared" si="144"/>
        <v>0</v>
      </c>
      <c r="BN278" s="3307">
        <f t="shared" si="145"/>
        <v>0</v>
      </c>
      <c r="BO278" s="3307">
        <f t="shared" si="146"/>
        <v>0</v>
      </c>
      <c r="BP278" s="3307">
        <f t="shared" si="147"/>
        <v>0</v>
      </c>
      <c r="BQ278" s="3307">
        <f t="shared" si="148"/>
        <v>0</v>
      </c>
      <c r="BR278" s="3307">
        <f t="shared" si="149"/>
        <v>0</v>
      </c>
      <c r="BS278" s="3307">
        <f t="shared" si="150"/>
        <v>0</v>
      </c>
      <c r="BT278" s="3359">
        <f t="shared" si="151"/>
        <v>0</v>
      </c>
    </row>
    <row r="279" spans="1:72">
      <c r="A279" s="3304"/>
      <c r="B279" s="3305"/>
      <c r="C279" s="3305"/>
      <c r="D279" s="3306"/>
      <c r="E279" s="3307">
        <f t="shared" si="123"/>
        <v>0</v>
      </c>
      <c r="F279" s="3308"/>
      <c r="G279" s="3309">
        <f t="shared" si="124"/>
        <v>0</v>
      </c>
      <c r="H279" s="3310">
        <f t="shared" si="125"/>
        <v>0</v>
      </c>
      <c r="I279" s="3317"/>
      <c r="J279" s="3317"/>
      <c r="K279" s="3317"/>
      <c r="L279" s="3317"/>
      <c r="M279" s="3317"/>
      <c r="N279" s="3317"/>
      <c r="O279" s="3317"/>
      <c r="P279" s="3317"/>
      <c r="Q279" s="3317"/>
      <c r="R279" s="3317"/>
      <c r="S279" s="3317"/>
      <c r="T279" s="3317"/>
      <c r="U279" s="3317"/>
      <c r="V279" s="3317"/>
      <c r="W279" s="3317"/>
      <c r="X279" s="3317"/>
      <c r="Y279" s="3317"/>
      <c r="Z279" s="3317"/>
      <c r="AA279" s="3317"/>
      <c r="AB279" s="3317"/>
      <c r="AC279" s="3307">
        <f t="shared" si="126"/>
        <v>0</v>
      </c>
      <c r="AD279" s="3327"/>
      <c r="AE279" s="3327"/>
      <c r="AF279" s="3327"/>
      <c r="AG279" s="3327"/>
      <c r="AH279" s="3327"/>
      <c r="AI279" s="3327"/>
      <c r="AJ279" s="3327"/>
      <c r="AK279" s="3327"/>
      <c r="AL279" s="3327"/>
      <c r="AM279" s="3327"/>
      <c r="AN279" s="3327"/>
      <c r="AO279" s="3327"/>
      <c r="AP279" s="3327"/>
      <c r="AQ279" s="3327"/>
      <c r="AR279" s="3327"/>
      <c r="AS279" s="3327"/>
      <c r="AT279" s="3337"/>
      <c r="AU279" s="3338"/>
      <c r="AV279" s="1410">
        <f t="shared" si="127"/>
        <v>0</v>
      </c>
      <c r="AW279" s="1410">
        <f t="shared" si="128"/>
        <v>0</v>
      </c>
      <c r="AX279" s="1410">
        <f t="shared" si="129"/>
        <v>0</v>
      </c>
      <c r="AY279" s="3352">
        <f t="shared" si="130"/>
        <v>0</v>
      </c>
      <c r="AZ279" s="3307">
        <f t="shared" si="131"/>
        <v>0</v>
      </c>
      <c r="BA279" s="3307">
        <f t="shared" si="132"/>
        <v>0</v>
      </c>
      <c r="BB279" s="3307">
        <f t="shared" si="133"/>
        <v>0</v>
      </c>
      <c r="BC279" s="3307">
        <f t="shared" si="134"/>
        <v>0</v>
      </c>
      <c r="BD279" s="3307">
        <f t="shared" si="135"/>
        <v>0</v>
      </c>
      <c r="BE279" s="3307">
        <f t="shared" si="136"/>
        <v>0</v>
      </c>
      <c r="BF279" s="3307">
        <f t="shared" si="137"/>
        <v>0</v>
      </c>
      <c r="BG279" s="3307">
        <f t="shared" si="138"/>
        <v>0</v>
      </c>
      <c r="BH279" s="3307">
        <f t="shared" si="139"/>
        <v>0</v>
      </c>
      <c r="BI279" s="3307">
        <f t="shared" si="140"/>
        <v>0</v>
      </c>
      <c r="BJ279" s="3307">
        <f t="shared" si="141"/>
        <v>0</v>
      </c>
      <c r="BK279" s="3307">
        <f t="shared" si="142"/>
        <v>0</v>
      </c>
      <c r="BL279" s="3307">
        <f t="shared" si="143"/>
        <v>0</v>
      </c>
      <c r="BM279" s="3307">
        <f t="shared" si="144"/>
        <v>0</v>
      </c>
      <c r="BN279" s="3307">
        <f t="shared" si="145"/>
        <v>0</v>
      </c>
      <c r="BO279" s="3307">
        <f t="shared" si="146"/>
        <v>0</v>
      </c>
      <c r="BP279" s="3307">
        <f t="shared" si="147"/>
        <v>0</v>
      </c>
      <c r="BQ279" s="3307">
        <f t="shared" si="148"/>
        <v>0</v>
      </c>
      <c r="BR279" s="3307">
        <f t="shared" si="149"/>
        <v>0</v>
      </c>
      <c r="BS279" s="3307">
        <f t="shared" si="150"/>
        <v>0</v>
      </c>
      <c r="BT279" s="3359">
        <f t="shared" si="151"/>
        <v>0</v>
      </c>
    </row>
    <row r="280" spans="1:72">
      <c r="A280" s="3304"/>
      <c r="B280" s="3305"/>
      <c r="C280" s="3305"/>
      <c r="D280" s="3306"/>
      <c r="E280" s="3307">
        <f t="shared" si="123"/>
        <v>0</v>
      </c>
      <c r="F280" s="3308"/>
      <c r="G280" s="3309">
        <f t="shared" si="124"/>
        <v>0</v>
      </c>
      <c r="H280" s="3310">
        <f t="shared" si="125"/>
        <v>0</v>
      </c>
      <c r="I280" s="3317"/>
      <c r="J280" s="3317"/>
      <c r="K280" s="3317"/>
      <c r="L280" s="3317"/>
      <c r="M280" s="3317"/>
      <c r="N280" s="3317"/>
      <c r="O280" s="3317"/>
      <c r="P280" s="3317"/>
      <c r="Q280" s="3317"/>
      <c r="R280" s="3317"/>
      <c r="S280" s="3317"/>
      <c r="T280" s="3317"/>
      <c r="U280" s="3317"/>
      <c r="V280" s="3317"/>
      <c r="W280" s="3317"/>
      <c r="X280" s="3317"/>
      <c r="Y280" s="3317"/>
      <c r="Z280" s="3317"/>
      <c r="AA280" s="3317"/>
      <c r="AB280" s="3317"/>
      <c r="AC280" s="3307">
        <f t="shared" si="126"/>
        <v>0</v>
      </c>
      <c r="AD280" s="3327"/>
      <c r="AE280" s="3327"/>
      <c r="AF280" s="3327"/>
      <c r="AG280" s="3327"/>
      <c r="AH280" s="3327"/>
      <c r="AI280" s="3327"/>
      <c r="AJ280" s="3327"/>
      <c r="AK280" s="3327"/>
      <c r="AL280" s="3327"/>
      <c r="AM280" s="3327"/>
      <c r="AN280" s="3327"/>
      <c r="AO280" s="3327"/>
      <c r="AP280" s="3327"/>
      <c r="AQ280" s="3327"/>
      <c r="AR280" s="3327"/>
      <c r="AS280" s="3327"/>
      <c r="AT280" s="3337"/>
      <c r="AU280" s="3338"/>
      <c r="AV280" s="1410">
        <f t="shared" si="127"/>
        <v>0</v>
      </c>
      <c r="AW280" s="1410">
        <f t="shared" si="128"/>
        <v>0</v>
      </c>
      <c r="AX280" s="1410">
        <f t="shared" si="129"/>
        <v>0</v>
      </c>
      <c r="AY280" s="3352">
        <f t="shared" si="130"/>
        <v>0</v>
      </c>
      <c r="AZ280" s="3307">
        <f t="shared" si="131"/>
        <v>0</v>
      </c>
      <c r="BA280" s="3307">
        <f t="shared" si="132"/>
        <v>0</v>
      </c>
      <c r="BB280" s="3307">
        <f t="shared" si="133"/>
        <v>0</v>
      </c>
      <c r="BC280" s="3307">
        <f t="shared" si="134"/>
        <v>0</v>
      </c>
      <c r="BD280" s="3307">
        <f t="shared" si="135"/>
        <v>0</v>
      </c>
      <c r="BE280" s="3307">
        <f t="shared" si="136"/>
        <v>0</v>
      </c>
      <c r="BF280" s="3307">
        <f t="shared" si="137"/>
        <v>0</v>
      </c>
      <c r="BG280" s="3307">
        <f t="shared" si="138"/>
        <v>0</v>
      </c>
      <c r="BH280" s="3307">
        <f t="shared" si="139"/>
        <v>0</v>
      </c>
      <c r="BI280" s="3307">
        <f t="shared" si="140"/>
        <v>0</v>
      </c>
      <c r="BJ280" s="3307">
        <f t="shared" si="141"/>
        <v>0</v>
      </c>
      <c r="BK280" s="3307">
        <f t="shared" si="142"/>
        <v>0</v>
      </c>
      <c r="BL280" s="3307">
        <f t="shared" si="143"/>
        <v>0</v>
      </c>
      <c r="BM280" s="3307">
        <f t="shared" si="144"/>
        <v>0</v>
      </c>
      <c r="BN280" s="3307">
        <f t="shared" si="145"/>
        <v>0</v>
      </c>
      <c r="BO280" s="3307">
        <f t="shared" si="146"/>
        <v>0</v>
      </c>
      <c r="BP280" s="3307">
        <f t="shared" si="147"/>
        <v>0</v>
      </c>
      <c r="BQ280" s="3307">
        <f t="shared" si="148"/>
        <v>0</v>
      </c>
      <c r="BR280" s="3307">
        <f t="shared" si="149"/>
        <v>0</v>
      </c>
      <c r="BS280" s="3307">
        <f t="shared" si="150"/>
        <v>0</v>
      </c>
      <c r="BT280" s="3359">
        <f t="shared" si="151"/>
        <v>0</v>
      </c>
    </row>
    <row r="281" spans="1:72">
      <c r="A281" s="3304"/>
      <c r="B281" s="3305"/>
      <c r="C281" s="3305"/>
      <c r="D281" s="3306"/>
      <c r="E281" s="3307">
        <f t="shared" si="123"/>
        <v>0</v>
      </c>
      <c r="F281" s="3308"/>
      <c r="G281" s="3309">
        <f t="shared" si="124"/>
        <v>0</v>
      </c>
      <c r="H281" s="3310">
        <f t="shared" si="125"/>
        <v>0</v>
      </c>
      <c r="I281" s="3317"/>
      <c r="J281" s="3317"/>
      <c r="K281" s="3317"/>
      <c r="L281" s="3317"/>
      <c r="M281" s="3317"/>
      <c r="N281" s="3317"/>
      <c r="O281" s="3317"/>
      <c r="P281" s="3317"/>
      <c r="Q281" s="3317"/>
      <c r="R281" s="3317"/>
      <c r="S281" s="3317"/>
      <c r="T281" s="3317"/>
      <c r="U281" s="3317"/>
      <c r="V281" s="3317"/>
      <c r="W281" s="3317"/>
      <c r="X281" s="3317"/>
      <c r="Y281" s="3317"/>
      <c r="Z281" s="3317"/>
      <c r="AA281" s="3317"/>
      <c r="AB281" s="3317"/>
      <c r="AC281" s="3307">
        <f t="shared" si="126"/>
        <v>0</v>
      </c>
      <c r="AD281" s="3327"/>
      <c r="AE281" s="3327"/>
      <c r="AF281" s="3327"/>
      <c r="AG281" s="3327"/>
      <c r="AH281" s="3327"/>
      <c r="AI281" s="3327"/>
      <c r="AJ281" s="3327"/>
      <c r="AK281" s="3327"/>
      <c r="AL281" s="3327"/>
      <c r="AM281" s="3327"/>
      <c r="AN281" s="3327"/>
      <c r="AO281" s="3327"/>
      <c r="AP281" s="3327"/>
      <c r="AQ281" s="3327"/>
      <c r="AR281" s="3327"/>
      <c r="AS281" s="3327"/>
      <c r="AT281" s="3337"/>
      <c r="AU281" s="3338"/>
      <c r="AV281" s="1410">
        <f t="shared" si="127"/>
        <v>0</v>
      </c>
      <c r="AW281" s="1410">
        <f t="shared" si="128"/>
        <v>0</v>
      </c>
      <c r="AX281" s="1410">
        <f t="shared" si="129"/>
        <v>0</v>
      </c>
      <c r="AY281" s="3352">
        <f t="shared" si="130"/>
        <v>0</v>
      </c>
      <c r="AZ281" s="3307">
        <f t="shared" si="131"/>
        <v>0</v>
      </c>
      <c r="BA281" s="3307">
        <f t="shared" si="132"/>
        <v>0</v>
      </c>
      <c r="BB281" s="3307">
        <f t="shared" si="133"/>
        <v>0</v>
      </c>
      <c r="BC281" s="3307">
        <f t="shared" si="134"/>
        <v>0</v>
      </c>
      <c r="BD281" s="3307">
        <f t="shared" si="135"/>
        <v>0</v>
      </c>
      <c r="BE281" s="3307">
        <f t="shared" si="136"/>
        <v>0</v>
      </c>
      <c r="BF281" s="3307">
        <f t="shared" si="137"/>
        <v>0</v>
      </c>
      <c r="BG281" s="3307">
        <f t="shared" si="138"/>
        <v>0</v>
      </c>
      <c r="BH281" s="3307">
        <f t="shared" si="139"/>
        <v>0</v>
      </c>
      <c r="BI281" s="3307">
        <f t="shared" si="140"/>
        <v>0</v>
      </c>
      <c r="BJ281" s="3307">
        <f t="shared" si="141"/>
        <v>0</v>
      </c>
      <c r="BK281" s="3307">
        <f t="shared" si="142"/>
        <v>0</v>
      </c>
      <c r="BL281" s="3307">
        <f t="shared" si="143"/>
        <v>0</v>
      </c>
      <c r="BM281" s="3307">
        <f t="shared" si="144"/>
        <v>0</v>
      </c>
      <c r="BN281" s="3307">
        <f t="shared" si="145"/>
        <v>0</v>
      </c>
      <c r="BO281" s="3307">
        <f t="shared" si="146"/>
        <v>0</v>
      </c>
      <c r="BP281" s="3307">
        <f t="shared" si="147"/>
        <v>0</v>
      </c>
      <c r="BQ281" s="3307">
        <f t="shared" si="148"/>
        <v>0</v>
      </c>
      <c r="BR281" s="3307">
        <f t="shared" si="149"/>
        <v>0</v>
      </c>
      <c r="BS281" s="3307">
        <f t="shared" si="150"/>
        <v>0</v>
      </c>
      <c r="BT281" s="3359">
        <f t="shared" si="151"/>
        <v>0</v>
      </c>
    </row>
    <row r="282" spans="1:72">
      <c r="A282" s="3304"/>
      <c r="B282" s="3305"/>
      <c r="C282" s="3305"/>
      <c r="D282" s="3306"/>
      <c r="E282" s="3307">
        <f t="shared" si="123"/>
        <v>0</v>
      </c>
      <c r="F282" s="3308"/>
      <c r="G282" s="3309">
        <f t="shared" si="124"/>
        <v>0</v>
      </c>
      <c r="H282" s="3310">
        <f t="shared" si="125"/>
        <v>0</v>
      </c>
      <c r="I282" s="3317"/>
      <c r="J282" s="3317"/>
      <c r="K282" s="3317"/>
      <c r="L282" s="3317"/>
      <c r="M282" s="3317"/>
      <c r="N282" s="3317"/>
      <c r="O282" s="3317"/>
      <c r="P282" s="3317"/>
      <c r="Q282" s="3317"/>
      <c r="R282" s="3317"/>
      <c r="S282" s="3317"/>
      <c r="T282" s="3317"/>
      <c r="U282" s="3317"/>
      <c r="V282" s="3317"/>
      <c r="W282" s="3317"/>
      <c r="X282" s="3317"/>
      <c r="Y282" s="3317"/>
      <c r="Z282" s="3317"/>
      <c r="AA282" s="3317"/>
      <c r="AB282" s="3317"/>
      <c r="AC282" s="3307">
        <f t="shared" si="126"/>
        <v>0</v>
      </c>
      <c r="AD282" s="3327"/>
      <c r="AE282" s="3327"/>
      <c r="AF282" s="3327"/>
      <c r="AG282" s="3327"/>
      <c r="AH282" s="3327"/>
      <c r="AI282" s="3327"/>
      <c r="AJ282" s="3327"/>
      <c r="AK282" s="3327"/>
      <c r="AL282" s="3327"/>
      <c r="AM282" s="3327"/>
      <c r="AN282" s="3327"/>
      <c r="AO282" s="3327"/>
      <c r="AP282" s="3327"/>
      <c r="AQ282" s="3327"/>
      <c r="AR282" s="3327"/>
      <c r="AS282" s="3327"/>
      <c r="AT282" s="3337"/>
      <c r="AU282" s="3338"/>
      <c r="AV282" s="1410">
        <f t="shared" si="127"/>
        <v>0</v>
      </c>
      <c r="AW282" s="1410">
        <f t="shared" si="128"/>
        <v>0</v>
      </c>
      <c r="AX282" s="1410">
        <f t="shared" si="129"/>
        <v>0</v>
      </c>
      <c r="AY282" s="3352">
        <f t="shared" si="130"/>
        <v>0</v>
      </c>
      <c r="AZ282" s="3307">
        <f t="shared" si="131"/>
        <v>0</v>
      </c>
      <c r="BA282" s="3307">
        <f t="shared" si="132"/>
        <v>0</v>
      </c>
      <c r="BB282" s="3307">
        <f t="shared" si="133"/>
        <v>0</v>
      </c>
      <c r="BC282" s="3307">
        <f t="shared" si="134"/>
        <v>0</v>
      </c>
      <c r="BD282" s="3307">
        <f t="shared" si="135"/>
        <v>0</v>
      </c>
      <c r="BE282" s="3307">
        <f t="shared" si="136"/>
        <v>0</v>
      </c>
      <c r="BF282" s="3307">
        <f t="shared" si="137"/>
        <v>0</v>
      </c>
      <c r="BG282" s="3307">
        <f t="shared" si="138"/>
        <v>0</v>
      </c>
      <c r="BH282" s="3307">
        <f t="shared" si="139"/>
        <v>0</v>
      </c>
      <c r="BI282" s="3307">
        <f t="shared" si="140"/>
        <v>0</v>
      </c>
      <c r="BJ282" s="3307">
        <f t="shared" si="141"/>
        <v>0</v>
      </c>
      <c r="BK282" s="3307">
        <f t="shared" si="142"/>
        <v>0</v>
      </c>
      <c r="BL282" s="3307">
        <f t="shared" si="143"/>
        <v>0</v>
      </c>
      <c r="BM282" s="3307">
        <f t="shared" si="144"/>
        <v>0</v>
      </c>
      <c r="BN282" s="3307">
        <f t="shared" si="145"/>
        <v>0</v>
      </c>
      <c r="BO282" s="3307">
        <f t="shared" si="146"/>
        <v>0</v>
      </c>
      <c r="BP282" s="3307">
        <f t="shared" si="147"/>
        <v>0</v>
      </c>
      <c r="BQ282" s="3307">
        <f t="shared" si="148"/>
        <v>0</v>
      </c>
      <c r="BR282" s="3307">
        <f t="shared" si="149"/>
        <v>0</v>
      </c>
      <c r="BS282" s="3307">
        <f t="shared" si="150"/>
        <v>0</v>
      </c>
      <c r="BT282" s="3359">
        <f t="shared" si="151"/>
        <v>0</v>
      </c>
    </row>
    <row r="283" spans="1:72">
      <c r="A283" s="3304"/>
      <c r="B283" s="3305"/>
      <c r="C283" s="3305"/>
      <c r="D283" s="3306"/>
      <c r="E283" s="3307">
        <f t="shared" si="123"/>
        <v>0</v>
      </c>
      <c r="F283" s="3308"/>
      <c r="G283" s="3309">
        <f t="shared" si="124"/>
        <v>0</v>
      </c>
      <c r="H283" s="3310">
        <f t="shared" si="125"/>
        <v>0</v>
      </c>
      <c r="I283" s="3317"/>
      <c r="J283" s="3317"/>
      <c r="K283" s="3317"/>
      <c r="L283" s="3317"/>
      <c r="M283" s="3317"/>
      <c r="N283" s="3317"/>
      <c r="O283" s="3317"/>
      <c r="P283" s="3317"/>
      <c r="Q283" s="3317"/>
      <c r="R283" s="3317"/>
      <c r="S283" s="3317"/>
      <c r="T283" s="3317"/>
      <c r="U283" s="3317"/>
      <c r="V283" s="3317"/>
      <c r="W283" s="3317"/>
      <c r="X283" s="3317"/>
      <c r="Y283" s="3317"/>
      <c r="Z283" s="3317"/>
      <c r="AA283" s="3317"/>
      <c r="AB283" s="3317"/>
      <c r="AC283" s="3307">
        <f t="shared" si="126"/>
        <v>0</v>
      </c>
      <c r="AD283" s="3327"/>
      <c r="AE283" s="3327"/>
      <c r="AF283" s="3327"/>
      <c r="AG283" s="3327"/>
      <c r="AH283" s="3327"/>
      <c r="AI283" s="3327"/>
      <c r="AJ283" s="3327"/>
      <c r="AK283" s="3327"/>
      <c r="AL283" s="3327"/>
      <c r="AM283" s="3327"/>
      <c r="AN283" s="3327"/>
      <c r="AO283" s="3327"/>
      <c r="AP283" s="3327"/>
      <c r="AQ283" s="3327"/>
      <c r="AR283" s="3327"/>
      <c r="AS283" s="3327"/>
      <c r="AT283" s="3337"/>
      <c r="AU283" s="3338"/>
      <c r="AV283" s="1410">
        <f t="shared" si="127"/>
        <v>0</v>
      </c>
      <c r="AW283" s="1410">
        <f t="shared" si="128"/>
        <v>0</v>
      </c>
      <c r="AX283" s="1410">
        <f t="shared" si="129"/>
        <v>0</v>
      </c>
      <c r="AY283" s="3352">
        <f t="shared" si="130"/>
        <v>0</v>
      </c>
      <c r="AZ283" s="3307">
        <f t="shared" si="131"/>
        <v>0</v>
      </c>
      <c r="BA283" s="3307">
        <f t="shared" si="132"/>
        <v>0</v>
      </c>
      <c r="BB283" s="3307">
        <f t="shared" si="133"/>
        <v>0</v>
      </c>
      <c r="BC283" s="3307">
        <f t="shared" si="134"/>
        <v>0</v>
      </c>
      <c r="BD283" s="3307">
        <f t="shared" si="135"/>
        <v>0</v>
      </c>
      <c r="BE283" s="3307">
        <f t="shared" si="136"/>
        <v>0</v>
      </c>
      <c r="BF283" s="3307">
        <f t="shared" si="137"/>
        <v>0</v>
      </c>
      <c r="BG283" s="3307">
        <f t="shared" si="138"/>
        <v>0</v>
      </c>
      <c r="BH283" s="3307">
        <f t="shared" si="139"/>
        <v>0</v>
      </c>
      <c r="BI283" s="3307">
        <f t="shared" si="140"/>
        <v>0</v>
      </c>
      <c r="BJ283" s="3307">
        <f t="shared" si="141"/>
        <v>0</v>
      </c>
      <c r="BK283" s="3307">
        <f t="shared" si="142"/>
        <v>0</v>
      </c>
      <c r="BL283" s="3307">
        <f t="shared" si="143"/>
        <v>0</v>
      </c>
      <c r="BM283" s="3307">
        <f t="shared" si="144"/>
        <v>0</v>
      </c>
      <c r="BN283" s="3307">
        <f t="shared" si="145"/>
        <v>0</v>
      </c>
      <c r="BO283" s="3307">
        <f t="shared" si="146"/>
        <v>0</v>
      </c>
      <c r="BP283" s="3307">
        <f t="shared" si="147"/>
        <v>0</v>
      </c>
      <c r="BQ283" s="3307">
        <f t="shared" si="148"/>
        <v>0</v>
      </c>
      <c r="BR283" s="3307">
        <f t="shared" si="149"/>
        <v>0</v>
      </c>
      <c r="BS283" s="3307">
        <f t="shared" si="150"/>
        <v>0</v>
      </c>
      <c r="BT283" s="3359">
        <f t="shared" si="151"/>
        <v>0</v>
      </c>
    </row>
    <row r="284" spans="1:72">
      <c r="A284" s="3304"/>
      <c r="B284" s="3305"/>
      <c r="C284" s="3305"/>
      <c r="D284" s="3306"/>
      <c r="E284" s="3307">
        <f t="shared" si="123"/>
        <v>0</v>
      </c>
      <c r="F284" s="3308"/>
      <c r="G284" s="3309">
        <f t="shared" si="124"/>
        <v>0</v>
      </c>
      <c r="H284" s="3310">
        <f t="shared" si="125"/>
        <v>0</v>
      </c>
      <c r="I284" s="3317"/>
      <c r="J284" s="3317"/>
      <c r="K284" s="3317"/>
      <c r="L284" s="3317"/>
      <c r="M284" s="3317"/>
      <c r="N284" s="3317"/>
      <c r="O284" s="3317"/>
      <c r="P284" s="3317"/>
      <c r="Q284" s="3317"/>
      <c r="R284" s="3317"/>
      <c r="S284" s="3317"/>
      <c r="T284" s="3317"/>
      <c r="U284" s="3317"/>
      <c r="V284" s="3317"/>
      <c r="W284" s="3317"/>
      <c r="X284" s="3317"/>
      <c r="Y284" s="3317"/>
      <c r="Z284" s="3317"/>
      <c r="AA284" s="3317"/>
      <c r="AB284" s="3317"/>
      <c r="AC284" s="3307">
        <f t="shared" si="126"/>
        <v>0</v>
      </c>
      <c r="AD284" s="3327"/>
      <c r="AE284" s="3327"/>
      <c r="AF284" s="3327"/>
      <c r="AG284" s="3327"/>
      <c r="AH284" s="3327"/>
      <c r="AI284" s="3327"/>
      <c r="AJ284" s="3327"/>
      <c r="AK284" s="3327"/>
      <c r="AL284" s="3327"/>
      <c r="AM284" s="3327"/>
      <c r="AN284" s="3327"/>
      <c r="AO284" s="3327"/>
      <c r="AP284" s="3327"/>
      <c r="AQ284" s="3327"/>
      <c r="AR284" s="3327"/>
      <c r="AS284" s="3327"/>
      <c r="AT284" s="3337"/>
      <c r="AU284" s="3338"/>
      <c r="AV284" s="1410">
        <f t="shared" si="127"/>
        <v>0</v>
      </c>
      <c r="AW284" s="1410">
        <f t="shared" si="128"/>
        <v>0</v>
      </c>
      <c r="AX284" s="1410">
        <f t="shared" si="129"/>
        <v>0</v>
      </c>
      <c r="AY284" s="3352">
        <f t="shared" si="130"/>
        <v>0</v>
      </c>
      <c r="AZ284" s="3307">
        <f t="shared" si="131"/>
        <v>0</v>
      </c>
      <c r="BA284" s="3307">
        <f t="shared" si="132"/>
        <v>0</v>
      </c>
      <c r="BB284" s="3307">
        <f t="shared" si="133"/>
        <v>0</v>
      </c>
      <c r="BC284" s="3307">
        <f t="shared" si="134"/>
        <v>0</v>
      </c>
      <c r="BD284" s="3307">
        <f t="shared" si="135"/>
        <v>0</v>
      </c>
      <c r="BE284" s="3307">
        <f t="shared" si="136"/>
        <v>0</v>
      </c>
      <c r="BF284" s="3307">
        <f t="shared" si="137"/>
        <v>0</v>
      </c>
      <c r="BG284" s="3307">
        <f t="shared" si="138"/>
        <v>0</v>
      </c>
      <c r="BH284" s="3307">
        <f t="shared" si="139"/>
        <v>0</v>
      </c>
      <c r="BI284" s="3307">
        <f t="shared" si="140"/>
        <v>0</v>
      </c>
      <c r="BJ284" s="3307">
        <f t="shared" si="141"/>
        <v>0</v>
      </c>
      <c r="BK284" s="3307">
        <f t="shared" si="142"/>
        <v>0</v>
      </c>
      <c r="BL284" s="3307">
        <f t="shared" si="143"/>
        <v>0</v>
      </c>
      <c r="BM284" s="3307">
        <f t="shared" si="144"/>
        <v>0</v>
      </c>
      <c r="BN284" s="3307">
        <f t="shared" si="145"/>
        <v>0</v>
      </c>
      <c r="BO284" s="3307">
        <f t="shared" si="146"/>
        <v>0</v>
      </c>
      <c r="BP284" s="3307">
        <f t="shared" si="147"/>
        <v>0</v>
      </c>
      <c r="BQ284" s="3307">
        <f t="shared" si="148"/>
        <v>0</v>
      </c>
      <c r="BR284" s="3307">
        <f t="shared" si="149"/>
        <v>0</v>
      </c>
      <c r="BS284" s="3307">
        <f t="shared" si="150"/>
        <v>0</v>
      </c>
      <c r="BT284" s="3359">
        <f t="shared" si="151"/>
        <v>0</v>
      </c>
    </row>
    <row r="285" spans="1:72">
      <c r="A285" s="3304"/>
      <c r="B285" s="3305"/>
      <c r="C285" s="3305"/>
      <c r="D285" s="3306"/>
      <c r="E285" s="3307">
        <f t="shared" si="123"/>
        <v>0</v>
      </c>
      <c r="F285" s="3308"/>
      <c r="G285" s="3309">
        <f t="shared" si="124"/>
        <v>0</v>
      </c>
      <c r="H285" s="3310">
        <f t="shared" si="125"/>
        <v>0</v>
      </c>
      <c r="I285" s="3317"/>
      <c r="J285" s="3317"/>
      <c r="K285" s="3317"/>
      <c r="L285" s="3317"/>
      <c r="M285" s="3317"/>
      <c r="N285" s="3317"/>
      <c r="O285" s="3317"/>
      <c r="P285" s="3317"/>
      <c r="Q285" s="3317"/>
      <c r="R285" s="3317"/>
      <c r="S285" s="3317"/>
      <c r="T285" s="3317"/>
      <c r="U285" s="3317"/>
      <c r="V285" s="3317"/>
      <c r="W285" s="3317"/>
      <c r="X285" s="3317"/>
      <c r="Y285" s="3317"/>
      <c r="Z285" s="3317"/>
      <c r="AA285" s="3317"/>
      <c r="AB285" s="3317"/>
      <c r="AC285" s="3307">
        <f t="shared" si="126"/>
        <v>0</v>
      </c>
      <c r="AD285" s="3327"/>
      <c r="AE285" s="3327"/>
      <c r="AF285" s="3327"/>
      <c r="AG285" s="3327"/>
      <c r="AH285" s="3327"/>
      <c r="AI285" s="3327"/>
      <c r="AJ285" s="3327"/>
      <c r="AK285" s="3327"/>
      <c r="AL285" s="3327"/>
      <c r="AM285" s="3327"/>
      <c r="AN285" s="3327"/>
      <c r="AO285" s="3327"/>
      <c r="AP285" s="3327"/>
      <c r="AQ285" s="3327"/>
      <c r="AR285" s="3327"/>
      <c r="AS285" s="3327"/>
      <c r="AT285" s="3337"/>
      <c r="AU285" s="3338"/>
      <c r="AV285" s="1410">
        <f t="shared" si="127"/>
        <v>0</v>
      </c>
      <c r="AW285" s="1410">
        <f t="shared" si="128"/>
        <v>0</v>
      </c>
      <c r="AX285" s="1410">
        <f t="shared" si="129"/>
        <v>0</v>
      </c>
      <c r="AY285" s="3352">
        <f t="shared" si="130"/>
        <v>0</v>
      </c>
      <c r="AZ285" s="3307">
        <f t="shared" si="131"/>
        <v>0</v>
      </c>
      <c r="BA285" s="3307">
        <f t="shared" si="132"/>
        <v>0</v>
      </c>
      <c r="BB285" s="3307">
        <f t="shared" si="133"/>
        <v>0</v>
      </c>
      <c r="BC285" s="3307">
        <f t="shared" si="134"/>
        <v>0</v>
      </c>
      <c r="BD285" s="3307">
        <f t="shared" si="135"/>
        <v>0</v>
      </c>
      <c r="BE285" s="3307">
        <f t="shared" si="136"/>
        <v>0</v>
      </c>
      <c r="BF285" s="3307">
        <f t="shared" si="137"/>
        <v>0</v>
      </c>
      <c r="BG285" s="3307">
        <f t="shared" si="138"/>
        <v>0</v>
      </c>
      <c r="BH285" s="3307">
        <f t="shared" si="139"/>
        <v>0</v>
      </c>
      <c r="BI285" s="3307">
        <f t="shared" si="140"/>
        <v>0</v>
      </c>
      <c r="BJ285" s="3307">
        <f t="shared" si="141"/>
        <v>0</v>
      </c>
      <c r="BK285" s="3307">
        <f t="shared" si="142"/>
        <v>0</v>
      </c>
      <c r="BL285" s="3307">
        <f t="shared" si="143"/>
        <v>0</v>
      </c>
      <c r="BM285" s="3307">
        <f t="shared" si="144"/>
        <v>0</v>
      </c>
      <c r="BN285" s="3307">
        <f t="shared" si="145"/>
        <v>0</v>
      </c>
      <c r="BO285" s="3307">
        <f t="shared" si="146"/>
        <v>0</v>
      </c>
      <c r="BP285" s="3307">
        <f t="shared" si="147"/>
        <v>0</v>
      </c>
      <c r="BQ285" s="3307">
        <f t="shared" si="148"/>
        <v>0</v>
      </c>
      <c r="BR285" s="3307">
        <f t="shared" si="149"/>
        <v>0</v>
      </c>
      <c r="BS285" s="3307">
        <f t="shared" si="150"/>
        <v>0</v>
      </c>
      <c r="BT285" s="3359">
        <f t="shared" si="151"/>
        <v>0</v>
      </c>
    </row>
    <row r="286" spans="1:72">
      <c r="A286" s="3304"/>
      <c r="B286" s="3305"/>
      <c r="C286" s="3305"/>
      <c r="D286" s="3306"/>
      <c r="E286" s="3307">
        <f t="shared" si="123"/>
        <v>0</v>
      </c>
      <c r="F286" s="3308"/>
      <c r="G286" s="3309">
        <f t="shared" si="124"/>
        <v>0</v>
      </c>
      <c r="H286" s="3310">
        <f t="shared" si="125"/>
        <v>0</v>
      </c>
      <c r="I286" s="3317"/>
      <c r="J286" s="3317"/>
      <c r="K286" s="3317"/>
      <c r="L286" s="3317"/>
      <c r="M286" s="3317"/>
      <c r="N286" s="3317"/>
      <c r="O286" s="3317"/>
      <c r="P286" s="3317"/>
      <c r="Q286" s="3317"/>
      <c r="R286" s="3317"/>
      <c r="S286" s="3317"/>
      <c r="T286" s="3317"/>
      <c r="U286" s="3317"/>
      <c r="V286" s="3317"/>
      <c r="W286" s="3317"/>
      <c r="X286" s="3317"/>
      <c r="Y286" s="3317"/>
      <c r="Z286" s="3317"/>
      <c r="AA286" s="3317"/>
      <c r="AB286" s="3317"/>
      <c r="AC286" s="3307">
        <f t="shared" si="126"/>
        <v>0</v>
      </c>
      <c r="AD286" s="3327"/>
      <c r="AE286" s="3327"/>
      <c r="AF286" s="3327"/>
      <c r="AG286" s="3327"/>
      <c r="AH286" s="3327"/>
      <c r="AI286" s="3327"/>
      <c r="AJ286" s="3327"/>
      <c r="AK286" s="3327"/>
      <c r="AL286" s="3327"/>
      <c r="AM286" s="3327"/>
      <c r="AN286" s="3327"/>
      <c r="AO286" s="3327"/>
      <c r="AP286" s="3327"/>
      <c r="AQ286" s="3327"/>
      <c r="AR286" s="3327"/>
      <c r="AS286" s="3327"/>
      <c r="AT286" s="3337"/>
      <c r="AU286" s="3338"/>
      <c r="AV286" s="1410">
        <f t="shared" si="127"/>
        <v>0</v>
      </c>
      <c r="AW286" s="1410">
        <f t="shared" si="128"/>
        <v>0</v>
      </c>
      <c r="AX286" s="1410">
        <f t="shared" si="129"/>
        <v>0</v>
      </c>
      <c r="AY286" s="3352">
        <f t="shared" si="130"/>
        <v>0</v>
      </c>
      <c r="AZ286" s="3307">
        <f t="shared" si="131"/>
        <v>0</v>
      </c>
      <c r="BA286" s="3307">
        <f t="shared" si="132"/>
        <v>0</v>
      </c>
      <c r="BB286" s="3307">
        <f t="shared" si="133"/>
        <v>0</v>
      </c>
      <c r="BC286" s="3307">
        <f t="shared" si="134"/>
        <v>0</v>
      </c>
      <c r="BD286" s="3307">
        <f t="shared" si="135"/>
        <v>0</v>
      </c>
      <c r="BE286" s="3307">
        <f t="shared" si="136"/>
        <v>0</v>
      </c>
      <c r="BF286" s="3307">
        <f t="shared" si="137"/>
        <v>0</v>
      </c>
      <c r="BG286" s="3307">
        <f t="shared" si="138"/>
        <v>0</v>
      </c>
      <c r="BH286" s="3307">
        <f t="shared" si="139"/>
        <v>0</v>
      </c>
      <c r="BI286" s="3307">
        <f t="shared" si="140"/>
        <v>0</v>
      </c>
      <c r="BJ286" s="3307">
        <f t="shared" si="141"/>
        <v>0</v>
      </c>
      <c r="BK286" s="3307">
        <f t="shared" si="142"/>
        <v>0</v>
      </c>
      <c r="BL286" s="3307">
        <f t="shared" si="143"/>
        <v>0</v>
      </c>
      <c r="BM286" s="3307">
        <f t="shared" si="144"/>
        <v>0</v>
      </c>
      <c r="BN286" s="3307">
        <f t="shared" si="145"/>
        <v>0</v>
      </c>
      <c r="BO286" s="3307">
        <f t="shared" si="146"/>
        <v>0</v>
      </c>
      <c r="BP286" s="3307">
        <f t="shared" si="147"/>
        <v>0</v>
      </c>
      <c r="BQ286" s="3307">
        <f t="shared" si="148"/>
        <v>0</v>
      </c>
      <c r="BR286" s="3307">
        <f t="shared" si="149"/>
        <v>0</v>
      </c>
      <c r="BS286" s="3307">
        <f t="shared" si="150"/>
        <v>0</v>
      </c>
      <c r="BT286" s="3359">
        <f t="shared" si="151"/>
        <v>0</v>
      </c>
    </row>
    <row r="287" spans="1:72">
      <c r="A287" s="3304"/>
      <c r="B287" s="3305"/>
      <c r="C287" s="3305"/>
      <c r="D287" s="3306"/>
      <c r="E287" s="3307">
        <f t="shared" si="123"/>
        <v>0</v>
      </c>
      <c r="F287" s="3308"/>
      <c r="G287" s="3309">
        <f t="shared" si="124"/>
        <v>0</v>
      </c>
      <c r="H287" s="3310">
        <f t="shared" si="125"/>
        <v>0</v>
      </c>
      <c r="I287" s="3317"/>
      <c r="J287" s="3317"/>
      <c r="K287" s="3317"/>
      <c r="L287" s="3317"/>
      <c r="M287" s="3317"/>
      <c r="N287" s="3317"/>
      <c r="O287" s="3317"/>
      <c r="P287" s="3317"/>
      <c r="Q287" s="3317"/>
      <c r="R287" s="3317"/>
      <c r="S287" s="3317"/>
      <c r="T287" s="3317"/>
      <c r="U287" s="3317"/>
      <c r="V287" s="3317"/>
      <c r="W287" s="3317"/>
      <c r="X287" s="3317"/>
      <c r="Y287" s="3317"/>
      <c r="Z287" s="3317"/>
      <c r="AA287" s="3317"/>
      <c r="AB287" s="3317"/>
      <c r="AC287" s="3307">
        <f t="shared" si="126"/>
        <v>0</v>
      </c>
      <c r="AD287" s="3327"/>
      <c r="AE287" s="3327"/>
      <c r="AF287" s="3327"/>
      <c r="AG287" s="3327"/>
      <c r="AH287" s="3327"/>
      <c r="AI287" s="3327"/>
      <c r="AJ287" s="3327"/>
      <c r="AK287" s="3327"/>
      <c r="AL287" s="3327"/>
      <c r="AM287" s="3327"/>
      <c r="AN287" s="3327"/>
      <c r="AO287" s="3327"/>
      <c r="AP287" s="3327"/>
      <c r="AQ287" s="3327"/>
      <c r="AR287" s="3327"/>
      <c r="AS287" s="3327"/>
      <c r="AT287" s="3337"/>
      <c r="AU287" s="3338"/>
      <c r="AV287" s="1410">
        <f t="shared" si="127"/>
        <v>0</v>
      </c>
      <c r="AW287" s="1410">
        <f t="shared" si="128"/>
        <v>0</v>
      </c>
      <c r="AX287" s="1410">
        <f t="shared" si="129"/>
        <v>0</v>
      </c>
      <c r="AY287" s="3352">
        <f t="shared" si="130"/>
        <v>0</v>
      </c>
      <c r="AZ287" s="3307">
        <f t="shared" si="131"/>
        <v>0</v>
      </c>
      <c r="BA287" s="3307">
        <f t="shared" si="132"/>
        <v>0</v>
      </c>
      <c r="BB287" s="3307">
        <f t="shared" si="133"/>
        <v>0</v>
      </c>
      <c r="BC287" s="3307">
        <f t="shared" si="134"/>
        <v>0</v>
      </c>
      <c r="BD287" s="3307">
        <f t="shared" si="135"/>
        <v>0</v>
      </c>
      <c r="BE287" s="3307">
        <f t="shared" si="136"/>
        <v>0</v>
      </c>
      <c r="BF287" s="3307">
        <f t="shared" si="137"/>
        <v>0</v>
      </c>
      <c r="BG287" s="3307">
        <f t="shared" si="138"/>
        <v>0</v>
      </c>
      <c r="BH287" s="3307">
        <f t="shared" si="139"/>
        <v>0</v>
      </c>
      <c r="BI287" s="3307">
        <f t="shared" si="140"/>
        <v>0</v>
      </c>
      <c r="BJ287" s="3307">
        <f t="shared" si="141"/>
        <v>0</v>
      </c>
      <c r="BK287" s="3307">
        <f t="shared" si="142"/>
        <v>0</v>
      </c>
      <c r="BL287" s="3307">
        <f t="shared" si="143"/>
        <v>0</v>
      </c>
      <c r="BM287" s="3307">
        <f t="shared" si="144"/>
        <v>0</v>
      </c>
      <c r="BN287" s="3307">
        <f t="shared" si="145"/>
        <v>0</v>
      </c>
      <c r="BO287" s="3307">
        <f t="shared" si="146"/>
        <v>0</v>
      </c>
      <c r="BP287" s="3307">
        <f t="shared" si="147"/>
        <v>0</v>
      </c>
      <c r="BQ287" s="3307">
        <f t="shared" si="148"/>
        <v>0</v>
      </c>
      <c r="BR287" s="3307">
        <f t="shared" si="149"/>
        <v>0</v>
      </c>
      <c r="BS287" s="3307">
        <f t="shared" si="150"/>
        <v>0</v>
      </c>
      <c r="BT287" s="3359">
        <f t="shared" si="151"/>
        <v>0</v>
      </c>
    </row>
    <row r="288" spans="1:72">
      <c r="A288" s="3304"/>
      <c r="B288" s="3305"/>
      <c r="C288" s="3305"/>
      <c r="D288" s="3306"/>
      <c r="E288" s="3307">
        <f t="shared" si="123"/>
        <v>0</v>
      </c>
      <c r="F288" s="3308"/>
      <c r="G288" s="3309">
        <f t="shared" si="124"/>
        <v>0</v>
      </c>
      <c r="H288" s="3310">
        <f t="shared" si="125"/>
        <v>0</v>
      </c>
      <c r="I288" s="3317"/>
      <c r="J288" s="3317"/>
      <c r="K288" s="3317"/>
      <c r="L288" s="3317"/>
      <c r="M288" s="3317"/>
      <c r="N288" s="3317"/>
      <c r="O288" s="3317"/>
      <c r="P288" s="3317"/>
      <c r="Q288" s="3317"/>
      <c r="R288" s="3317"/>
      <c r="S288" s="3317"/>
      <c r="T288" s="3317"/>
      <c r="U288" s="3317"/>
      <c r="V288" s="3317"/>
      <c r="W288" s="3317"/>
      <c r="X288" s="3317"/>
      <c r="Y288" s="3317"/>
      <c r="Z288" s="3317"/>
      <c r="AA288" s="3317"/>
      <c r="AB288" s="3317"/>
      <c r="AC288" s="3307">
        <f t="shared" si="126"/>
        <v>0</v>
      </c>
      <c r="AD288" s="3327"/>
      <c r="AE288" s="3327"/>
      <c r="AF288" s="3327"/>
      <c r="AG288" s="3327"/>
      <c r="AH288" s="3327"/>
      <c r="AI288" s="3327"/>
      <c r="AJ288" s="3327"/>
      <c r="AK288" s="3327"/>
      <c r="AL288" s="3327"/>
      <c r="AM288" s="3327"/>
      <c r="AN288" s="3327"/>
      <c r="AO288" s="3327"/>
      <c r="AP288" s="3327"/>
      <c r="AQ288" s="3327"/>
      <c r="AR288" s="3327"/>
      <c r="AS288" s="3327"/>
      <c r="AT288" s="3337"/>
      <c r="AU288" s="3338"/>
      <c r="AV288" s="1410">
        <f t="shared" si="127"/>
        <v>0</v>
      </c>
      <c r="AW288" s="1410">
        <f t="shared" si="128"/>
        <v>0</v>
      </c>
      <c r="AX288" s="1410">
        <f t="shared" si="129"/>
        <v>0</v>
      </c>
      <c r="AY288" s="3352">
        <f t="shared" si="130"/>
        <v>0</v>
      </c>
      <c r="AZ288" s="3307">
        <f t="shared" si="131"/>
        <v>0</v>
      </c>
      <c r="BA288" s="3307">
        <f t="shared" si="132"/>
        <v>0</v>
      </c>
      <c r="BB288" s="3307">
        <f t="shared" si="133"/>
        <v>0</v>
      </c>
      <c r="BC288" s="3307">
        <f t="shared" si="134"/>
        <v>0</v>
      </c>
      <c r="BD288" s="3307">
        <f t="shared" si="135"/>
        <v>0</v>
      </c>
      <c r="BE288" s="3307">
        <f t="shared" si="136"/>
        <v>0</v>
      </c>
      <c r="BF288" s="3307">
        <f t="shared" si="137"/>
        <v>0</v>
      </c>
      <c r="BG288" s="3307">
        <f t="shared" si="138"/>
        <v>0</v>
      </c>
      <c r="BH288" s="3307">
        <f t="shared" si="139"/>
        <v>0</v>
      </c>
      <c r="BI288" s="3307">
        <f t="shared" si="140"/>
        <v>0</v>
      </c>
      <c r="BJ288" s="3307">
        <f t="shared" si="141"/>
        <v>0</v>
      </c>
      <c r="BK288" s="3307">
        <f t="shared" si="142"/>
        <v>0</v>
      </c>
      <c r="BL288" s="3307">
        <f t="shared" si="143"/>
        <v>0</v>
      </c>
      <c r="BM288" s="3307">
        <f t="shared" si="144"/>
        <v>0</v>
      </c>
      <c r="BN288" s="3307">
        <f t="shared" si="145"/>
        <v>0</v>
      </c>
      <c r="BO288" s="3307">
        <f t="shared" si="146"/>
        <v>0</v>
      </c>
      <c r="BP288" s="3307">
        <f t="shared" si="147"/>
        <v>0</v>
      </c>
      <c r="BQ288" s="3307">
        <f t="shared" si="148"/>
        <v>0</v>
      </c>
      <c r="BR288" s="3307">
        <f t="shared" si="149"/>
        <v>0</v>
      </c>
      <c r="BS288" s="3307">
        <f t="shared" si="150"/>
        <v>0</v>
      </c>
      <c r="BT288" s="3359">
        <f t="shared" si="151"/>
        <v>0</v>
      </c>
    </row>
    <row r="289" spans="1:72">
      <c r="A289" s="3304"/>
      <c r="B289" s="3305"/>
      <c r="C289" s="3305"/>
      <c r="D289" s="3306"/>
      <c r="E289" s="3307">
        <f t="shared" si="123"/>
        <v>0</v>
      </c>
      <c r="F289" s="3308"/>
      <c r="G289" s="3309">
        <f t="shared" si="124"/>
        <v>0</v>
      </c>
      <c r="H289" s="3310">
        <f t="shared" si="125"/>
        <v>0</v>
      </c>
      <c r="I289" s="3317"/>
      <c r="J289" s="3317"/>
      <c r="K289" s="3317"/>
      <c r="L289" s="3317"/>
      <c r="M289" s="3317"/>
      <c r="N289" s="3317"/>
      <c r="O289" s="3317"/>
      <c r="P289" s="3317"/>
      <c r="Q289" s="3317"/>
      <c r="R289" s="3317"/>
      <c r="S289" s="3317"/>
      <c r="T289" s="3317"/>
      <c r="U289" s="3317"/>
      <c r="V289" s="3317"/>
      <c r="W289" s="3317"/>
      <c r="X289" s="3317"/>
      <c r="Y289" s="3317"/>
      <c r="Z289" s="3317"/>
      <c r="AA289" s="3317"/>
      <c r="AB289" s="3317"/>
      <c r="AC289" s="3307">
        <f t="shared" si="126"/>
        <v>0</v>
      </c>
      <c r="AD289" s="3327"/>
      <c r="AE289" s="3327"/>
      <c r="AF289" s="3327"/>
      <c r="AG289" s="3327"/>
      <c r="AH289" s="3327"/>
      <c r="AI289" s="3327"/>
      <c r="AJ289" s="3327"/>
      <c r="AK289" s="3327"/>
      <c r="AL289" s="3327"/>
      <c r="AM289" s="3327"/>
      <c r="AN289" s="3327"/>
      <c r="AO289" s="3327"/>
      <c r="AP289" s="3327"/>
      <c r="AQ289" s="3327"/>
      <c r="AR289" s="3327"/>
      <c r="AS289" s="3327"/>
      <c r="AT289" s="3337"/>
      <c r="AU289" s="3338"/>
      <c r="AV289" s="1410">
        <f t="shared" si="127"/>
        <v>0</v>
      </c>
      <c r="AW289" s="1410">
        <f t="shared" si="128"/>
        <v>0</v>
      </c>
      <c r="AX289" s="1410">
        <f t="shared" si="129"/>
        <v>0</v>
      </c>
      <c r="AY289" s="3352">
        <f t="shared" si="130"/>
        <v>0</v>
      </c>
      <c r="AZ289" s="3307">
        <f t="shared" si="131"/>
        <v>0</v>
      </c>
      <c r="BA289" s="3307">
        <f t="shared" si="132"/>
        <v>0</v>
      </c>
      <c r="BB289" s="3307">
        <f t="shared" si="133"/>
        <v>0</v>
      </c>
      <c r="BC289" s="3307">
        <f t="shared" si="134"/>
        <v>0</v>
      </c>
      <c r="BD289" s="3307">
        <f t="shared" si="135"/>
        <v>0</v>
      </c>
      <c r="BE289" s="3307">
        <f t="shared" si="136"/>
        <v>0</v>
      </c>
      <c r="BF289" s="3307">
        <f t="shared" si="137"/>
        <v>0</v>
      </c>
      <c r="BG289" s="3307">
        <f t="shared" si="138"/>
        <v>0</v>
      </c>
      <c r="BH289" s="3307">
        <f t="shared" si="139"/>
        <v>0</v>
      </c>
      <c r="BI289" s="3307">
        <f t="shared" si="140"/>
        <v>0</v>
      </c>
      <c r="BJ289" s="3307">
        <f t="shared" si="141"/>
        <v>0</v>
      </c>
      <c r="BK289" s="3307">
        <f t="shared" si="142"/>
        <v>0</v>
      </c>
      <c r="BL289" s="3307">
        <f t="shared" si="143"/>
        <v>0</v>
      </c>
      <c r="BM289" s="3307">
        <f t="shared" si="144"/>
        <v>0</v>
      </c>
      <c r="BN289" s="3307">
        <f t="shared" si="145"/>
        <v>0</v>
      </c>
      <c r="BO289" s="3307">
        <f t="shared" si="146"/>
        <v>0</v>
      </c>
      <c r="BP289" s="3307">
        <f t="shared" si="147"/>
        <v>0</v>
      </c>
      <c r="BQ289" s="3307">
        <f t="shared" si="148"/>
        <v>0</v>
      </c>
      <c r="BR289" s="3307">
        <f t="shared" si="149"/>
        <v>0</v>
      </c>
      <c r="BS289" s="3307">
        <f t="shared" si="150"/>
        <v>0</v>
      </c>
      <c r="BT289" s="3359">
        <f t="shared" si="151"/>
        <v>0</v>
      </c>
    </row>
    <row r="290" spans="1:72">
      <c r="A290" s="3304"/>
      <c r="B290" s="3305"/>
      <c r="C290" s="3305"/>
      <c r="D290" s="3306"/>
      <c r="E290" s="3307">
        <f t="shared" si="123"/>
        <v>0</v>
      </c>
      <c r="F290" s="3308"/>
      <c r="G290" s="3309">
        <f t="shared" si="124"/>
        <v>0</v>
      </c>
      <c r="H290" s="3310">
        <f t="shared" si="125"/>
        <v>0</v>
      </c>
      <c r="I290" s="3317"/>
      <c r="J290" s="3317"/>
      <c r="K290" s="3317"/>
      <c r="L290" s="3317"/>
      <c r="M290" s="3317"/>
      <c r="N290" s="3317"/>
      <c r="O290" s="3317"/>
      <c r="P290" s="3317"/>
      <c r="Q290" s="3317"/>
      <c r="R290" s="3317"/>
      <c r="S290" s="3317"/>
      <c r="T290" s="3317"/>
      <c r="U290" s="3317"/>
      <c r="V290" s="3317"/>
      <c r="W290" s="3317"/>
      <c r="X290" s="3317"/>
      <c r="Y290" s="3317"/>
      <c r="Z290" s="3317"/>
      <c r="AA290" s="3317"/>
      <c r="AB290" s="3317"/>
      <c r="AC290" s="3307">
        <f t="shared" si="126"/>
        <v>0</v>
      </c>
      <c r="AD290" s="3327"/>
      <c r="AE290" s="3327"/>
      <c r="AF290" s="3327"/>
      <c r="AG290" s="3327"/>
      <c r="AH290" s="3327"/>
      <c r="AI290" s="3327"/>
      <c r="AJ290" s="3327"/>
      <c r="AK290" s="3327"/>
      <c r="AL290" s="3327"/>
      <c r="AM290" s="3327"/>
      <c r="AN290" s="3327"/>
      <c r="AO290" s="3327"/>
      <c r="AP290" s="3327"/>
      <c r="AQ290" s="3327"/>
      <c r="AR290" s="3327"/>
      <c r="AS290" s="3327"/>
      <c r="AT290" s="3337"/>
      <c r="AU290" s="3338"/>
      <c r="AV290" s="1410">
        <f t="shared" si="127"/>
        <v>0</v>
      </c>
      <c r="AW290" s="1410">
        <f t="shared" si="128"/>
        <v>0</v>
      </c>
      <c r="AX290" s="1410">
        <f t="shared" si="129"/>
        <v>0</v>
      </c>
      <c r="AY290" s="3352">
        <f t="shared" si="130"/>
        <v>0</v>
      </c>
      <c r="AZ290" s="3307">
        <f t="shared" si="131"/>
        <v>0</v>
      </c>
      <c r="BA290" s="3307">
        <f t="shared" si="132"/>
        <v>0</v>
      </c>
      <c r="BB290" s="3307">
        <f t="shared" si="133"/>
        <v>0</v>
      </c>
      <c r="BC290" s="3307">
        <f t="shared" si="134"/>
        <v>0</v>
      </c>
      <c r="BD290" s="3307">
        <f t="shared" si="135"/>
        <v>0</v>
      </c>
      <c r="BE290" s="3307">
        <f t="shared" si="136"/>
        <v>0</v>
      </c>
      <c r="BF290" s="3307">
        <f t="shared" si="137"/>
        <v>0</v>
      </c>
      <c r="BG290" s="3307">
        <f t="shared" si="138"/>
        <v>0</v>
      </c>
      <c r="BH290" s="3307">
        <f t="shared" si="139"/>
        <v>0</v>
      </c>
      <c r="BI290" s="3307">
        <f t="shared" si="140"/>
        <v>0</v>
      </c>
      <c r="BJ290" s="3307">
        <f t="shared" si="141"/>
        <v>0</v>
      </c>
      <c r="BK290" s="3307">
        <f t="shared" si="142"/>
        <v>0</v>
      </c>
      <c r="BL290" s="3307">
        <f t="shared" si="143"/>
        <v>0</v>
      </c>
      <c r="BM290" s="3307">
        <f t="shared" si="144"/>
        <v>0</v>
      </c>
      <c r="BN290" s="3307">
        <f t="shared" si="145"/>
        <v>0</v>
      </c>
      <c r="BO290" s="3307">
        <f t="shared" si="146"/>
        <v>0</v>
      </c>
      <c r="BP290" s="3307">
        <f t="shared" si="147"/>
        <v>0</v>
      </c>
      <c r="BQ290" s="3307">
        <f t="shared" si="148"/>
        <v>0</v>
      </c>
      <c r="BR290" s="3307">
        <f t="shared" si="149"/>
        <v>0</v>
      </c>
      <c r="BS290" s="3307">
        <f t="shared" si="150"/>
        <v>0</v>
      </c>
      <c r="BT290" s="3359">
        <f t="shared" si="151"/>
        <v>0</v>
      </c>
    </row>
    <row r="291" spans="1:72">
      <c r="A291" s="3304"/>
      <c r="B291" s="3305"/>
      <c r="C291" s="3305"/>
      <c r="D291" s="3306"/>
      <c r="E291" s="3307">
        <f t="shared" si="123"/>
        <v>0</v>
      </c>
      <c r="F291" s="3308"/>
      <c r="G291" s="3309">
        <f t="shared" si="124"/>
        <v>0</v>
      </c>
      <c r="H291" s="3310">
        <f t="shared" si="125"/>
        <v>0</v>
      </c>
      <c r="I291" s="3317"/>
      <c r="J291" s="3317"/>
      <c r="K291" s="3317"/>
      <c r="L291" s="3317"/>
      <c r="M291" s="3317"/>
      <c r="N291" s="3317"/>
      <c r="O291" s="3317"/>
      <c r="P291" s="3317"/>
      <c r="Q291" s="3317"/>
      <c r="R291" s="3317"/>
      <c r="S291" s="3317"/>
      <c r="T291" s="3317"/>
      <c r="U291" s="3317"/>
      <c r="V291" s="3317"/>
      <c r="W291" s="3317"/>
      <c r="X291" s="3317"/>
      <c r="Y291" s="3317"/>
      <c r="Z291" s="3317"/>
      <c r="AA291" s="3317"/>
      <c r="AB291" s="3317"/>
      <c r="AC291" s="3307">
        <f t="shared" si="126"/>
        <v>0</v>
      </c>
      <c r="AD291" s="3327"/>
      <c r="AE291" s="3327"/>
      <c r="AF291" s="3327"/>
      <c r="AG291" s="3327"/>
      <c r="AH291" s="3327"/>
      <c r="AI291" s="3327"/>
      <c r="AJ291" s="3327"/>
      <c r="AK291" s="3327"/>
      <c r="AL291" s="3327"/>
      <c r="AM291" s="3327"/>
      <c r="AN291" s="3327"/>
      <c r="AO291" s="3327"/>
      <c r="AP291" s="3327"/>
      <c r="AQ291" s="3327"/>
      <c r="AR291" s="3327"/>
      <c r="AS291" s="3327"/>
      <c r="AT291" s="3337"/>
      <c r="AU291" s="3338"/>
      <c r="AV291" s="1410">
        <f t="shared" si="127"/>
        <v>0</v>
      </c>
      <c r="AW291" s="1410">
        <f t="shared" si="128"/>
        <v>0</v>
      </c>
      <c r="AX291" s="1410">
        <f t="shared" si="129"/>
        <v>0</v>
      </c>
      <c r="AY291" s="3352">
        <f t="shared" si="130"/>
        <v>0</v>
      </c>
      <c r="AZ291" s="3307">
        <f t="shared" si="131"/>
        <v>0</v>
      </c>
      <c r="BA291" s="3307">
        <f t="shared" si="132"/>
        <v>0</v>
      </c>
      <c r="BB291" s="3307">
        <f t="shared" si="133"/>
        <v>0</v>
      </c>
      <c r="BC291" s="3307">
        <f t="shared" si="134"/>
        <v>0</v>
      </c>
      <c r="BD291" s="3307">
        <f t="shared" si="135"/>
        <v>0</v>
      </c>
      <c r="BE291" s="3307">
        <f t="shared" si="136"/>
        <v>0</v>
      </c>
      <c r="BF291" s="3307">
        <f t="shared" si="137"/>
        <v>0</v>
      </c>
      <c r="BG291" s="3307">
        <f t="shared" si="138"/>
        <v>0</v>
      </c>
      <c r="BH291" s="3307">
        <f t="shared" si="139"/>
        <v>0</v>
      </c>
      <c r="BI291" s="3307">
        <f t="shared" si="140"/>
        <v>0</v>
      </c>
      <c r="BJ291" s="3307">
        <f t="shared" si="141"/>
        <v>0</v>
      </c>
      <c r="BK291" s="3307">
        <f t="shared" si="142"/>
        <v>0</v>
      </c>
      <c r="BL291" s="3307">
        <f t="shared" si="143"/>
        <v>0</v>
      </c>
      <c r="BM291" s="3307">
        <f t="shared" si="144"/>
        <v>0</v>
      </c>
      <c r="BN291" s="3307">
        <f t="shared" si="145"/>
        <v>0</v>
      </c>
      <c r="BO291" s="3307">
        <f t="shared" si="146"/>
        <v>0</v>
      </c>
      <c r="BP291" s="3307">
        <f t="shared" si="147"/>
        <v>0</v>
      </c>
      <c r="BQ291" s="3307">
        <f t="shared" si="148"/>
        <v>0</v>
      </c>
      <c r="BR291" s="3307">
        <f t="shared" si="149"/>
        <v>0</v>
      </c>
      <c r="BS291" s="3307">
        <f t="shared" si="150"/>
        <v>0</v>
      </c>
      <c r="BT291" s="3359">
        <f t="shared" si="151"/>
        <v>0</v>
      </c>
    </row>
    <row r="292" spans="1:72">
      <c r="A292" s="3304"/>
      <c r="B292" s="3305"/>
      <c r="C292" s="3305"/>
      <c r="D292" s="3306"/>
      <c r="E292" s="3307">
        <f t="shared" si="123"/>
        <v>0</v>
      </c>
      <c r="F292" s="3308"/>
      <c r="G292" s="3309">
        <f t="shared" si="124"/>
        <v>0</v>
      </c>
      <c r="H292" s="3310">
        <f t="shared" si="125"/>
        <v>0</v>
      </c>
      <c r="I292" s="3317"/>
      <c r="J292" s="3317"/>
      <c r="K292" s="3317"/>
      <c r="L292" s="3317"/>
      <c r="M292" s="3317"/>
      <c r="N292" s="3317"/>
      <c r="O292" s="3317"/>
      <c r="P292" s="3317"/>
      <c r="Q292" s="3317"/>
      <c r="R292" s="3317"/>
      <c r="S292" s="3317"/>
      <c r="T292" s="3317"/>
      <c r="U292" s="3317"/>
      <c r="V292" s="3317"/>
      <c r="W292" s="3317"/>
      <c r="X292" s="3317"/>
      <c r="Y292" s="3317"/>
      <c r="Z292" s="3317"/>
      <c r="AA292" s="3317"/>
      <c r="AB292" s="3317"/>
      <c r="AC292" s="3307">
        <f t="shared" si="126"/>
        <v>0</v>
      </c>
      <c r="AD292" s="3327"/>
      <c r="AE292" s="3327"/>
      <c r="AF292" s="3327"/>
      <c r="AG292" s="3327"/>
      <c r="AH292" s="3327"/>
      <c r="AI292" s="3327"/>
      <c r="AJ292" s="3327"/>
      <c r="AK292" s="3327"/>
      <c r="AL292" s="3327"/>
      <c r="AM292" s="3327"/>
      <c r="AN292" s="3327"/>
      <c r="AO292" s="3327"/>
      <c r="AP292" s="3327"/>
      <c r="AQ292" s="3327"/>
      <c r="AR292" s="3327"/>
      <c r="AS292" s="3327"/>
      <c r="AT292" s="3337"/>
      <c r="AU292" s="3338"/>
      <c r="AV292" s="1410">
        <f t="shared" si="127"/>
        <v>0</v>
      </c>
      <c r="AW292" s="1410">
        <f t="shared" si="128"/>
        <v>0</v>
      </c>
      <c r="AX292" s="1410">
        <f t="shared" si="129"/>
        <v>0</v>
      </c>
      <c r="AY292" s="3352">
        <f t="shared" si="130"/>
        <v>0</v>
      </c>
      <c r="AZ292" s="3307">
        <f t="shared" si="131"/>
        <v>0</v>
      </c>
      <c r="BA292" s="3307">
        <f t="shared" si="132"/>
        <v>0</v>
      </c>
      <c r="BB292" s="3307">
        <f t="shared" si="133"/>
        <v>0</v>
      </c>
      <c r="BC292" s="3307">
        <f t="shared" si="134"/>
        <v>0</v>
      </c>
      <c r="BD292" s="3307">
        <f t="shared" si="135"/>
        <v>0</v>
      </c>
      <c r="BE292" s="3307">
        <f t="shared" si="136"/>
        <v>0</v>
      </c>
      <c r="BF292" s="3307">
        <f t="shared" si="137"/>
        <v>0</v>
      </c>
      <c r="BG292" s="3307">
        <f t="shared" si="138"/>
        <v>0</v>
      </c>
      <c r="BH292" s="3307">
        <f t="shared" si="139"/>
        <v>0</v>
      </c>
      <c r="BI292" s="3307">
        <f t="shared" si="140"/>
        <v>0</v>
      </c>
      <c r="BJ292" s="3307">
        <f t="shared" si="141"/>
        <v>0</v>
      </c>
      <c r="BK292" s="3307">
        <f t="shared" si="142"/>
        <v>0</v>
      </c>
      <c r="BL292" s="3307">
        <f t="shared" si="143"/>
        <v>0</v>
      </c>
      <c r="BM292" s="3307">
        <f t="shared" si="144"/>
        <v>0</v>
      </c>
      <c r="BN292" s="3307">
        <f t="shared" si="145"/>
        <v>0</v>
      </c>
      <c r="BO292" s="3307">
        <f t="shared" si="146"/>
        <v>0</v>
      </c>
      <c r="BP292" s="3307">
        <f t="shared" si="147"/>
        <v>0</v>
      </c>
      <c r="BQ292" s="3307">
        <f t="shared" si="148"/>
        <v>0</v>
      </c>
      <c r="BR292" s="3307">
        <f t="shared" si="149"/>
        <v>0</v>
      </c>
      <c r="BS292" s="3307">
        <f t="shared" si="150"/>
        <v>0</v>
      </c>
      <c r="BT292" s="3359">
        <f t="shared" si="151"/>
        <v>0</v>
      </c>
    </row>
    <row r="293" spans="1:72">
      <c r="A293" s="3304"/>
      <c r="B293" s="3305"/>
      <c r="C293" s="3305"/>
      <c r="D293" s="3306"/>
      <c r="E293" s="3307">
        <f t="shared" si="123"/>
        <v>0</v>
      </c>
      <c r="F293" s="3308"/>
      <c r="G293" s="3309">
        <f t="shared" si="124"/>
        <v>0</v>
      </c>
      <c r="H293" s="3310">
        <f t="shared" si="125"/>
        <v>0</v>
      </c>
      <c r="I293" s="3317"/>
      <c r="J293" s="3317"/>
      <c r="K293" s="3317"/>
      <c r="L293" s="3317"/>
      <c r="M293" s="3317"/>
      <c r="N293" s="3317"/>
      <c r="O293" s="3317"/>
      <c r="P293" s="3317"/>
      <c r="Q293" s="3317"/>
      <c r="R293" s="3317"/>
      <c r="S293" s="3317"/>
      <c r="T293" s="3317"/>
      <c r="U293" s="3317"/>
      <c r="V293" s="3317"/>
      <c r="W293" s="3317"/>
      <c r="X293" s="3317"/>
      <c r="Y293" s="3317"/>
      <c r="Z293" s="3317"/>
      <c r="AA293" s="3317"/>
      <c r="AB293" s="3317"/>
      <c r="AC293" s="3307">
        <f t="shared" si="126"/>
        <v>0</v>
      </c>
      <c r="AD293" s="3327"/>
      <c r="AE293" s="3327"/>
      <c r="AF293" s="3327"/>
      <c r="AG293" s="3327"/>
      <c r="AH293" s="3327"/>
      <c r="AI293" s="3327"/>
      <c r="AJ293" s="3327"/>
      <c r="AK293" s="3327"/>
      <c r="AL293" s="3327"/>
      <c r="AM293" s="3327"/>
      <c r="AN293" s="3327"/>
      <c r="AO293" s="3327"/>
      <c r="AP293" s="3327"/>
      <c r="AQ293" s="3327"/>
      <c r="AR293" s="3327"/>
      <c r="AS293" s="3327"/>
      <c r="AT293" s="3337"/>
      <c r="AU293" s="3338"/>
      <c r="AV293" s="1410">
        <f t="shared" si="127"/>
        <v>0</v>
      </c>
      <c r="AW293" s="1410">
        <f t="shared" si="128"/>
        <v>0</v>
      </c>
      <c r="AX293" s="1410">
        <f t="shared" si="129"/>
        <v>0</v>
      </c>
      <c r="AY293" s="3352">
        <f t="shared" si="130"/>
        <v>0</v>
      </c>
      <c r="AZ293" s="3307">
        <f t="shared" si="131"/>
        <v>0</v>
      </c>
      <c r="BA293" s="3307">
        <f t="shared" si="132"/>
        <v>0</v>
      </c>
      <c r="BB293" s="3307">
        <f t="shared" si="133"/>
        <v>0</v>
      </c>
      <c r="BC293" s="3307">
        <f t="shared" si="134"/>
        <v>0</v>
      </c>
      <c r="BD293" s="3307">
        <f t="shared" si="135"/>
        <v>0</v>
      </c>
      <c r="BE293" s="3307">
        <f t="shared" si="136"/>
        <v>0</v>
      </c>
      <c r="BF293" s="3307">
        <f t="shared" si="137"/>
        <v>0</v>
      </c>
      <c r="BG293" s="3307">
        <f t="shared" si="138"/>
        <v>0</v>
      </c>
      <c r="BH293" s="3307">
        <f t="shared" si="139"/>
        <v>0</v>
      </c>
      <c r="BI293" s="3307">
        <f t="shared" si="140"/>
        <v>0</v>
      </c>
      <c r="BJ293" s="3307">
        <f t="shared" si="141"/>
        <v>0</v>
      </c>
      <c r="BK293" s="3307">
        <f t="shared" si="142"/>
        <v>0</v>
      </c>
      <c r="BL293" s="3307">
        <f t="shared" si="143"/>
        <v>0</v>
      </c>
      <c r="BM293" s="3307">
        <f t="shared" si="144"/>
        <v>0</v>
      </c>
      <c r="BN293" s="3307">
        <f t="shared" si="145"/>
        <v>0</v>
      </c>
      <c r="BO293" s="3307">
        <f t="shared" si="146"/>
        <v>0</v>
      </c>
      <c r="BP293" s="3307">
        <f t="shared" si="147"/>
        <v>0</v>
      </c>
      <c r="BQ293" s="3307">
        <f t="shared" si="148"/>
        <v>0</v>
      </c>
      <c r="BR293" s="3307">
        <f t="shared" si="149"/>
        <v>0</v>
      </c>
      <c r="BS293" s="3307">
        <f t="shared" si="150"/>
        <v>0</v>
      </c>
      <c r="BT293" s="3359">
        <f t="shared" si="151"/>
        <v>0</v>
      </c>
    </row>
    <row r="294" spans="1:72">
      <c r="A294" s="3304"/>
      <c r="B294" s="3305"/>
      <c r="C294" s="3305"/>
      <c r="D294" s="3306"/>
      <c r="E294" s="3307">
        <f t="shared" si="123"/>
        <v>0</v>
      </c>
      <c r="F294" s="3308"/>
      <c r="G294" s="3309">
        <f t="shared" si="124"/>
        <v>0</v>
      </c>
      <c r="H294" s="3310">
        <f t="shared" si="125"/>
        <v>0</v>
      </c>
      <c r="I294" s="3317"/>
      <c r="J294" s="3317"/>
      <c r="K294" s="3317"/>
      <c r="L294" s="3317"/>
      <c r="M294" s="3317"/>
      <c r="N294" s="3317"/>
      <c r="O294" s="3317"/>
      <c r="P294" s="3317"/>
      <c r="Q294" s="3317"/>
      <c r="R294" s="3317"/>
      <c r="S294" s="3317"/>
      <c r="T294" s="3317"/>
      <c r="U294" s="3317"/>
      <c r="V294" s="3317"/>
      <c r="W294" s="3317"/>
      <c r="X294" s="3317"/>
      <c r="Y294" s="3317"/>
      <c r="Z294" s="3317"/>
      <c r="AA294" s="3317"/>
      <c r="AB294" s="3317"/>
      <c r="AC294" s="3307">
        <f t="shared" si="126"/>
        <v>0</v>
      </c>
      <c r="AD294" s="3327"/>
      <c r="AE294" s="3327"/>
      <c r="AF294" s="3327"/>
      <c r="AG294" s="3327"/>
      <c r="AH294" s="3327"/>
      <c r="AI294" s="3327"/>
      <c r="AJ294" s="3327"/>
      <c r="AK294" s="3327"/>
      <c r="AL294" s="3327"/>
      <c r="AM294" s="3327"/>
      <c r="AN294" s="3327"/>
      <c r="AO294" s="3327"/>
      <c r="AP294" s="3327"/>
      <c r="AQ294" s="3327"/>
      <c r="AR294" s="3327"/>
      <c r="AS294" s="3327"/>
      <c r="AT294" s="3337"/>
      <c r="AU294" s="3338"/>
      <c r="AV294" s="1410">
        <f t="shared" si="127"/>
        <v>0</v>
      </c>
      <c r="AW294" s="1410">
        <f t="shared" si="128"/>
        <v>0</v>
      </c>
      <c r="AX294" s="1410">
        <f t="shared" si="129"/>
        <v>0</v>
      </c>
      <c r="AY294" s="3352">
        <f t="shared" si="130"/>
        <v>0</v>
      </c>
      <c r="AZ294" s="3307">
        <f t="shared" si="131"/>
        <v>0</v>
      </c>
      <c r="BA294" s="3307">
        <f t="shared" si="132"/>
        <v>0</v>
      </c>
      <c r="BB294" s="3307">
        <f t="shared" si="133"/>
        <v>0</v>
      </c>
      <c r="BC294" s="3307">
        <f t="shared" si="134"/>
        <v>0</v>
      </c>
      <c r="BD294" s="3307">
        <f t="shared" si="135"/>
        <v>0</v>
      </c>
      <c r="BE294" s="3307">
        <f t="shared" si="136"/>
        <v>0</v>
      </c>
      <c r="BF294" s="3307">
        <f t="shared" si="137"/>
        <v>0</v>
      </c>
      <c r="BG294" s="3307">
        <f t="shared" si="138"/>
        <v>0</v>
      </c>
      <c r="BH294" s="3307">
        <f t="shared" si="139"/>
        <v>0</v>
      </c>
      <c r="BI294" s="3307">
        <f t="shared" si="140"/>
        <v>0</v>
      </c>
      <c r="BJ294" s="3307">
        <f t="shared" si="141"/>
        <v>0</v>
      </c>
      <c r="BK294" s="3307">
        <f t="shared" si="142"/>
        <v>0</v>
      </c>
      <c r="BL294" s="3307">
        <f t="shared" si="143"/>
        <v>0</v>
      </c>
      <c r="BM294" s="3307">
        <f t="shared" si="144"/>
        <v>0</v>
      </c>
      <c r="BN294" s="3307">
        <f t="shared" si="145"/>
        <v>0</v>
      </c>
      <c r="BO294" s="3307">
        <f t="shared" si="146"/>
        <v>0</v>
      </c>
      <c r="BP294" s="3307">
        <f t="shared" si="147"/>
        <v>0</v>
      </c>
      <c r="BQ294" s="3307">
        <f t="shared" si="148"/>
        <v>0</v>
      </c>
      <c r="BR294" s="3307">
        <f t="shared" si="149"/>
        <v>0</v>
      </c>
      <c r="BS294" s="3307">
        <f t="shared" si="150"/>
        <v>0</v>
      </c>
      <c r="BT294" s="3359">
        <f t="shared" si="151"/>
        <v>0</v>
      </c>
    </row>
    <row r="295" spans="1:72">
      <c r="A295" s="3304"/>
      <c r="B295" s="3305"/>
      <c r="C295" s="3305"/>
      <c r="D295" s="3306"/>
      <c r="E295" s="3307">
        <f t="shared" si="123"/>
        <v>0</v>
      </c>
      <c r="F295" s="3308"/>
      <c r="G295" s="3309">
        <f t="shared" si="124"/>
        <v>0</v>
      </c>
      <c r="H295" s="3310">
        <f t="shared" si="125"/>
        <v>0</v>
      </c>
      <c r="I295" s="3317"/>
      <c r="J295" s="3317"/>
      <c r="K295" s="3317"/>
      <c r="L295" s="3317"/>
      <c r="M295" s="3317"/>
      <c r="N295" s="3317"/>
      <c r="O295" s="3317"/>
      <c r="P295" s="3317"/>
      <c r="Q295" s="3317"/>
      <c r="R295" s="3317"/>
      <c r="S295" s="3317"/>
      <c r="T295" s="3317"/>
      <c r="U295" s="3317"/>
      <c r="V295" s="3317"/>
      <c r="W295" s="3317"/>
      <c r="X295" s="3317"/>
      <c r="Y295" s="3317"/>
      <c r="Z295" s="3317"/>
      <c r="AA295" s="3317"/>
      <c r="AB295" s="3317"/>
      <c r="AC295" s="3307">
        <f t="shared" si="126"/>
        <v>0</v>
      </c>
      <c r="AD295" s="3327"/>
      <c r="AE295" s="3327"/>
      <c r="AF295" s="3327"/>
      <c r="AG295" s="3327"/>
      <c r="AH295" s="3327"/>
      <c r="AI295" s="3327"/>
      <c r="AJ295" s="3327"/>
      <c r="AK295" s="3327"/>
      <c r="AL295" s="3327"/>
      <c r="AM295" s="3327"/>
      <c r="AN295" s="3327"/>
      <c r="AO295" s="3327"/>
      <c r="AP295" s="3327"/>
      <c r="AQ295" s="3327"/>
      <c r="AR295" s="3327"/>
      <c r="AS295" s="3327"/>
      <c r="AT295" s="3337"/>
      <c r="AU295" s="3338"/>
      <c r="AV295" s="1410">
        <f t="shared" si="127"/>
        <v>0</v>
      </c>
      <c r="AW295" s="1410">
        <f t="shared" si="128"/>
        <v>0</v>
      </c>
      <c r="AX295" s="1410">
        <f t="shared" si="129"/>
        <v>0</v>
      </c>
      <c r="AY295" s="3352">
        <f t="shared" si="130"/>
        <v>0</v>
      </c>
      <c r="AZ295" s="3307">
        <f t="shared" si="131"/>
        <v>0</v>
      </c>
      <c r="BA295" s="3307">
        <f t="shared" si="132"/>
        <v>0</v>
      </c>
      <c r="BB295" s="3307">
        <f t="shared" si="133"/>
        <v>0</v>
      </c>
      <c r="BC295" s="3307">
        <f t="shared" si="134"/>
        <v>0</v>
      </c>
      <c r="BD295" s="3307">
        <f t="shared" si="135"/>
        <v>0</v>
      </c>
      <c r="BE295" s="3307">
        <f t="shared" si="136"/>
        <v>0</v>
      </c>
      <c r="BF295" s="3307">
        <f t="shared" si="137"/>
        <v>0</v>
      </c>
      <c r="BG295" s="3307">
        <f t="shared" si="138"/>
        <v>0</v>
      </c>
      <c r="BH295" s="3307">
        <f t="shared" si="139"/>
        <v>0</v>
      </c>
      <c r="BI295" s="3307">
        <f t="shared" si="140"/>
        <v>0</v>
      </c>
      <c r="BJ295" s="3307">
        <f t="shared" si="141"/>
        <v>0</v>
      </c>
      <c r="BK295" s="3307">
        <f t="shared" si="142"/>
        <v>0</v>
      </c>
      <c r="BL295" s="3307">
        <f t="shared" si="143"/>
        <v>0</v>
      </c>
      <c r="BM295" s="3307">
        <f t="shared" si="144"/>
        <v>0</v>
      </c>
      <c r="BN295" s="3307">
        <f t="shared" si="145"/>
        <v>0</v>
      </c>
      <c r="BO295" s="3307">
        <f t="shared" si="146"/>
        <v>0</v>
      </c>
      <c r="BP295" s="3307">
        <f t="shared" si="147"/>
        <v>0</v>
      </c>
      <c r="BQ295" s="3307">
        <f t="shared" si="148"/>
        <v>0</v>
      </c>
      <c r="BR295" s="3307">
        <f t="shared" si="149"/>
        <v>0</v>
      </c>
      <c r="BS295" s="3307">
        <f t="shared" si="150"/>
        <v>0</v>
      </c>
      <c r="BT295" s="3359">
        <f t="shared" si="151"/>
        <v>0</v>
      </c>
    </row>
    <row r="296" spans="1:72">
      <c r="A296" s="3304"/>
      <c r="B296" s="3305"/>
      <c r="C296" s="3305"/>
      <c r="D296" s="3306"/>
      <c r="E296" s="3307">
        <f t="shared" si="123"/>
        <v>0</v>
      </c>
      <c r="F296" s="3308"/>
      <c r="G296" s="3309">
        <f t="shared" si="124"/>
        <v>0</v>
      </c>
      <c r="H296" s="3310">
        <f t="shared" si="125"/>
        <v>0</v>
      </c>
      <c r="I296" s="3317"/>
      <c r="J296" s="3317"/>
      <c r="K296" s="3317"/>
      <c r="L296" s="3317"/>
      <c r="M296" s="3317"/>
      <c r="N296" s="3317"/>
      <c r="O296" s="3317"/>
      <c r="P296" s="3317"/>
      <c r="Q296" s="3317"/>
      <c r="R296" s="3317"/>
      <c r="S296" s="3317"/>
      <c r="T296" s="3317"/>
      <c r="U296" s="3317"/>
      <c r="V296" s="3317"/>
      <c r="W296" s="3317"/>
      <c r="X296" s="3317"/>
      <c r="Y296" s="3317"/>
      <c r="Z296" s="3317"/>
      <c r="AA296" s="3317"/>
      <c r="AB296" s="3317"/>
      <c r="AC296" s="3307">
        <f t="shared" si="126"/>
        <v>0</v>
      </c>
      <c r="AD296" s="3327"/>
      <c r="AE296" s="3327"/>
      <c r="AF296" s="3327"/>
      <c r="AG296" s="3327"/>
      <c r="AH296" s="3327"/>
      <c r="AI296" s="3327"/>
      <c r="AJ296" s="3327"/>
      <c r="AK296" s="3327"/>
      <c r="AL296" s="3327"/>
      <c r="AM296" s="3327"/>
      <c r="AN296" s="3327"/>
      <c r="AO296" s="3327"/>
      <c r="AP296" s="3327"/>
      <c r="AQ296" s="3327"/>
      <c r="AR296" s="3327"/>
      <c r="AS296" s="3327"/>
      <c r="AT296" s="3337"/>
      <c r="AU296" s="3338"/>
      <c r="AV296" s="1410">
        <f t="shared" si="127"/>
        <v>0</v>
      </c>
      <c r="AW296" s="1410">
        <f t="shared" si="128"/>
        <v>0</v>
      </c>
      <c r="AX296" s="1410">
        <f t="shared" si="129"/>
        <v>0</v>
      </c>
      <c r="AY296" s="3352">
        <f t="shared" si="130"/>
        <v>0</v>
      </c>
      <c r="AZ296" s="3307">
        <f t="shared" si="131"/>
        <v>0</v>
      </c>
      <c r="BA296" s="3307">
        <f t="shared" si="132"/>
        <v>0</v>
      </c>
      <c r="BB296" s="3307">
        <f t="shared" si="133"/>
        <v>0</v>
      </c>
      <c r="BC296" s="3307">
        <f t="shared" si="134"/>
        <v>0</v>
      </c>
      <c r="BD296" s="3307">
        <f t="shared" si="135"/>
        <v>0</v>
      </c>
      <c r="BE296" s="3307">
        <f t="shared" si="136"/>
        <v>0</v>
      </c>
      <c r="BF296" s="3307">
        <f t="shared" si="137"/>
        <v>0</v>
      </c>
      <c r="BG296" s="3307">
        <f t="shared" si="138"/>
        <v>0</v>
      </c>
      <c r="BH296" s="3307">
        <f t="shared" si="139"/>
        <v>0</v>
      </c>
      <c r="BI296" s="3307">
        <f t="shared" si="140"/>
        <v>0</v>
      </c>
      <c r="BJ296" s="3307">
        <f t="shared" si="141"/>
        <v>0</v>
      </c>
      <c r="BK296" s="3307">
        <f t="shared" si="142"/>
        <v>0</v>
      </c>
      <c r="BL296" s="3307">
        <f t="shared" si="143"/>
        <v>0</v>
      </c>
      <c r="BM296" s="3307">
        <f t="shared" si="144"/>
        <v>0</v>
      </c>
      <c r="BN296" s="3307">
        <f t="shared" si="145"/>
        <v>0</v>
      </c>
      <c r="BO296" s="3307">
        <f t="shared" si="146"/>
        <v>0</v>
      </c>
      <c r="BP296" s="3307">
        <f t="shared" si="147"/>
        <v>0</v>
      </c>
      <c r="BQ296" s="3307">
        <f t="shared" si="148"/>
        <v>0</v>
      </c>
      <c r="BR296" s="3307">
        <f t="shared" si="149"/>
        <v>0</v>
      </c>
      <c r="BS296" s="3307">
        <f t="shared" si="150"/>
        <v>0</v>
      </c>
      <c r="BT296" s="3359">
        <f t="shared" si="151"/>
        <v>0</v>
      </c>
    </row>
    <row r="297" spans="1:72">
      <c r="A297" s="3304"/>
      <c r="B297" s="3305"/>
      <c r="C297" s="3305"/>
      <c r="D297" s="3306"/>
      <c r="E297" s="3307">
        <f t="shared" si="123"/>
        <v>0</v>
      </c>
      <c r="F297" s="3308"/>
      <c r="G297" s="3309">
        <f t="shared" si="124"/>
        <v>0</v>
      </c>
      <c r="H297" s="3310">
        <f t="shared" si="125"/>
        <v>0</v>
      </c>
      <c r="I297" s="3317"/>
      <c r="J297" s="3317"/>
      <c r="K297" s="3317"/>
      <c r="L297" s="3317"/>
      <c r="M297" s="3317"/>
      <c r="N297" s="3317"/>
      <c r="O297" s="3317"/>
      <c r="P297" s="3317"/>
      <c r="Q297" s="3317"/>
      <c r="R297" s="3317"/>
      <c r="S297" s="3317"/>
      <c r="T297" s="3317"/>
      <c r="U297" s="3317"/>
      <c r="V297" s="3317"/>
      <c r="W297" s="3317"/>
      <c r="X297" s="3317"/>
      <c r="Y297" s="3317"/>
      <c r="Z297" s="3317"/>
      <c r="AA297" s="3317"/>
      <c r="AB297" s="3317"/>
      <c r="AC297" s="3307">
        <f t="shared" si="126"/>
        <v>0</v>
      </c>
      <c r="AD297" s="3327"/>
      <c r="AE297" s="3327"/>
      <c r="AF297" s="3327"/>
      <c r="AG297" s="3327"/>
      <c r="AH297" s="3327"/>
      <c r="AI297" s="3327"/>
      <c r="AJ297" s="3327"/>
      <c r="AK297" s="3327"/>
      <c r="AL297" s="3327"/>
      <c r="AM297" s="3327"/>
      <c r="AN297" s="3327"/>
      <c r="AO297" s="3327"/>
      <c r="AP297" s="3327"/>
      <c r="AQ297" s="3327"/>
      <c r="AR297" s="3327"/>
      <c r="AS297" s="3327"/>
      <c r="AT297" s="3337"/>
      <c r="AU297" s="3338"/>
      <c r="AV297" s="1410">
        <f t="shared" si="127"/>
        <v>0</v>
      </c>
      <c r="AW297" s="1410">
        <f t="shared" si="128"/>
        <v>0</v>
      </c>
      <c r="AX297" s="1410">
        <f t="shared" si="129"/>
        <v>0</v>
      </c>
      <c r="AY297" s="3352">
        <f t="shared" si="130"/>
        <v>0</v>
      </c>
      <c r="AZ297" s="3307">
        <f t="shared" si="131"/>
        <v>0</v>
      </c>
      <c r="BA297" s="3307">
        <f t="shared" si="132"/>
        <v>0</v>
      </c>
      <c r="BB297" s="3307">
        <f t="shared" si="133"/>
        <v>0</v>
      </c>
      <c r="BC297" s="3307">
        <f t="shared" si="134"/>
        <v>0</v>
      </c>
      <c r="BD297" s="3307">
        <f t="shared" si="135"/>
        <v>0</v>
      </c>
      <c r="BE297" s="3307">
        <f t="shared" si="136"/>
        <v>0</v>
      </c>
      <c r="BF297" s="3307">
        <f t="shared" si="137"/>
        <v>0</v>
      </c>
      <c r="BG297" s="3307">
        <f t="shared" si="138"/>
        <v>0</v>
      </c>
      <c r="BH297" s="3307">
        <f t="shared" si="139"/>
        <v>0</v>
      </c>
      <c r="BI297" s="3307">
        <f t="shared" si="140"/>
        <v>0</v>
      </c>
      <c r="BJ297" s="3307">
        <f t="shared" si="141"/>
        <v>0</v>
      </c>
      <c r="BK297" s="3307">
        <f t="shared" si="142"/>
        <v>0</v>
      </c>
      <c r="BL297" s="3307">
        <f t="shared" si="143"/>
        <v>0</v>
      </c>
      <c r="BM297" s="3307">
        <f t="shared" si="144"/>
        <v>0</v>
      </c>
      <c r="BN297" s="3307">
        <f t="shared" si="145"/>
        <v>0</v>
      </c>
      <c r="BO297" s="3307">
        <f t="shared" si="146"/>
        <v>0</v>
      </c>
      <c r="BP297" s="3307">
        <f t="shared" si="147"/>
        <v>0</v>
      </c>
      <c r="BQ297" s="3307">
        <f t="shared" si="148"/>
        <v>0</v>
      </c>
      <c r="BR297" s="3307">
        <f t="shared" si="149"/>
        <v>0</v>
      </c>
      <c r="BS297" s="3307">
        <f t="shared" si="150"/>
        <v>0</v>
      </c>
      <c r="BT297" s="3359">
        <f t="shared" si="151"/>
        <v>0</v>
      </c>
    </row>
    <row r="298" spans="1:72">
      <c r="A298" s="3304"/>
      <c r="B298" s="3305"/>
      <c r="C298" s="3305"/>
      <c r="D298" s="3306"/>
      <c r="E298" s="3307">
        <f t="shared" si="123"/>
        <v>0</v>
      </c>
      <c r="F298" s="3308"/>
      <c r="G298" s="3309">
        <f t="shared" si="124"/>
        <v>0</v>
      </c>
      <c r="H298" s="3310">
        <f t="shared" si="125"/>
        <v>0</v>
      </c>
      <c r="I298" s="3317"/>
      <c r="J298" s="3317"/>
      <c r="K298" s="3317"/>
      <c r="L298" s="3317"/>
      <c r="M298" s="3317"/>
      <c r="N298" s="3317"/>
      <c r="O298" s="3317"/>
      <c r="P298" s="3317"/>
      <c r="Q298" s="3317"/>
      <c r="R298" s="3317"/>
      <c r="S298" s="3317"/>
      <c r="T298" s="3317"/>
      <c r="U298" s="3317"/>
      <c r="V298" s="3317"/>
      <c r="W298" s="3317"/>
      <c r="X298" s="3317"/>
      <c r="Y298" s="3317"/>
      <c r="Z298" s="3317"/>
      <c r="AA298" s="3317"/>
      <c r="AB298" s="3317"/>
      <c r="AC298" s="3307">
        <f t="shared" si="126"/>
        <v>0</v>
      </c>
      <c r="AD298" s="3327"/>
      <c r="AE298" s="3327"/>
      <c r="AF298" s="3327"/>
      <c r="AG298" s="3327"/>
      <c r="AH298" s="3327"/>
      <c r="AI298" s="3327"/>
      <c r="AJ298" s="3327"/>
      <c r="AK298" s="3327"/>
      <c r="AL298" s="3327"/>
      <c r="AM298" s="3327"/>
      <c r="AN298" s="3327"/>
      <c r="AO298" s="3327"/>
      <c r="AP298" s="3327"/>
      <c r="AQ298" s="3327"/>
      <c r="AR298" s="3327"/>
      <c r="AS298" s="3327"/>
      <c r="AT298" s="3337"/>
      <c r="AU298" s="3338"/>
      <c r="AV298" s="1410">
        <f t="shared" si="127"/>
        <v>0</v>
      </c>
      <c r="AW298" s="1410">
        <f t="shared" si="128"/>
        <v>0</v>
      </c>
      <c r="AX298" s="1410">
        <f t="shared" si="129"/>
        <v>0</v>
      </c>
      <c r="AY298" s="3352">
        <f t="shared" si="130"/>
        <v>0</v>
      </c>
      <c r="AZ298" s="3307">
        <f t="shared" si="131"/>
        <v>0</v>
      </c>
      <c r="BA298" s="3307">
        <f t="shared" si="132"/>
        <v>0</v>
      </c>
      <c r="BB298" s="3307">
        <f t="shared" si="133"/>
        <v>0</v>
      </c>
      <c r="BC298" s="3307">
        <f t="shared" si="134"/>
        <v>0</v>
      </c>
      <c r="BD298" s="3307">
        <f t="shared" si="135"/>
        <v>0</v>
      </c>
      <c r="BE298" s="3307">
        <f t="shared" si="136"/>
        <v>0</v>
      </c>
      <c r="BF298" s="3307">
        <f t="shared" si="137"/>
        <v>0</v>
      </c>
      <c r="BG298" s="3307">
        <f t="shared" si="138"/>
        <v>0</v>
      </c>
      <c r="BH298" s="3307">
        <f t="shared" si="139"/>
        <v>0</v>
      </c>
      <c r="BI298" s="3307">
        <f t="shared" si="140"/>
        <v>0</v>
      </c>
      <c r="BJ298" s="3307">
        <f t="shared" si="141"/>
        <v>0</v>
      </c>
      <c r="BK298" s="3307">
        <f t="shared" si="142"/>
        <v>0</v>
      </c>
      <c r="BL298" s="3307">
        <f t="shared" si="143"/>
        <v>0</v>
      </c>
      <c r="BM298" s="3307">
        <f t="shared" si="144"/>
        <v>0</v>
      </c>
      <c r="BN298" s="3307">
        <f t="shared" si="145"/>
        <v>0</v>
      </c>
      <c r="BO298" s="3307">
        <f t="shared" si="146"/>
        <v>0</v>
      </c>
      <c r="BP298" s="3307">
        <f t="shared" si="147"/>
        <v>0</v>
      </c>
      <c r="BQ298" s="3307">
        <f t="shared" si="148"/>
        <v>0</v>
      </c>
      <c r="BR298" s="3307">
        <f t="shared" si="149"/>
        <v>0</v>
      </c>
      <c r="BS298" s="3307">
        <f t="shared" si="150"/>
        <v>0</v>
      </c>
      <c r="BT298" s="3359">
        <f t="shared" si="151"/>
        <v>0</v>
      </c>
    </row>
    <row r="299" spans="1:72">
      <c r="A299" s="3304"/>
      <c r="B299" s="3305"/>
      <c r="C299" s="3305"/>
      <c r="D299" s="3306"/>
      <c r="E299" s="3307">
        <f t="shared" si="123"/>
        <v>0</v>
      </c>
      <c r="F299" s="3308"/>
      <c r="G299" s="3309">
        <f t="shared" si="124"/>
        <v>0</v>
      </c>
      <c r="H299" s="3310">
        <f t="shared" si="125"/>
        <v>0</v>
      </c>
      <c r="I299" s="3317"/>
      <c r="J299" s="3317"/>
      <c r="K299" s="3317"/>
      <c r="L299" s="3317"/>
      <c r="M299" s="3317"/>
      <c r="N299" s="3317"/>
      <c r="O299" s="3317"/>
      <c r="P299" s="3317"/>
      <c r="Q299" s="3317"/>
      <c r="R299" s="3317"/>
      <c r="S299" s="3317"/>
      <c r="T299" s="3317"/>
      <c r="U299" s="3317"/>
      <c r="V299" s="3317"/>
      <c r="W299" s="3317"/>
      <c r="X299" s="3317"/>
      <c r="Y299" s="3317"/>
      <c r="Z299" s="3317"/>
      <c r="AA299" s="3317"/>
      <c r="AB299" s="3317"/>
      <c r="AC299" s="3307">
        <f t="shared" si="126"/>
        <v>0</v>
      </c>
      <c r="AD299" s="3327"/>
      <c r="AE299" s="3327"/>
      <c r="AF299" s="3327"/>
      <c r="AG299" s="3327"/>
      <c r="AH299" s="3327"/>
      <c r="AI299" s="3327"/>
      <c r="AJ299" s="3327"/>
      <c r="AK299" s="3327"/>
      <c r="AL299" s="3327"/>
      <c r="AM299" s="3327"/>
      <c r="AN299" s="3327"/>
      <c r="AO299" s="3327"/>
      <c r="AP299" s="3327"/>
      <c r="AQ299" s="3327"/>
      <c r="AR299" s="3327"/>
      <c r="AS299" s="3327"/>
      <c r="AT299" s="3337"/>
      <c r="AU299" s="3338"/>
      <c r="AV299" s="1410">
        <f t="shared" si="127"/>
        <v>0</v>
      </c>
      <c r="AW299" s="1410">
        <f t="shared" si="128"/>
        <v>0</v>
      </c>
      <c r="AX299" s="1410">
        <f t="shared" si="129"/>
        <v>0</v>
      </c>
      <c r="AY299" s="3352">
        <f t="shared" si="130"/>
        <v>0</v>
      </c>
      <c r="AZ299" s="3307">
        <f t="shared" si="131"/>
        <v>0</v>
      </c>
      <c r="BA299" s="3307">
        <f t="shared" si="132"/>
        <v>0</v>
      </c>
      <c r="BB299" s="3307">
        <f t="shared" si="133"/>
        <v>0</v>
      </c>
      <c r="BC299" s="3307">
        <f t="shared" si="134"/>
        <v>0</v>
      </c>
      <c r="BD299" s="3307">
        <f t="shared" si="135"/>
        <v>0</v>
      </c>
      <c r="BE299" s="3307">
        <f t="shared" si="136"/>
        <v>0</v>
      </c>
      <c r="BF299" s="3307">
        <f t="shared" si="137"/>
        <v>0</v>
      </c>
      <c r="BG299" s="3307">
        <f t="shared" si="138"/>
        <v>0</v>
      </c>
      <c r="BH299" s="3307">
        <f t="shared" si="139"/>
        <v>0</v>
      </c>
      <c r="BI299" s="3307">
        <f t="shared" si="140"/>
        <v>0</v>
      </c>
      <c r="BJ299" s="3307">
        <f t="shared" si="141"/>
        <v>0</v>
      </c>
      <c r="BK299" s="3307">
        <f t="shared" si="142"/>
        <v>0</v>
      </c>
      <c r="BL299" s="3307">
        <f t="shared" si="143"/>
        <v>0</v>
      </c>
      <c r="BM299" s="3307">
        <f t="shared" si="144"/>
        <v>0</v>
      </c>
      <c r="BN299" s="3307">
        <f t="shared" si="145"/>
        <v>0</v>
      </c>
      <c r="BO299" s="3307">
        <f t="shared" si="146"/>
        <v>0</v>
      </c>
      <c r="BP299" s="3307">
        <f t="shared" si="147"/>
        <v>0</v>
      </c>
      <c r="BQ299" s="3307">
        <f t="shared" si="148"/>
        <v>0</v>
      </c>
      <c r="BR299" s="3307">
        <f t="shared" si="149"/>
        <v>0</v>
      </c>
      <c r="BS299" s="3307">
        <f t="shared" si="150"/>
        <v>0</v>
      </c>
      <c r="BT299" s="3359">
        <f t="shared" si="151"/>
        <v>0</v>
      </c>
    </row>
    <row r="300" spans="1:72">
      <c r="A300" s="3304"/>
      <c r="B300" s="3304"/>
      <c r="C300" s="3304"/>
      <c r="D300" s="3306"/>
      <c r="E300" s="3307">
        <f t="shared" si="123"/>
        <v>0</v>
      </c>
      <c r="F300" s="3360"/>
      <c r="G300" s="3309">
        <f t="shared" ref="G300:G331" si="152">H300+AC300+AT300</f>
        <v>0</v>
      </c>
      <c r="H300" s="3310">
        <f t="shared" ref="H300:H331" si="153">SUMIF(I$12:AB$12,"总值",I300:AB300)</f>
        <v>0</v>
      </c>
      <c r="I300" s="3361"/>
      <c r="J300" s="3361"/>
      <c r="K300" s="3317"/>
      <c r="L300" s="3317"/>
      <c r="M300" s="3317"/>
      <c r="N300" s="3317"/>
      <c r="O300" s="3317"/>
      <c r="P300" s="3317"/>
      <c r="Q300" s="3317"/>
      <c r="R300" s="3317"/>
      <c r="S300" s="3317"/>
      <c r="T300" s="3317"/>
      <c r="U300" s="3317"/>
      <c r="V300" s="3317"/>
      <c r="W300" s="3317"/>
      <c r="X300" s="3317"/>
      <c r="Y300" s="3317"/>
      <c r="Z300" s="3317"/>
      <c r="AA300" s="3317"/>
      <c r="AB300" s="3317"/>
      <c r="AC300" s="3307">
        <f t="shared" ref="AC300:AC331" si="154">SUMIF(AD$12:AS$12,"总值",AD300:AS300)</f>
        <v>0</v>
      </c>
      <c r="AD300" s="3327"/>
      <c r="AE300" s="3327"/>
      <c r="AF300" s="3327"/>
      <c r="AG300" s="3327"/>
      <c r="AH300" s="3327"/>
      <c r="AI300" s="3327"/>
      <c r="AJ300" s="3327"/>
      <c r="AK300" s="3327"/>
      <c r="AL300" s="3327"/>
      <c r="AM300" s="3327"/>
      <c r="AN300" s="3327"/>
      <c r="AO300" s="3327"/>
      <c r="AP300" s="3327"/>
      <c r="AQ300" s="3327"/>
      <c r="AR300" s="3327"/>
      <c r="AS300" s="3327"/>
      <c r="AT300" s="3327"/>
      <c r="AU300" s="3362"/>
      <c r="AV300" s="1410">
        <f t="shared" si="127"/>
        <v>0</v>
      </c>
      <c r="AW300" s="1410">
        <f t="shared" si="128"/>
        <v>0</v>
      </c>
      <c r="AX300" s="1410">
        <f t="shared" si="129"/>
        <v>0</v>
      </c>
      <c r="AY300" s="3352">
        <f t="shared" ref="AY300:AY331" si="155">ROUND($AY$6*AZ300/$AZ$5,2)</f>
        <v>0</v>
      </c>
      <c r="AZ300" s="3307">
        <f t="shared" ref="AZ300:AZ331" si="156">BA300+BL300</f>
        <v>0</v>
      </c>
      <c r="BA300" s="3307">
        <f t="shared" ref="BA300:BA331" si="157">SUM(BB300:BK300)</f>
        <v>0</v>
      </c>
      <c r="BB300" s="3307">
        <f t="shared" ref="BB300:BB331" si="158">IF($D300="是",I300-J300,0)</f>
        <v>0</v>
      </c>
      <c r="BC300" s="3307">
        <f t="shared" ref="BC300:BC331" si="159">IF($D300="是",K300-L300,0)</f>
        <v>0</v>
      </c>
      <c r="BD300" s="3307">
        <f t="shared" ref="BD300:BD331" si="160">IF($D300="是",M300-N300,0)</f>
        <v>0</v>
      </c>
      <c r="BE300" s="3307">
        <f t="shared" ref="BE300:BE331" si="161">IF($D300="是",O300-P300,0)</f>
        <v>0</v>
      </c>
      <c r="BF300" s="3307">
        <f t="shared" ref="BF300:BF331" si="162">IF($D300="是",Q300-R300,0)</f>
        <v>0</v>
      </c>
      <c r="BG300" s="3307">
        <f t="shared" ref="BG300:BG331" si="163">IF($D300="是",S300-T300,0)</f>
        <v>0</v>
      </c>
      <c r="BH300" s="3307">
        <f t="shared" ref="BH300:BH331" si="164">IF($D300="是",U300-V300,0)</f>
        <v>0</v>
      </c>
      <c r="BI300" s="3307">
        <f t="shared" ref="BI300:BI331" si="165">IF($D300="是",W300-X300,0)</f>
        <v>0</v>
      </c>
      <c r="BJ300" s="3307">
        <f t="shared" ref="BJ300:BJ331" si="166">IF($D300="是",Y300-Z300,0)</f>
        <v>0</v>
      </c>
      <c r="BK300" s="3307">
        <f t="shared" ref="BK300:BK331" si="167">IF($D300="是",AA300-AB300,0)</f>
        <v>0</v>
      </c>
      <c r="BL300" s="3307">
        <f t="shared" ref="BL300:BL331" si="168">SUM(BM300:BT300)</f>
        <v>0</v>
      </c>
      <c r="BM300" s="3307">
        <f t="shared" ref="BM300:BM331" si="169">IF($D300="是",AD300-AE300,0)</f>
        <v>0</v>
      </c>
      <c r="BN300" s="3307">
        <f t="shared" ref="BN300:BN331" si="170">IF($D300="是",AF300-AG300,0)</f>
        <v>0</v>
      </c>
      <c r="BO300" s="3307">
        <f t="shared" ref="BO300:BO331" si="171">IF($D300="是",AH300-AI300,0)</f>
        <v>0</v>
      </c>
      <c r="BP300" s="3307">
        <f t="shared" ref="BP300:BP331" si="172">IF($D300="是",AJ300-AK300,0)</f>
        <v>0</v>
      </c>
      <c r="BQ300" s="3307">
        <f t="shared" ref="BQ300:BQ331" si="173">IF($D300="是",AL300-AM300,0)</f>
        <v>0</v>
      </c>
      <c r="BR300" s="3307">
        <f t="shared" ref="BR300:BR331" si="174">IF($D300="是",AN300-AO300,0)</f>
        <v>0</v>
      </c>
      <c r="BS300" s="3307">
        <f t="shared" ref="BS300:BS331" si="175">IF($D300="是",AP300-AQ300,0)</f>
        <v>0</v>
      </c>
      <c r="BT300" s="3359">
        <f t="shared" ref="BT300:BT331" si="176">IF($D300="是",AR300-AS300,0)</f>
        <v>0</v>
      </c>
    </row>
    <row r="301" spans="1:72">
      <c r="A301" s="3304"/>
      <c r="B301" s="3304"/>
      <c r="C301" s="3304"/>
      <c r="D301" s="3306"/>
      <c r="E301" s="3307">
        <f t="shared" si="123"/>
        <v>0</v>
      </c>
      <c r="F301" s="3360"/>
      <c r="G301" s="3309">
        <f t="shared" si="152"/>
        <v>0</v>
      </c>
      <c r="H301" s="3310">
        <f t="shared" si="153"/>
        <v>0</v>
      </c>
      <c r="I301" s="3317"/>
      <c r="J301" s="3317"/>
      <c r="K301" s="3317"/>
      <c r="L301" s="3317"/>
      <c r="M301" s="3317"/>
      <c r="N301" s="3317"/>
      <c r="O301" s="3317"/>
      <c r="P301" s="3317"/>
      <c r="Q301" s="3317"/>
      <c r="R301" s="3317"/>
      <c r="S301" s="3317"/>
      <c r="T301" s="3317"/>
      <c r="U301" s="3317"/>
      <c r="V301" s="3317"/>
      <c r="W301" s="3317"/>
      <c r="X301" s="3317"/>
      <c r="Y301" s="3317"/>
      <c r="Z301" s="3317"/>
      <c r="AA301" s="3317"/>
      <c r="AB301" s="3317"/>
      <c r="AC301" s="3307">
        <f t="shared" si="154"/>
        <v>0</v>
      </c>
      <c r="AD301" s="3327"/>
      <c r="AE301" s="3327"/>
      <c r="AF301" s="3327"/>
      <c r="AG301" s="3327"/>
      <c r="AH301" s="3327"/>
      <c r="AI301" s="3327"/>
      <c r="AJ301" s="3327"/>
      <c r="AK301" s="3327"/>
      <c r="AL301" s="3327"/>
      <c r="AM301" s="3327"/>
      <c r="AN301" s="3327"/>
      <c r="AO301" s="3327"/>
      <c r="AP301" s="3327"/>
      <c r="AQ301" s="3327"/>
      <c r="AR301" s="3327"/>
      <c r="AS301" s="3327"/>
      <c r="AT301" s="3327"/>
      <c r="AU301" s="3362"/>
      <c r="AV301" s="1410">
        <f t="shared" si="127"/>
        <v>0</v>
      </c>
      <c r="AW301" s="1410">
        <f t="shared" si="128"/>
        <v>0</v>
      </c>
      <c r="AX301" s="1410">
        <f t="shared" si="129"/>
        <v>0</v>
      </c>
      <c r="AY301" s="3352">
        <f t="shared" si="155"/>
        <v>0</v>
      </c>
      <c r="AZ301" s="3307">
        <f t="shared" si="156"/>
        <v>0</v>
      </c>
      <c r="BA301" s="3307">
        <f t="shared" si="157"/>
        <v>0</v>
      </c>
      <c r="BB301" s="3307">
        <f t="shared" si="158"/>
        <v>0</v>
      </c>
      <c r="BC301" s="3307">
        <f t="shared" si="159"/>
        <v>0</v>
      </c>
      <c r="BD301" s="3307">
        <f t="shared" si="160"/>
        <v>0</v>
      </c>
      <c r="BE301" s="3307">
        <f t="shared" si="161"/>
        <v>0</v>
      </c>
      <c r="BF301" s="3307">
        <f t="shared" si="162"/>
        <v>0</v>
      </c>
      <c r="BG301" s="3307">
        <f t="shared" si="163"/>
        <v>0</v>
      </c>
      <c r="BH301" s="3307">
        <f t="shared" si="164"/>
        <v>0</v>
      </c>
      <c r="BI301" s="3307">
        <f t="shared" si="165"/>
        <v>0</v>
      </c>
      <c r="BJ301" s="3307">
        <f t="shared" si="166"/>
        <v>0</v>
      </c>
      <c r="BK301" s="3307">
        <f t="shared" si="167"/>
        <v>0</v>
      </c>
      <c r="BL301" s="3307">
        <f t="shared" si="168"/>
        <v>0</v>
      </c>
      <c r="BM301" s="3307">
        <f t="shared" si="169"/>
        <v>0</v>
      </c>
      <c r="BN301" s="3307">
        <f t="shared" si="170"/>
        <v>0</v>
      </c>
      <c r="BO301" s="3307">
        <f t="shared" si="171"/>
        <v>0</v>
      </c>
      <c r="BP301" s="3307">
        <f t="shared" si="172"/>
        <v>0</v>
      </c>
      <c r="BQ301" s="3307">
        <f t="shared" si="173"/>
        <v>0</v>
      </c>
      <c r="BR301" s="3307">
        <f t="shared" si="174"/>
        <v>0</v>
      </c>
      <c r="BS301" s="3307">
        <f t="shared" si="175"/>
        <v>0</v>
      </c>
      <c r="BT301" s="3359">
        <f t="shared" si="176"/>
        <v>0</v>
      </c>
    </row>
    <row r="302" spans="1:72">
      <c r="A302" s="3304"/>
      <c r="B302" s="3304"/>
      <c r="C302" s="3304"/>
      <c r="D302" s="3306"/>
      <c r="E302" s="3307">
        <f t="shared" si="123"/>
        <v>0</v>
      </c>
      <c r="F302" s="3360"/>
      <c r="G302" s="3309">
        <f t="shared" si="152"/>
        <v>0</v>
      </c>
      <c r="H302" s="3310">
        <f t="shared" si="153"/>
        <v>0</v>
      </c>
      <c r="I302" s="3317"/>
      <c r="J302" s="3317"/>
      <c r="K302" s="3317"/>
      <c r="L302" s="3317"/>
      <c r="M302" s="3317"/>
      <c r="N302" s="3317"/>
      <c r="O302" s="3317"/>
      <c r="P302" s="3317"/>
      <c r="Q302" s="3317"/>
      <c r="R302" s="3317"/>
      <c r="S302" s="3317"/>
      <c r="T302" s="3317"/>
      <c r="U302" s="3317"/>
      <c r="V302" s="3317"/>
      <c r="W302" s="3317"/>
      <c r="X302" s="3317"/>
      <c r="Y302" s="3317"/>
      <c r="Z302" s="3317"/>
      <c r="AA302" s="3317"/>
      <c r="AB302" s="3317"/>
      <c r="AC302" s="3307">
        <f t="shared" si="154"/>
        <v>0</v>
      </c>
      <c r="AD302" s="3327"/>
      <c r="AE302" s="3327"/>
      <c r="AF302" s="3327"/>
      <c r="AG302" s="3327"/>
      <c r="AH302" s="3327"/>
      <c r="AI302" s="3327"/>
      <c r="AJ302" s="3327"/>
      <c r="AK302" s="3327"/>
      <c r="AL302" s="3327"/>
      <c r="AM302" s="3327"/>
      <c r="AN302" s="3327"/>
      <c r="AO302" s="3327"/>
      <c r="AP302" s="3327"/>
      <c r="AQ302" s="3327"/>
      <c r="AR302" s="3327"/>
      <c r="AS302" s="3327"/>
      <c r="AT302" s="3327"/>
      <c r="AU302" s="3362"/>
      <c r="AV302" s="1410">
        <f t="shared" si="127"/>
        <v>0</v>
      </c>
      <c r="AW302" s="1410">
        <f t="shared" si="128"/>
        <v>0</v>
      </c>
      <c r="AX302" s="1410">
        <f t="shared" si="129"/>
        <v>0</v>
      </c>
      <c r="AY302" s="3352">
        <f t="shared" si="155"/>
        <v>0</v>
      </c>
      <c r="AZ302" s="3307">
        <f t="shared" si="156"/>
        <v>0</v>
      </c>
      <c r="BA302" s="3307">
        <f t="shared" si="157"/>
        <v>0</v>
      </c>
      <c r="BB302" s="3307">
        <f t="shared" si="158"/>
        <v>0</v>
      </c>
      <c r="BC302" s="3307">
        <f t="shared" si="159"/>
        <v>0</v>
      </c>
      <c r="BD302" s="3307">
        <f t="shared" si="160"/>
        <v>0</v>
      </c>
      <c r="BE302" s="3307">
        <f t="shared" si="161"/>
        <v>0</v>
      </c>
      <c r="BF302" s="3307">
        <f t="shared" si="162"/>
        <v>0</v>
      </c>
      <c r="BG302" s="3307">
        <f t="shared" si="163"/>
        <v>0</v>
      </c>
      <c r="BH302" s="3307">
        <f t="shared" si="164"/>
        <v>0</v>
      </c>
      <c r="BI302" s="3307">
        <f t="shared" si="165"/>
        <v>0</v>
      </c>
      <c r="BJ302" s="3307">
        <f t="shared" si="166"/>
        <v>0</v>
      </c>
      <c r="BK302" s="3307">
        <f t="shared" si="167"/>
        <v>0</v>
      </c>
      <c r="BL302" s="3307">
        <f t="shared" si="168"/>
        <v>0</v>
      </c>
      <c r="BM302" s="3307">
        <f t="shared" si="169"/>
        <v>0</v>
      </c>
      <c r="BN302" s="3307">
        <f t="shared" si="170"/>
        <v>0</v>
      </c>
      <c r="BO302" s="3307">
        <f t="shared" si="171"/>
        <v>0</v>
      </c>
      <c r="BP302" s="3307">
        <f t="shared" si="172"/>
        <v>0</v>
      </c>
      <c r="BQ302" s="3307">
        <f t="shared" si="173"/>
        <v>0</v>
      </c>
      <c r="BR302" s="3307">
        <f t="shared" si="174"/>
        <v>0</v>
      </c>
      <c r="BS302" s="3307">
        <f t="shared" si="175"/>
        <v>0</v>
      </c>
      <c r="BT302" s="3359">
        <f t="shared" si="176"/>
        <v>0</v>
      </c>
    </row>
    <row r="303" spans="1:72">
      <c r="A303" s="3304"/>
      <c r="B303" s="3305"/>
      <c r="C303" s="3305"/>
      <c r="D303" s="3306"/>
      <c r="E303" s="3307">
        <f t="shared" ref="E303:E334" si="177">IF($C$3="是",ROUND($A$3*G303/$B$3,2),ROUND($A$3*(G303-AT303)/$B$3,2))</f>
        <v>0</v>
      </c>
      <c r="F303" s="3308"/>
      <c r="G303" s="3309">
        <f t="shared" si="152"/>
        <v>0</v>
      </c>
      <c r="H303" s="3310">
        <f t="shared" si="153"/>
        <v>0</v>
      </c>
      <c r="I303" s="3317"/>
      <c r="J303" s="3317"/>
      <c r="K303" s="3317"/>
      <c r="L303" s="3317"/>
      <c r="M303" s="3317"/>
      <c r="N303" s="3317"/>
      <c r="O303" s="3317"/>
      <c r="P303" s="3317"/>
      <c r="Q303" s="3317"/>
      <c r="R303" s="3317"/>
      <c r="S303" s="3317"/>
      <c r="T303" s="3317"/>
      <c r="U303" s="3317"/>
      <c r="V303" s="3317"/>
      <c r="W303" s="3317"/>
      <c r="X303" s="3317"/>
      <c r="Y303" s="3317"/>
      <c r="Z303" s="3317"/>
      <c r="AA303" s="3317"/>
      <c r="AB303" s="3317"/>
      <c r="AC303" s="3307">
        <f t="shared" si="154"/>
        <v>0</v>
      </c>
      <c r="AD303" s="3327"/>
      <c r="AE303" s="3327"/>
      <c r="AF303" s="3327"/>
      <c r="AG303" s="3327"/>
      <c r="AH303" s="3327"/>
      <c r="AI303" s="3327"/>
      <c r="AJ303" s="3327"/>
      <c r="AK303" s="3327"/>
      <c r="AL303" s="3327"/>
      <c r="AM303" s="3327"/>
      <c r="AN303" s="3327"/>
      <c r="AO303" s="3327"/>
      <c r="AP303" s="3327"/>
      <c r="AQ303" s="3327"/>
      <c r="AR303" s="3327"/>
      <c r="AS303" s="3327"/>
      <c r="AT303" s="3337"/>
      <c r="AU303" s="3338"/>
      <c r="AV303" s="1410">
        <f t="shared" ref="AV303:AV334" si="178">A303</f>
        <v>0</v>
      </c>
      <c r="AW303" s="1410">
        <f t="shared" ref="AW303:AW334" si="179">B303</f>
        <v>0</v>
      </c>
      <c r="AX303" s="1410">
        <f t="shared" ref="AX303:AX334" si="180">C303</f>
        <v>0</v>
      </c>
      <c r="AY303" s="3352">
        <f t="shared" si="155"/>
        <v>0</v>
      </c>
      <c r="AZ303" s="3307">
        <f t="shared" si="156"/>
        <v>0</v>
      </c>
      <c r="BA303" s="3307">
        <f t="shared" si="157"/>
        <v>0</v>
      </c>
      <c r="BB303" s="3307">
        <f t="shared" si="158"/>
        <v>0</v>
      </c>
      <c r="BC303" s="3307">
        <f t="shared" si="159"/>
        <v>0</v>
      </c>
      <c r="BD303" s="3307">
        <f t="shared" si="160"/>
        <v>0</v>
      </c>
      <c r="BE303" s="3307">
        <f t="shared" si="161"/>
        <v>0</v>
      </c>
      <c r="BF303" s="3307">
        <f t="shared" si="162"/>
        <v>0</v>
      </c>
      <c r="BG303" s="3307">
        <f t="shared" si="163"/>
        <v>0</v>
      </c>
      <c r="BH303" s="3307">
        <f t="shared" si="164"/>
        <v>0</v>
      </c>
      <c r="BI303" s="3307">
        <f t="shared" si="165"/>
        <v>0</v>
      </c>
      <c r="BJ303" s="3307">
        <f t="shared" si="166"/>
        <v>0</v>
      </c>
      <c r="BK303" s="3307">
        <f t="shared" si="167"/>
        <v>0</v>
      </c>
      <c r="BL303" s="3307">
        <f t="shared" si="168"/>
        <v>0</v>
      </c>
      <c r="BM303" s="3307">
        <f t="shared" si="169"/>
        <v>0</v>
      </c>
      <c r="BN303" s="3307">
        <f t="shared" si="170"/>
        <v>0</v>
      </c>
      <c r="BO303" s="3307">
        <f t="shared" si="171"/>
        <v>0</v>
      </c>
      <c r="BP303" s="3307">
        <f t="shared" si="172"/>
        <v>0</v>
      </c>
      <c r="BQ303" s="3307">
        <f t="shared" si="173"/>
        <v>0</v>
      </c>
      <c r="BR303" s="3307">
        <f t="shared" si="174"/>
        <v>0</v>
      </c>
      <c r="BS303" s="3307">
        <f t="shared" si="175"/>
        <v>0</v>
      </c>
      <c r="BT303" s="3359">
        <f t="shared" si="176"/>
        <v>0</v>
      </c>
    </row>
    <row r="304" spans="1:72">
      <c r="A304" s="3304"/>
      <c r="B304" s="3305"/>
      <c r="C304" s="3305"/>
      <c r="D304" s="3306"/>
      <c r="E304" s="3307">
        <f t="shared" si="177"/>
        <v>0</v>
      </c>
      <c r="F304" s="3308"/>
      <c r="G304" s="3309">
        <f t="shared" si="152"/>
        <v>0</v>
      </c>
      <c r="H304" s="3310">
        <f t="shared" si="153"/>
        <v>0</v>
      </c>
      <c r="I304" s="3317"/>
      <c r="J304" s="3317"/>
      <c r="K304" s="3317"/>
      <c r="L304" s="3317"/>
      <c r="M304" s="3317"/>
      <c r="N304" s="3317"/>
      <c r="O304" s="3317"/>
      <c r="P304" s="3317"/>
      <c r="Q304" s="3317"/>
      <c r="R304" s="3317"/>
      <c r="S304" s="3317"/>
      <c r="T304" s="3317"/>
      <c r="U304" s="3317"/>
      <c r="V304" s="3317"/>
      <c r="W304" s="3317"/>
      <c r="X304" s="3317"/>
      <c r="Y304" s="3317"/>
      <c r="Z304" s="3317"/>
      <c r="AA304" s="3317"/>
      <c r="AB304" s="3317"/>
      <c r="AC304" s="3307">
        <f t="shared" si="154"/>
        <v>0</v>
      </c>
      <c r="AD304" s="3327"/>
      <c r="AE304" s="3327"/>
      <c r="AF304" s="3327"/>
      <c r="AG304" s="3327"/>
      <c r="AH304" s="3327"/>
      <c r="AI304" s="3327"/>
      <c r="AJ304" s="3327"/>
      <c r="AK304" s="3327"/>
      <c r="AL304" s="3327"/>
      <c r="AM304" s="3327"/>
      <c r="AN304" s="3327"/>
      <c r="AO304" s="3327"/>
      <c r="AP304" s="3327"/>
      <c r="AQ304" s="3327"/>
      <c r="AR304" s="3327"/>
      <c r="AS304" s="3327"/>
      <c r="AT304" s="3337"/>
      <c r="AU304" s="3338"/>
      <c r="AV304" s="1410">
        <f t="shared" si="178"/>
        <v>0</v>
      </c>
      <c r="AW304" s="1410">
        <f t="shared" si="179"/>
        <v>0</v>
      </c>
      <c r="AX304" s="1410">
        <f t="shared" si="180"/>
        <v>0</v>
      </c>
      <c r="AY304" s="3352">
        <f t="shared" si="155"/>
        <v>0</v>
      </c>
      <c r="AZ304" s="3307">
        <f t="shared" si="156"/>
        <v>0</v>
      </c>
      <c r="BA304" s="3307">
        <f t="shared" si="157"/>
        <v>0</v>
      </c>
      <c r="BB304" s="3307">
        <f t="shared" si="158"/>
        <v>0</v>
      </c>
      <c r="BC304" s="3307">
        <f t="shared" si="159"/>
        <v>0</v>
      </c>
      <c r="BD304" s="3307">
        <f t="shared" si="160"/>
        <v>0</v>
      </c>
      <c r="BE304" s="3307">
        <f t="shared" si="161"/>
        <v>0</v>
      </c>
      <c r="BF304" s="3307">
        <f t="shared" si="162"/>
        <v>0</v>
      </c>
      <c r="BG304" s="3307">
        <f t="shared" si="163"/>
        <v>0</v>
      </c>
      <c r="BH304" s="3307">
        <f t="shared" si="164"/>
        <v>0</v>
      </c>
      <c r="BI304" s="3307">
        <f t="shared" si="165"/>
        <v>0</v>
      </c>
      <c r="BJ304" s="3307">
        <f t="shared" si="166"/>
        <v>0</v>
      </c>
      <c r="BK304" s="3307">
        <f t="shared" si="167"/>
        <v>0</v>
      </c>
      <c r="BL304" s="3307">
        <f t="shared" si="168"/>
        <v>0</v>
      </c>
      <c r="BM304" s="3307">
        <f t="shared" si="169"/>
        <v>0</v>
      </c>
      <c r="BN304" s="3307">
        <f t="shared" si="170"/>
        <v>0</v>
      </c>
      <c r="BO304" s="3307">
        <f t="shared" si="171"/>
        <v>0</v>
      </c>
      <c r="BP304" s="3307">
        <f t="shared" si="172"/>
        <v>0</v>
      </c>
      <c r="BQ304" s="3307">
        <f t="shared" si="173"/>
        <v>0</v>
      </c>
      <c r="BR304" s="3307">
        <f t="shared" si="174"/>
        <v>0</v>
      </c>
      <c r="BS304" s="3307">
        <f t="shared" si="175"/>
        <v>0</v>
      </c>
      <c r="BT304" s="3359">
        <f t="shared" si="176"/>
        <v>0</v>
      </c>
    </row>
    <row r="305" spans="1:72">
      <c r="A305" s="3304"/>
      <c r="B305" s="3305"/>
      <c r="C305" s="3305"/>
      <c r="D305" s="3306"/>
      <c r="E305" s="3307">
        <f t="shared" si="177"/>
        <v>0</v>
      </c>
      <c r="F305" s="3308"/>
      <c r="G305" s="3309">
        <f t="shared" si="152"/>
        <v>0</v>
      </c>
      <c r="H305" s="3310">
        <f t="shared" si="153"/>
        <v>0</v>
      </c>
      <c r="I305" s="3317"/>
      <c r="J305" s="3317"/>
      <c r="K305" s="3317"/>
      <c r="L305" s="3317"/>
      <c r="M305" s="3317"/>
      <c r="N305" s="3317"/>
      <c r="O305" s="3317"/>
      <c r="P305" s="3317"/>
      <c r="Q305" s="3317"/>
      <c r="R305" s="3317"/>
      <c r="S305" s="3317"/>
      <c r="T305" s="3317"/>
      <c r="U305" s="3317"/>
      <c r="V305" s="3317"/>
      <c r="W305" s="3317"/>
      <c r="X305" s="3317"/>
      <c r="Y305" s="3317"/>
      <c r="Z305" s="3317"/>
      <c r="AA305" s="3317"/>
      <c r="AB305" s="3317"/>
      <c r="AC305" s="3307">
        <f t="shared" si="154"/>
        <v>0</v>
      </c>
      <c r="AD305" s="3327"/>
      <c r="AE305" s="3327"/>
      <c r="AF305" s="3327"/>
      <c r="AG305" s="3327"/>
      <c r="AH305" s="3327"/>
      <c r="AI305" s="3327"/>
      <c r="AJ305" s="3327"/>
      <c r="AK305" s="3327"/>
      <c r="AL305" s="3327"/>
      <c r="AM305" s="3327"/>
      <c r="AN305" s="3327"/>
      <c r="AO305" s="3327"/>
      <c r="AP305" s="3327"/>
      <c r="AQ305" s="3327"/>
      <c r="AR305" s="3327"/>
      <c r="AS305" s="3327"/>
      <c r="AT305" s="3337"/>
      <c r="AU305" s="3338"/>
      <c r="AV305" s="1410">
        <f t="shared" si="178"/>
        <v>0</v>
      </c>
      <c r="AW305" s="1410">
        <f t="shared" si="179"/>
        <v>0</v>
      </c>
      <c r="AX305" s="1410">
        <f t="shared" si="180"/>
        <v>0</v>
      </c>
      <c r="AY305" s="3352">
        <f t="shared" si="155"/>
        <v>0</v>
      </c>
      <c r="AZ305" s="3307">
        <f t="shared" si="156"/>
        <v>0</v>
      </c>
      <c r="BA305" s="3307">
        <f t="shared" si="157"/>
        <v>0</v>
      </c>
      <c r="BB305" s="3307">
        <f t="shared" si="158"/>
        <v>0</v>
      </c>
      <c r="BC305" s="3307">
        <f t="shared" si="159"/>
        <v>0</v>
      </c>
      <c r="BD305" s="3307">
        <f t="shared" si="160"/>
        <v>0</v>
      </c>
      <c r="BE305" s="3307">
        <f t="shared" si="161"/>
        <v>0</v>
      </c>
      <c r="BF305" s="3307">
        <f t="shared" si="162"/>
        <v>0</v>
      </c>
      <c r="BG305" s="3307">
        <f t="shared" si="163"/>
        <v>0</v>
      </c>
      <c r="BH305" s="3307">
        <f t="shared" si="164"/>
        <v>0</v>
      </c>
      <c r="BI305" s="3307">
        <f t="shared" si="165"/>
        <v>0</v>
      </c>
      <c r="BJ305" s="3307">
        <f t="shared" si="166"/>
        <v>0</v>
      </c>
      <c r="BK305" s="3307">
        <f t="shared" si="167"/>
        <v>0</v>
      </c>
      <c r="BL305" s="3307">
        <f t="shared" si="168"/>
        <v>0</v>
      </c>
      <c r="BM305" s="3307">
        <f t="shared" si="169"/>
        <v>0</v>
      </c>
      <c r="BN305" s="3307">
        <f t="shared" si="170"/>
        <v>0</v>
      </c>
      <c r="BO305" s="3307">
        <f t="shared" si="171"/>
        <v>0</v>
      </c>
      <c r="BP305" s="3307">
        <f t="shared" si="172"/>
        <v>0</v>
      </c>
      <c r="BQ305" s="3307">
        <f t="shared" si="173"/>
        <v>0</v>
      </c>
      <c r="BR305" s="3307">
        <f t="shared" si="174"/>
        <v>0</v>
      </c>
      <c r="BS305" s="3307">
        <f t="shared" si="175"/>
        <v>0</v>
      </c>
      <c r="BT305" s="3359">
        <f t="shared" si="176"/>
        <v>0</v>
      </c>
    </row>
    <row r="306" spans="1:72">
      <c r="A306" s="3304"/>
      <c r="B306" s="3305"/>
      <c r="C306" s="3305"/>
      <c r="D306" s="3306"/>
      <c r="E306" s="3307">
        <f t="shared" si="177"/>
        <v>0</v>
      </c>
      <c r="F306" s="3308"/>
      <c r="G306" s="3309">
        <f t="shared" si="152"/>
        <v>0</v>
      </c>
      <c r="H306" s="3310">
        <f t="shared" si="153"/>
        <v>0</v>
      </c>
      <c r="I306" s="3317"/>
      <c r="J306" s="3317"/>
      <c r="K306" s="3317"/>
      <c r="L306" s="3317"/>
      <c r="M306" s="3317"/>
      <c r="N306" s="3317"/>
      <c r="O306" s="3317"/>
      <c r="P306" s="3317"/>
      <c r="Q306" s="3317"/>
      <c r="R306" s="3317"/>
      <c r="S306" s="3317"/>
      <c r="T306" s="3317"/>
      <c r="U306" s="3317"/>
      <c r="V306" s="3317"/>
      <c r="W306" s="3317"/>
      <c r="X306" s="3317"/>
      <c r="Y306" s="3317"/>
      <c r="Z306" s="3317"/>
      <c r="AA306" s="3317"/>
      <c r="AB306" s="3317"/>
      <c r="AC306" s="3307">
        <f t="shared" si="154"/>
        <v>0</v>
      </c>
      <c r="AD306" s="3327"/>
      <c r="AE306" s="3327"/>
      <c r="AF306" s="3327"/>
      <c r="AG306" s="3327"/>
      <c r="AH306" s="3327"/>
      <c r="AI306" s="3327"/>
      <c r="AJ306" s="3327"/>
      <c r="AK306" s="3327"/>
      <c r="AL306" s="3327"/>
      <c r="AM306" s="3327"/>
      <c r="AN306" s="3327"/>
      <c r="AO306" s="3327"/>
      <c r="AP306" s="3327"/>
      <c r="AQ306" s="3327"/>
      <c r="AR306" s="3327"/>
      <c r="AS306" s="3327"/>
      <c r="AT306" s="3337"/>
      <c r="AU306" s="3338"/>
      <c r="AV306" s="1410">
        <f t="shared" si="178"/>
        <v>0</v>
      </c>
      <c r="AW306" s="1410">
        <f t="shared" si="179"/>
        <v>0</v>
      </c>
      <c r="AX306" s="1410">
        <f t="shared" si="180"/>
        <v>0</v>
      </c>
      <c r="AY306" s="3352">
        <f t="shared" si="155"/>
        <v>0</v>
      </c>
      <c r="AZ306" s="3307">
        <f t="shared" si="156"/>
        <v>0</v>
      </c>
      <c r="BA306" s="3307">
        <f t="shared" si="157"/>
        <v>0</v>
      </c>
      <c r="BB306" s="3307">
        <f t="shared" si="158"/>
        <v>0</v>
      </c>
      <c r="BC306" s="3307">
        <f t="shared" si="159"/>
        <v>0</v>
      </c>
      <c r="BD306" s="3307">
        <f t="shared" si="160"/>
        <v>0</v>
      </c>
      <c r="BE306" s="3307">
        <f t="shared" si="161"/>
        <v>0</v>
      </c>
      <c r="BF306" s="3307">
        <f t="shared" si="162"/>
        <v>0</v>
      </c>
      <c r="BG306" s="3307">
        <f t="shared" si="163"/>
        <v>0</v>
      </c>
      <c r="BH306" s="3307">
        <f t="shared" si="164"/>
        <v>0</v>
      </c>
      <c r="BI306" s="3307">
        <f t="shared" si="165"/>
        <v>0</v>
      </c>
      <c r="BJ306" s="3307">
        <f t="shared" si="166"/>
        <v>0</v>
      </c>
      <c r="BK306" s="3307">
        <f t="shared" si="167"/>
        <v>0</v>
      </c>
      <c r="BL306" s="3307">
        <f t="shared" si="168"/>
        <v>0</v>
      </c>
      <c r="BM306" s="3307">
        <f t="shared" si="169"/>
        <v>0</v>
      </c>
      <c r="BN306" s="3307">
        <f t="shared" si="170"/>
        <v>0</v>
      </c>
      <c r="BO306" s="3307">
        <f t="shared" si="171"/>
        <v>0</v>
      </c>
      <c r="BP306" s="3307">
        <f t="shared" si="172"/>
        <v>0</v>
      </c>
      <c r="BQ306" s="3307">
        <f t="shared" si="173"/>
        <v>0</v>
      </c>
      <c r="BR306" s="3307">
        <f t="shared" si="174"/>
        <v>0</v>
      </c>
      <c r="BS306" s="3307">
        <f t="shared" si="175"/>
        <v>0</v>
      </c>
      <c r="BT306" s="3359">
        <f t="shared" si="176"/>
        <v>0</v>
      </c>
    </row>
    <row r="307" spans="1:72">
      <c r="A307" s="3304"/>
      <c r="B307" s="3305"/>
      <c r="C307" s="3305"/>
      <c r="D307" s="3306"/>
      <c r="E307" s="3307">
        <f t="shared" si="177"/>
        <v>0</v>
      </c>
      <c r="F307" s="3308"/>
      <c r="G307" s="3309">
        <f t="shared" si="152"/>
        <v>0</v>
      </c>
      <c r="H307" s="3310">
        <f t="shared" si="153"/>
        <v>0</v>
      </c>
      <c r="I307" s="3317"/>
      <c r="J307" s="3317"/>
      <c r="K307" s="3317"/>
      <c r="L307" s="3317"/>
      <c r="M307" s="3317"/>
      <c r="N307" s="3317"/>
      <c r="O307" s="3317"/>
      <c r="P307" s="3317"/>
      <c r="Q307" s="3317"/>
      <c r="R307" s="3317"/>
      <c r="S307" s="3317"/>
      <c r="T307" s="3317"/>
      <c r="U307" s="3317"/>
      <c r="V307" s="3317"/>
      <c r="W307" s="3317"/>
      <c r="X307" s="3317"/>
      <c r="Y307" s="3317"/>
      <c r="Z307" s="3317"/>
      <c r="AA307" s="3317"/>
      <c r="AB307" s="3317"/>
      <c r="AC307" s="3307">
        <f t="shared" si="154"/>
        <v>0</v>
      </c>
      <c r="AD307" s="3327"/>
      <c r="AE307" s="3327"/>
      <c r="AF307" s="3327"/>
      <c r="AG307" s="3327"/>
      <c r="AH307" s="3327"/>
      <c r="AI307" s="3327"/>
      <c r="AJ307" s="3327"/>
      <c r="AK307" s="3327"/>
      <c r="AL307" s="3327"/>
      <c r="AM307" s="3327"/>
      <c r="AN307" s="3327"/>
      <c r="AO307" s="3327"/>
      <c r="AP307" s="3327"/>
      <c r="AQ307" s="3327"/>
      <c r="AR307" s="3327"/>
      <c r="AS307" s="3327"/>
      <c r="AT307" s="3337"/>
      <c r="AU307" s="3338"/>
      <c r="AV307" s="1410">
        <f t="shared" si="178"/>
        <v>0</v>
      </c>
      <c r="AW307" s="1410">
        <f t="shared" si="179"/>
        <v>0</v>
      </c>
      <c r="AX307" s="1410">
        <f t="shared" si="180"/>
        <v>0</v>
      </c>
      <c r="AY307" s="3352">
        <f t="shared" si="155"/>
        <v>0</v>
      </c>
      <c r="AZ307" s="3307">
        <f t="shared" si="156"/>
        <v>0</v>
      </c>
      <c r="BA307" s="3307">
        <f t="shared" si="157"/>
        <v>0</v>
      </c>
      <c r="BB307" s="3307">
        <f t="shared" si="158"/>
        <v>0</v>
      </c>
      <c r="BC307" s="3307">
        <f t="shared" si="159"/>
        <v>0</v>
      </c>
      <c r="BD307" s="3307">
        <f t="shared" si="160"/>
        <v>0</v>
      </c>
      <c r="BE307" s="3307">
        <f t="shared" si="161"/>
        <v>0</v>
      </c>
      <c r="BF307" s="3307">
        <f t="shared" si="162"/>
        <v>0</v>
      </c>
      <c r="BG307" s="3307">
        <f t="shared" si="163"/>
        <v>0</v>
      </c>
      <c r="BH307" s="3307">
        <f t="shared" si="164"/>
        <v>0</v>
      </c>
      <c r="BI307" s="3307">
        <f t="shared" si="165"/>
        <v>0</v>
      </c>
      <c r="BJ307" s="3307">
        <f t="shared" si="166"/>
        <v>0</v>
      </c>
      <c r="BK307" s="3307">
        <f t="shared" si="167"/>
        <v>0</v>
      </c>
      <c r="BL307" s="3307">
        <f t="shared" si="168"/>
        <v>0</v>
      </c>
      <c r="BM307" s="3307">
        <f t="shared" si="169"/>
        <v>0</v>
      </c>
      <c r="BN307" s="3307">
        <f t="shared" si="170"/>
        <v>0</v>
      </c>
      <c r="BO307" s="3307">
        <f t="shared" si="171"/>
        <v>0</v>
      </c>
      <c r="BP307" s="3307">
        <f t="shared" si="172"/>
        <v>0</v>
      </c>
      <c r="BQ307" s="3307">
        <f t="shared" si="173"/>
        <v>0</v>
      </c>
      <c r="BR307" s="3307">
        <f t="shared" si="174"/>
        <v>0</v>
      </c>
      <c r="BS307" s="3307">
        <f t="shared" si="175"/>
        <v>0</v>
      </c>
      <c r="BT307" s="3359">
        <f t="shared" si="176"/>
        <v>0</v>
      </c>
    </row>
    <row r="308" spans="1:72">
      <c r="A308" s="3304"/>
      <c r="B308" s="3305"/>
      <c r="C308" s="3305"/>
      <c r="D308" s="3306"/>
      <c r="E308" s="3307">
        <f t="shared" si="177"/>
        <v>0</v>
      </c>
      <c r="F308" s="3308"/>
      <c r="G308" s="3309">
        <f t="shared" si="152"/>
        <v>0</v>
      </c>
      <c r="H308" s="3310">
        <f t="shared" si="153"/>
        <v>0</v>
      </c>
      <c r="I308" s="3317"/>
      <c r="J308" s="3317"/>
      <c r="K308" s="3317"/>
      <c r="L308" s="3317"/>
      <c r="M308" s="3317"/>
      <c r="N308" s="3317"/>
      <c r="O308" s="3317"/>
      <c r="P308" s="3317"/>
      <c r="Q308" s="3317"/>
      <c r="R308" s="3317"/>
      <c r="S308" s="3317"/>
      <c r="T308" s="3317"/>
      <c r="U308" s="3317"/>
      <c r="V308" s="3317"/>
      <c r="W308" s="3317"/>
      <c r="X308" s="3317"/>
      <c r="Y308" s="3317"/>
      <c r="Z308" s="3317"/>
      <c r="AA308" s="3317"/>
      <c r="AB308" s="3317"/>
      <c r="AC308" s="3307">
        <f t="shared" si="154"/>
        <v>0</v>
      </c>
      <c r="AD308" s="3327"/>
      <c r="AE308" s="3327"/>
      <c r="AF308" s="3327"/>
      <c r="AG308" s="3327"/>
      <c r="AH308" s="3327"/>
      <c r="AI308" s="3327"/>
      <c r="AJ308" s="3327"/>
      <c r="AK308" s="3327"/>
      <c r="AL308" s="3327"/>
      <c r="AM308" s="3327"/>
      <c r="AN308" s="3327"/>
      <c r="AO308" s="3327"/>
      <c r="AP308" s="3327"/>
      <c r="AQ308" s="3327"/>
      <c r="AR308" s="3327"/>
      <c r="AS308" s="3327"/>
      <c r="AT308" s="3337"/>
      <c r="AU308" s="3338"/>
      <c r="AV308" s="1410">
        <f t="shared" si="178"/>
        <v>0</v>
      </c>
      <c r="AW308" s="1410">
        <f t="shared" si="179"/>
        <v>0</v>
      </c>
      <c r="AX308" s="1410">
        <f t="shared" si="180"/>
        <v>0</v>
      </c>
      <c r="AY308" s="3352">
        <f t="shared" si="155"/>
        <v>0</v>
      </c>
      <c r="AZ308" s="3307">
        <f t="shared" si="156"/>
        <v>0</v>
      </c>
      <c r="BA308" s="3307">
        <f t="shared" si="157"/>
        <v>0</v>
      </c>
      <c r="BB308" s="3307">
        <f t="shared" si="158"/>
        <v>0</v>
      </c>
      <c r="BC308" s="3307">
        <f t="shared" si="159"/>
        <v>0</v>
      </c>
      <c r="BD308" s="3307">
        <f t="shared" si="160"/>
        <v>0</v>
      </c>
      <c r="BE308" s="3307">
        <f t="shared" si="161"/>
        <v>0</v>
      </c>
      <c r="BF308" s="3307">
        <f t="shared" si="162"/>
        <v>0</v>
      </c>
      <c r="BG308" s="3307">
        <f t="shared" si="163"/>
        <v>0</v>
      </c>
      <c r="BH308" s="3307">
        <f t="shared" si="164"/>
        <v>0</v>
      </c>
      <c r="BI308" s="3307">
        <f t="shared" si="165"/>
        <v>0</v>
      </c>
      <c r="BJ308" s="3307">
        <f t="shared" si="166"/>
        <v>0</v>
      </c>
      <c r="BK308" s="3307">
        <f t="shared" si="167"/>
        <v>0</v>
      </c>
      <c r="BL308" s="3307">
        <f t="shared" si="168"/>
        <v>0</v>
      </c>
      <c r="BM308" s="3307">
        <f t="shared" si="169"/>
        <v>0</v>
      </c>
      <c r="BN308" s="3307">
        <f t="shared" si="170"/>
        <v>0</v>
      </c>
      <c r="BO308" s="3307">
        <f t="shared" si="171"/>
        <v>0</v>
      </c>
      <c r="BP308" s="3307">
        <f t="shared" si="172"/>
        <v>0</v>
      </c>
      <c r="BQ308" s="3307">
        <f t="shared" si="173"/>
        <v>0</v>
      </c>
      <c r="BR308" s="3307">
        <f t="shared" si="174"/>
        <v>0</v>
      </c>
      <c r="BS308" s="3307">
        <f t="shared" si="175"/>
        <v>0</v>
      </c>
      <c r="BT308" s="3359">
        <f t="shared" si="176"/>
        <v>0</v>
      </c>
    </row>
    <row r="309" spans="1:72">
      <c r="A309" s="3304"/>
      <c r="B309" s="3305"/>
      <c r="C309" s="3305"/>
      <c r="D309" s="3306"/>
      <c r="E309" s="3307">
        <f t="shared" si="177"/>
        <v>0</v>
      </c>
      <c r="F309" s="3308"/>
      <c r="G309" s="3309">
        <f t="shared" si="152"/>
        <v>0</v>
      </c>
      <c r="H309" s="3310">
        <f t="shared" si="153"/>
        <v>0</v>
      </c>
      <c r="I309" s="3317"/>
      <c r="J309" s="3317"/>
      <c r="K309" s="3317"/>
      <c r="L309" s="3317"/>
      <c r="M309" s="3317"/>
      <c r="N309" s="3317"/>
      <c r="O309" s="3317"/>
      <c r="P309" s="3317"/>
      <c r="Q309" s="3317"/>
      <c r="R309" s="3317"/>
      <c r="S309" s="3317"/>
      <c r="T309" s="3317"/>
      <c r="U309" s="3317"/>
      <c r="V309" s="3317"/>
      <c r="W309" s="3317"/>
      <c r="X309" s="3317"/>
      <c r="Y309" s="3317"/>
      <c r="Z309" s="3317"/>
      <c r="AA309" s="3317"/>
      <c r="AB309" s="3317"/>
      <c r="AC309" s="3307">
        <f t="shared" si="154"/>
        <v>0</v>
      </c>
      <c r="AD309" s="3327"/>
      <c r="AE309" s="3327"/>
      <c r="AF309" s="3327"/>
      <c r="AG309" s="3327"/>
      <c r="AH309" s="3327"/>
      <c r="AI309" s="3327"/>
      <c r="AJ309" s="3327"/>
      <c r="AK309" s="3327"/>
      <c r="AL309" s="3327"/>
      <c r="AM309" s="3327"/>
      <c r="AN309" s="3327"/>
      <c r="AO309" s="3327"/>
      <c r="AP309" s="3327"/>
      <c r="AQ309" s="3327"/>
      <c r="AR309" s="3327"/>
      <c r="AS309" s="3327"/>
      <c r="AT309" s="3337"/>
      <c r="AU309" s="3338"/>
      <c r="AV309" s="1410">
        <f t="shared" si="178"/>
        <v>0</v>
      </c>
      <c r="AW309" s="1410">
        <f t="shared" si="179"/>
        <v>0</v>
      </c>
      <c r="AX309" s="1410">
        <f t="shared" si="180"/>
        <v>0</v>
      </c>
      <c r="AY309" s="3352">
        <f t="shared" si="155"/>
        <v>0</v>
      </c>
      <c r="AZ309" s="3307">
        <f t="shared" si="156"/>
        <v>0</v>
      </c>
      <c r="BA309" s="3307">
        <f t="shared" si="157"/>
        <v>0</v>
      </c>
      <c r="BB309" s="3307">
        <f t="shared" si="158"/>
        <v>0</v>
      </c>
      <c r="BC309" s="3307">
        <f t="shared" si="159"/>
        <v>0</v>
      </c>
      <c r="BD309" s="3307">
        <f t="shared" si="160"/>
        <v>0</v>
      </c>
      <c r="BE309" s="3307">
        <f t="shared" si="161"/>
        <v>0</v>
      </c>
      <c r="BF309" s="3307">
        <f t="shared" si="162"/>
        <v>0</v>
      </c>
      <c r="BG309" s="3307">
        <f t="shared" si="163"/>
        <v>0</v>
      </c>
      <c r="BH309" s="3307">
        <f t="shared" si="164"/>
        <v>0</v>
      </c>
      <c r="BI309" s="3307">
        <f t="shared" si="165"/>
        <v>0</v>
      </c>
      <c r="BJ309" s="3307">
        <f t="shared" si="166"/>
        <v>0</v>
      </c>
      <c r="BK309" s="3307">
        <f t="shared" si="167"/>
        <v>0</v>
      </c>
      <c r="BL309" s="3307">
        <f t="shared" si="168"/>
        <v>0</v>
      </c>
      <c r="BM309" s="3307">
        <f t="shared" si="169"/>
        <v>0</v>
      </c>
      <c r="BN309" s="3307">
        <f t="shared" si="170"/>
        <v>0</v>
      </c>
      <c r="BO309" s="3307">
        <f t="shared" si="171"/>
        <v>0</v>
      </c>
      <c r="BP309" s="3307">
        <f t="shared" si="172"/>
        <v>0</v>
      </c>
      <c r="BQ309" s="3307">
        <f t="shared" si="173"/>
        <v>0</v>
      </c>
      <c r="BR309" s="3307">
        <f t="shared" si="174"/>
        <v>0</v>
      </c>
      <c r="BS309" s="3307">
        <f t="shared" si="175"/>
        <v>0</v>
      </c>
      <c r="BT309" s="3359">
        <f t="shared" si="176"/>
        <v>0</v>
      </c>
    </row>
    <row r="310" spans="1:72">
      <c r="A310" s="3304"/>
      <c r="B310" s="3305"/>
      <c r="C310" s="3305"/>
      <c r="D310" s="3306"/>
      <c r="E310" s="3307">
        <f t="shared" si="177"/>
        <v>0</v>
      </c>
      <c r="F310" s="3308"/>
      <c r="G310" s="3309">
        <f t="shared" si="152"/>
        <v>0</v>
      </c>
      <c r="H310" s="3310">
        <f t="shared" si="153"/>
        <v>0</v>
      </c>
      <c r="I310" s="3317"/>
      <c r="J310" s="3317"/>
      <c r="K310" s="3317"/>
      <c r="L310" s="3317"/>
      <c r="M310" s="3317"/>
      <c r="N310" s="3317"/>
      <c r="O310" s="3317"/>
      <c r="P310" s="3317"/>
      <c r="Q310" s="3317"/>
      <c r="R310" s="3317"/>
      <c r="S310" s="3317"/>
      <c r="T310" s="3317"/>
      <c r="U310" s="3317"/>
      <c r="V310" s="3317"/>
      <c r="W310" s="3317"/>
      <c r="X310" s="3317"/>
      <c r="Y310" s="3317"/>
      <c r="Z310" s="3317"/>
      <c r="AA310" s="3317"/>
      <c r="AB310" s="3317"/>
      <c r="AC310" s="3307">
        <f t="shared" si="154"/>
        <v>0</v>
      </c>
      <c r="AD310" s="3327"/>
      <c r="AE310" s="3327"/>
      <c r="AF310" s="3327"/>
      <c r="AG310" s="3327"/>
      <c r="AH310" s="3327"/>
      <c r="AI310" s="3327"/>
      <c r="AJ310" s="3327"/>
      <c r="AK310" s="3327"/>
      <c r="AL310" s="3327"/>
      <c r="AM310" s="3327"/>
      <c r="AN310" s="3327"/>
      <c r="AO310" s="3327"/>
      <c r="AP310" s="3327"/>
      <c r="AQ310" s="3327"/>
      <c r="AR310" s="3327"/>
      <c r="AS310" s="3327"/>
      <c r="AT310" s="3337"/>
      <c r="AU310" s="3338"/>
      <c r="AV310" s="1410">
        <f t="shared" si="178"/>
        <v>0</v>
      </c>
      <c r="AW310" s="1410">
        <f t="shared" si="179"/>
        <v>0</v>
      </c>
      <c r="AX310" s="1410">
        <f t="shared" si="180"/>
        <v>0</v>
      </c>
      <c r="AY310" s="3352">
        <f t="shared" si="155"/>
        <v>0</v>
      </c>
      <c r="AZ310" s="3307">
        <f t="shared" si="156"/>
        <v>0</v>
      </c>
      <c r="BA310" s="3307">
        <f t="shared" si="157"/>
        <v>0</v>
      </c>
      <c r="BB310" s="3307">
        <f t="shared" si="158"/>
        <v>0</v>
      </c>
      <c r="BC310" s="3307">
        <f t="shared" si="159"/>
        <v>0</v>
      </c>
      <c r="BD310" s="3307">
        <f t="shared" si="160"/>
        <v>0</v>
      </c>
      <c r="BE310" s="3307">
        <f t="shared" si="161"/>
        <v>0</v>
      </c>
      <c r="BF310" s="3307">
        <f t="shared" si="162"/>
        <v>0</v>
      </c>
      <c r="BG310" s="3307">
        <f t="shared" si="163"/>
        <v>0</v>
      </c>
      <c r="BH310" s="3307">
        <f t="shared" si="164"/>
        <v>0</v>
      </c>
      <c r="BI310" s="3307">
        <f t="shared" si="165"/>
        <v>0</v>
      </c>
      <c r="BJ310" s="3307">
        <f t="shared" si="166"/>
        <v>0</v>
      </c>
      <c r="BK310" s="3307">
        <f t="shared" si="167"/>
        <v>0</v>
      </c>
      <c r="BL310" s="3307">
        <f t="shared" si="168"/>
        <v>0</v>
      </c>
      <c r="BM310" s="3307">
        <f t="shared" si="169"/>
        <v>0</v>
      </c>
      <c r="BN310" s="3307">
        <f t="shared" si="170"/>
        <v>0</v>
      </c>
      <c r="BO310" s="3307">
        <f t="shared" si="171"/>
        <v>0</v>
      </c>
      <c r="BP310" s="3307">
        <f t="shared" si="172"/>
        <v>0</v>
      </c>
      <c r="BQ310" s="3307">
        <f t="shared" si="173"/>
        <v>0</v>
      </c>
      <c r="BR310" s="3307">
        <f t="shared" si="174"/>
        <v>0</v>
      </c>
      <c r="BS310" s="3307">
        <f t="shared" si="175"/>
        <v>0</v>
      </c>
      <c r="BT310" s="3359">
        <f t="shared" si="176"/>
        <v>0</v>
      </c>
    </row>
    <row r="311" spans="1:72">
      <c r="A311" s="3304"/>
      <c r="B311" s="3305"/>
      <c r="C311" s="3305"/>
      <c r="D311" s="3306"/>
      <c r="E311" s="3307">
        <f t="shared" si="177"/>
        <v>0</v>
      </c>
      <c r="F311" s="3308"/>
      <c r="G311" s="3309">
        <f t="shared" si="152"/>
        <v>0</v>
      </c>
      <c r="H311" s="3310">
        <f t="shared" si="153"/>
        <v>0</v>
      </c>
      <c r="I311" s="3317"/>
      <c r="J311" s="3317"/>
      <c r="K311" s="3317"/>
      <c r="L311" s="3317"/>
      <c r="M311" s="3317"/>
      <c r="N311" s="3317"/>
      <c r="O311" s="3317"/>
      <c r="P311" s="3317"/>
      <c r="Q311" s="3317"/>
      <c r="R311" s="3317"/>
      <c r="S311" s="3317"/>
      <c r="T311" s="3317"/>
      <c r="U311" s="3317"/>
      <c r="V311" s="3317"/>
      <c r="W311" s="3317"/>
      <c r="X311" s="3317"/>
      <c r="Y311" s="3317"/>
      <c r="Z311" s="3317"/>
      <c r="AA311" s="3317"/>
      <c r="AB311" s="3317"/>
      <c r="AC311" s="3307">
        <f t="shared" si="154"/>
        <v>0</v>
      </c>
      <c r="AD311" s="3327"/>
      <c r="AE311" s="3327"/>
      <c r="AF311" s="3327"/>
      <c r="AG311" s="3327"/>
      <c r="AH311" s="3327"/>
      <c r="AI311" s="3327"/>
      <c r="AJ311" s="3327"/>
      <c r="AK311" s="3327"/>
      <c r="AL311" s="3327"/>
      <c r="AM311" s="3327"/>
      <c r="AN311" s="3327"/>
      <c r="AO311" s="3327"/>
      <c r="AP311" s="3327"/>
      <c r="AQ311" s="3327"/>
      <c r="AR311" s="3327"/>
      <c r="AS311" s="3327"/>
      <c r="AT311" s="3337"/>
      <c r="AU311" s="3338"/>
      <c r="AV311" s="1410">
        <f t="shared" si="178"/>
        <v>0</v>
      </c>
      <c r="AW311" s="1410">
        <f t="shared" si="179"/>
        <v>0</v>
      </c>
      <c r="AX311" s="1410">
        <f t="shared" si="180"/>
        <v>0</v>
      </c>
      <c r="AY311" s="3352">
        <f t="shared" si="155"/>
        <v>0</v>
      </c>
      <c r="AZ311" s="3307">
        <f t="shared" si="156"/>
        <v>0</v>
      </c>
      <c r="BA311" s="3307">
        <f t="shared" si="157"/>
        <v>0</v>
      </c>
      <c r="BB311" s="3307">
        <f t="shared" si="158"/>
        <v>0</v>
      </c>
      <c r="BC311" s="3307">
        <f t="shared" si="159"/>
        <v>0</v>
      </c>
      <c r="BD311" s="3307">
        <f t="shared" si="160"/>
        <v>0</v>
      </c>
      <c r="BE311" s="3307">
        <f t="shared" si="161"/>
        <v>0</v>
      </c>
      <c r="BF311" s="3307">
        <f t="shared" si="162"/>
        <v>0</v>
      </c>
      <c r="BG311" s="3307">
        <f t="shared" si="163"/>
        <v>0</v>
      </c>
      <c r="BH311" s="3307">
        <f t="shared" si="164"/>
        <v>0</v>
      </c>
      <c r="BI311" s="3307">
        <f t="shared" si="165"/>
        <v>0</v>
      </c>
      <c r="BJ311" s="3307">
        <f t="shared" si="166"/>
        <v>0</v>
      </c>
      <c r="BK311" s="3307">
        <f t="shared" si="167"/>
        <v>0</v>
      </c>
      <c r="BL311" s="3307">
        <f t="shared" si="168"/>
        <v>0</v>
      </c>
      <c r="BM311" s="3307">
        <f t="shared" si="169"/>
        <v>0</v>
      </c>
      <c r="BN311" s="3307">
        <f t="shared" si="170"/>
        <v>0</v>
      </c>
      <c r="BO311" s="3307">
        <f t="shared" si="171"/>
        <v>0</v>
      </c>
      <c r="BP311" s="3307">
        <f t="shared" si="172"/>
        <v>0</v>
      </c>
      <c r="BQ311" s="3307">
        <f t="shared" si="173"/>
        <v>0</v>
      </c>
      <c r="BR311" s="3307">
        <f t="shared" si="174"/>
        <v>0</v>
      </c>
      <c r="BS311" s="3307">
        <f t="shared" si="175"/>
        <v>0</v>
      </c>
      <c r="BT311" s="3359">
        <f t="shared" si="176"/>
        <v>0</v>
      </c>
    </row>
    <row r="312" spans="1:72">
      <c r="A312" s="3304"/>
      <c r="B312" s="3305"/>
      <c r="C312" s="3305"/>
      <c r="D312" s="3306"/>
      <c r="E312" s="3307">
        <f t="shared" si="177"/>
        <v>0</v>
      </c>
      <c r="F312" s="3308"/>
      <c r="G312" s="3309">
        <f t="shared" si="152"/>
        <v>0</v>
      </c>
      <c r="H312" s="3310">
        <f t="shared" si="153"/>
        <v>0</v>
      </c>
      <c r="I312" s="3317"/>
      <c r="J312" s="3317"/>
      <c r="K312" s="3317"/>
      <c r="L312" s="3317"/>
      <c r="M312" s="3317"/>
      <c r="N312" s="3317"/>
      <c r="O312" s="3317"/>
      <c r="P312" s="3317"/>
      <c r="Q312" s="3317"/>
      <c r="R312" s="3317"/>
      <c r="S312" s="3317"/>
      <c r="T312" s="3317"/>
      <c r="U312" s="3317"/>
      <c r="V312" s="3317"/>
      <c r="W312" s="3317"/>
      <c r="X312" s="3317"/>
      <c r="Y312" s="3317"/>
      <c r="Z312" s="3317"/>
      <c r="AA312" s="3317"/>
      <c r="AB312" s="3317"/>
      <c r="AC312" s="3307">
        <f t="shared" si="154"/>
        <v>0</v>
      </c>
      <c r="AD312" s="3327"/>
      <c r="AE312" s="3327"/>
      <c r="AF312" s="3327"/>
      <c r="AG312" s="3327"/>
      <c r="AH312" s="3327"/>
      <c r="AI312" s="3327"/>
      <c r="AJ312" s="3327"/>
      <c r="AK312" s="3327"/>
      <c r="AL312" s="3327"/>
      <c r="AM312" s="3327"/>
      <c r="AN312" s="3327"/>
      <c r="AO312" s="3327"/>
      <c r="AP312" s="3327"/>
      <c r="AQ312" s="3327"/>
      <c r="AR312" s="3327"/>
      <c r="AS312" s="3327"/>
      <c r="AT312" s="3337"/>
      <c r="AU312" s="3338"/>
      <c r="AV312" s="1410">
        <f t="shared" si="178"/>
        <v>0</v>
      </c>
      <c r="AW312" s="1410">
        <f t="shared" si="179"/>
        <v>0</v>
      </c>
      <c r="AX312" s="1410">
        <f t="shared" si="180"/>
        <v>0</v>
      </c>
      <c r="AY312" s="3352">
        <f t="shared" si="155"/>
        <v>0</v>
      </c>
      <c r="AZ312" s="3307">
        <f t="shared" si="156"/>
        <v>0</v>
      </c>
      <c r="BA312" s="3307">
        <f t="shared" si="157"/>
        <v>0</v>
      </c>
      <c r="BB312" s="3307">
        <f t="shared" si="158"/>
        <v>0</v>
      </c>
      <c r="BC312" s="3307">
        <f t="shared" si="159"/>
        <v>0</v>
      </c>
      <c r="BD312" s="3307">
        <f t="shared" si="160"/>
        <v>0</v>
      </c>
      <c r="BE312" s="3307">
        <f t="shared" si="161"/>
        <v>0</v>
      </c>
      <c r="BF312" s="3307">
        <f t="shared" si="162"/>
        <v>0</v>
      </c>
      <c r="BG312" s="3307">
        <f t="shared" si="163"/>
        <v>0</v>
      </c>
      <c r="BH312" s="3307">
        <f t="shared" si="164"/>
        <v>0</v>
      </c>
      <c r="BI312" s="3307">
        <f t="shared" si="165"/>
        <v>0</v>
      </c>
      <c r="BJ312" s="3307">
        <f t="shared" si="166"/>
        <v>0</v>
      </c>
      <c r="BK312" s="3307">
        <f t="shared" si="167"/>
        <v>0</v>
      </c>
      <c r="BL312" s="3307">
        <f t="shared" si="168"/>
        <v>0</v>
      </c>
      <c r="BM312" s="3307">
        <f t="shared" si="169"/>
        <v>0</v>
      </c>
      <c r="BN312" s="3307">
        <f t="shared" si="170"/>
        <v>0</v>
      </c>
      <c r="BO312" s="3307">
        <f t="shared" si="171"/>
        <v>0</v>
      </c>
      <c r="BP312" s="3307">
        <f t="shared" si="172"/>
        <v>0</v>
      </c>
      <c r="BQ312" s="3307">
        <f t="shared" si="173"/>
        <v>0</v>
      </c>
      <c r="BR312" s="3307">
        <f t="shared" si="174"/>
        <v>0</v>
      </c>
      <c r="BS312" s="3307">
        <f t="shared" si="175"/>
        <v>0</v>
      </c>
      <c r="BT312" s="3359">
        <f t="shared" si="176"/>
        <v>0</v>
      </c>
    </row>
    <row r="313" spans="1:72">
      <c r="A313" s="3304"/>
      <c r="B313" s="3305"/>
      <c r="C313" s="3305"/>
      <c r="D313" s="3306"/>
      <c r="E313" s="3307">
        <f t="shared" si="177"/>
        <v>0</v>
      </c>
      <c r="F313" s="3308"/>
      <c r="G313" s="3309">
        <f t="shared" si="152"/>
        <v>0</v>
      </c>
      <c r="H313" s="3310">
        <f t="shared" si="153"/>
        <v>0</v>
      </c>
      <c r="I313" s="3317"/>
      <c r="J313" s="3317"/>
      <c r="K313" s="3317"/>
      <c r="L313" s="3317"/>
      <c r="M313" s="3317"/>
      <c r="N313" s="3317"/>
      <c r="O313" s="3317"/>
      <c r="P313" s="3317"/>
      <c r="Q313" s="3317"/>
      <c r="R313" s="3317"/>
      <c r="S313" s="3317"/>
      <c r="T313" s="3317"/>
      <c r="U313" s="3317"/>
      <c r="V313" s="3317"/>
      <c r="W313" s="3317"/>
      <c r="X313" s="3317"/>
      <c r="Y313" s="3317"/>
      <c r="Z313" s="3317"/>
      <c r="AA313" s="3317"/>
      <c r="AB313" s="3317"/>
      <c r="AC313" s="3307">
        <f t="shared" si="154"/>
        <v>0</v>
      </c>
      <c r="AD313" s="3327"/>
      <c r="AE313" s="3327"/>
      <c r="AF313" s="3327"/>
      <c r="AG313" s="3327"/>
      <c r="AH313" s="3327"/>
      <c r="AI313" s="3327"/>
      <c r="AJ313" s="3327"/>
      <c r="AK313" s="3327"/>
      <c r="AL313" s="3327"/>
      <c r="AM313" s="3327"/>
      <c r="AN313" s="3327"/>
      <c r="AO313" s="3327"/>
      <c r="AP313" s="3327"/>
      <c r="AQ313" s="3327"/>
      <c r="AR313" s="3327"/>
      <c r="AS313" s="3327"/>
      <c r="AT313" s="3337"/>
      <c r="AU313" s="3338"/>
      <c r="AV313" s="1410">
        <f t="shared" si="178"/>
        <v>0</v>
      </c>
      <c r="AW313" s="1410">
        <f t="shared" si="179"/>
        <v>0</v>
      </c>
      <c r="AX313" s="1410">
        <f t="shared" si="180"/>
        <v>0</v>
      </c>
      <c r="AY313" s="3352">
        <f t="shared" si="155"/>
        <v>0</v>
      </c>
      <c r="AZ313" s="3307">
        <f t="shared" si="156"/>
        <v>0</v>
      </c>
      <c r="BA313" s="3307">
        <f t="shared" si="157"/>
        <v>0</v>
      </c>
      <c r="BB313" s="3307">
        <f t="shared" si="158"/>
        <v>0</v>
      </c>
      <c r="BC313" s="3307">
        <f t="shared" si="159"/>
        <v>0</v>
      </c>
      <c r="BD313" s="3307">
        <f t="shared" si="160"/>
        <v>0</v>
      </c>
      <c r="BE313" s="3307">
        <f t="shared" si="161"/>
        <v>0</v>
      </c>
      <c r="BF313" s="3307">
        <f t="shared" si="162"/>
        <v>0</v>
      </c>
      <c r="BG313" s="3307">
        <f t="shared" si="163"/>
        <v>0</v>
      </c>
      <c r="BH313" s="3307">
        <f t="shared" si="164"/>
        <v>0</v>
      </c>
      <c r="BI313" s="3307">
        <f t="shared" si="165"/>
        <v>0</v>
      </c>
      <c r="BJ313" s="3307">
        <f t="shared" si="166"/>
        <v>0</v>
      </c>
      <c r="BK313" s="3307">
        <f t="shared" si="167"/>
        <v>0</v>
      </c>
      <c r="BL313" s="3307">
        <f t="shared" si="168"/>
        <v>0</v>
      </c>
      <c r="BM313" s="3307">
        <f t="shared" si="169"/>
        <v>0</v>
      </c>
      <c r="BN313" s="3307">
        <f t="shared" si="170"/>
        <v>0</v>
      </c>
      <c r="BO313" s="3307">
        <f t="shared" si="171"/>
        <v>0</v>
      </c>
      <c r="BP313" s="3307">
        <f t="shared" si="172"/>
        <v>0</v>
      </c>
      <c r="BQ313" s="3307">
        <f t="shared" si="173"/>
        <v>0</v>
      </c>
      <c r="BR313" s="3307">
        <f t="shared" si="174"/>
        <v>0</v>
      </c>
      <c r="BS313" s="3307">
        <f t="shared" si="175"/>
        <v>0</v>
      </c>
      <c r="BT313" s="3359">
        <f t="shared" si="176"/>
        <v>0</v>
      </c>
    </row>
    <row r="314" spans="1:72">
      <c r="A314" s="3304"/>
      <c r="B314" s="3305"/>
      <c r="C314" s="3305"/>
      <c r="D314" s="3306"/>
      <c r="E314" s="3307">
        <f t="shared" si="177"/>
        <v>0</v>
      </c>
      <c r="F314" s="3308"/>
      <c r="G314" s="3309">
        <f t="shared" si="152"/>
        <v>0</v>
      </c>
      <c r="H314" s="3310">
        <f t="shared" si="153"/>
        <v>0</v>
      </c>
      <c r="I314" s="3317"/>
      <c r="J314" s="3317"/>
      <c r="K314" s="3317"/>
      <c r="L314" s="3317"/>
      <c r="M314" s="3317"/>
      <c r="N314" s="3317"/>
      <c r="O314" s="3317"/>
      <c r="P314" s="3317"/>
      <c r="Q314" s="3317"/>
      <c r="R314" s="3317"/>
      <c r="S314" s="3317"/>
      <c r="T314" s="3317"/>
      <c r="U314" s="3317"/>
      <c r="V314" s="3317"/>
      <c r="W314" s="3317"/>
      <c r="X314" s="3317"/>
      <c r="Y314" s="3317"/>
      <c r="Z314" s="3317"/>
      <c r="AA314" s="3317"/>
      <c r="AB314" s="3317"/>
      <c r="AC314" s="3307">
        <f t="shared" si="154"/>
        <v>0</v>
      </c>
      <c r="AD314" s="3327"/>
      <c r="AE314" s="3327"/>
      <c r="AF314" s="3327"/>
      <c r="AG314" s="3327"/>
      <c r="AH314" s="3327"/>
      <c r="AI314" s="3327"/>
      <c r="AJ314" s="3327"/>
      <c r="AK314" s="3327"/>
      <c r="AL314" s="3327"/>
      <c r="AM314" s="3327"/>
      <c r="AN314" s="3327"/>
      <c r="AO314" s="3327"/>
      <c r="AP314" s="3327"/>
      <c r="AQ314" s="3327"/>
      <c r="AR314" s="3327"/>
      <c r="AS314" s="3327"/>
      <c r="AT314" s="3337"/>
      <c r="AU314" s="3338"/>
      <c r="AV314" s="1410">
        <f t="shared" si="178"/>
        <v>0</v>
      </c>
      <c r="AW314" s="1410">
        <f t="shared" si="179"/>
        <v>0</v>
      </c>
      <c r="AX314" s="1410">
        <f t="shared" si="180"/>
        <v>0</v>
      </c>
      <c r="AY314" s="3352">
        <f t="shared" si="155"/>
        <v>0</v>
      </c>
      <c r="AZ314" s="3307">
        <f t="shared" si="156"/>
        <v>0</v>
      </c>
      <c r="BA314" s="3307">
        <f t="shared" si="157"/>
        <v>0</v>
      </c>
      <c r="BB314" s="3307">
        <f t="shared" si="158"/>
        <v>0</v>
      </c>
      <c r="BC314" s="3307">
        <f t="shared" si="159"/>
        <v>0</v>
      </c>
      <c r="BD314" s="3307">
        <f t="shared" si="160"/>
        <v>0</v>
      </c>
      <c r="BE314" s="3307">
        <f t="shared" si="161"/>
        <v>0</v>
      </c>
      <c r="BF314" s="3307">
        <f t="shared" si="162"/>
        <v>0</v>
      </c>
      <c r="BG314" s="3307">
        <f t="shared" si="163"/>
        <v>0</v>
      </c>
      <c r="BH314" s="3307">
        <f t="shared" si="164"/>
        <v>0</v>
      </c>
      <c r="BI314" s="3307">
        <f t="shared" si="165"/>
        <v>0</v>
      </c>
      <c r="BJ314" s="3307">
        <f t="shared" si="166"/>
        <v>0</v>
      </c>
      <c r="BK314" s="3307">
        <f t="shared" si="167"/>
        <v>0</v>
      </c>
      <c r="BL314" s="3307">
        <f t="shared" si="168"/>
        <v>0</v>
      </c>
      <c r="BM314" s="3307">
        <f t="shared" si="169"/>
        <v>0</v>
      </c>
      <c r="BN314" s="3307">
        <f t="shared" si="170"/>
        <v>0</v>
      </c>
      <c r="BO314" s="3307">
        <f t="shared" si="171"/>
        <v>0</v>
      </c>
      <c r="BP314" s="3307">
        <f t="shared" si="172"/>
        <v>0</v>
      </c>
      <c r="BQ314" s="3307">
        <f t="shared" si="173"/>
        <v>0</v>
      </c>
      <c r="BR314" s="3307">
        <f t="shared" si="174"/>
        <v>0</v>
      </c>
      <c r="BS314" s="3307">
        <f t="shared" si="175"/>
        <v>0</v>
      </c>
      <c r="BT314" s="3359">
        <f t="shared" si="176"/>
        <v>0</v>
      </c>
    </row>
    <row r="315" spans="1:72">
      <c r="A315" s="3304"/>
      <c r="B315" s="3305"/>
      <c r="C315" s="3305"/>
      <c r="D315" s="3306"/>
      <c r="E315" s="3307">
        <f t="shared" si="177"/>
        <v>0</v>
      </c>
      <c r="F315" s="3308"/>
      <c r="G315" s="3309">
        <f t="shared" si="152"/>
        <v>0</v>
      </c>
      <c r="H315" s="3310">
        <f t="shared" si="153"/>
        <v>0</v>
      </c>
      <c r="I315" s="3317"/>
      <c r="J315" s="3317"/>
      <c r="K315" s="3317"/>
      <c r="L315" s="3317"/>
      <c r="M315" s="3317"/>
      <c r="N315" s="3317"/>
      <c r="O315" s="3317"/>
      <c r="P315" s="3317"/>
      <c r="Q315" s="3317"/>
      <c r="R315" s="3317"/>
      <c r="S315" s="3317"/>
      <c r="T315" s="3317"/>
      <c r="U315" s="3317"/>
      <c r="V315" s="3317"/>
      <c r="W315" s="3317"/>
      <c r="X315" s="3317"/>
      <c r="Y315" s="3317"/>
      <c r="Z315" s="3317"/>
      <c r="AA315" s="3317"/>
      <c r="AB315" s="3317"/>
      <c r="AC315" s="3307">
        <f t="shared" si="154"/>
        <v>0</v>
      </c>
      <c r="AD315" s="3327"/>
      <c r="AE315" s="3327"/>
      <c r="AF315" s="3327"/>
      <c r="AG315" s="3327"/>
      <c r="AH315" s="3327"/>
      <c r="AI315" s="3327"/>
      <c r="AJ315" s="3327"/>
      <c r="AK315" s="3327"/>
      <c r="AL315" s="3327"/>
      <c r="AM315" s="3327"/>
      <c r="AN315" s="3327"/>
      <c r="AO315" s="3327"/>
      <c r="AP315" s="3327"/>
      <c r="AQ315" s="3327"/>
      <c r="AR315" s="3327"/>
      <c r="AS315" s="3327"/>
      <c r="AT315" s="3337"/>
      <c r="AU315" s="3338"/>
      <c r="AV315" s="1410">
        <f t="shared" si="178"/>
        <v>0</v>
      </c>
      <c r="AW315" s="1410">
        <f t="shared" si="179"/>
        <v>0</v>
      </c>
      <c r="AX315" s="1410">
        <f t="shared" si="180"/>
        <v>0</v>
      </c>
      <c r="AY315" s="3352">
        <f t="shared" si="155"/>
        <v>0</v>
      </c>
      <c r="AZ315" s="3307">
        <f t="shared" si="156"/>
        <v>0</v>
      </c>
      <c r="BA315" s="3307">
        <f t="shared" si="157"/>
        <v>0</v>
      </c>
      <c r="BB315" s="3307">
        <f t="shared" si="158"/>
        <v>0</v>
      </c>
      <c r="BC315" s="3307">
        <f t="shared" si="159"/>
        <v>0</v>
      </c>
      <c r="BD315" s="3307">
        <f t="shared" si="160"/>
        <v>0</v>
      </c>
      <c r="BE315" s="3307">
        <f t="shared" si="161"/>
        <v>0</v>
      </c>
      <c r="BF315" s="3307">
        <f t="shared" si="162"/>
        <v>0</v>
      </c>
      <c r="BG315" s="3307">
        <f t="shared" si="163"/>
        <v>0</v>
      </c>
      <c r="BH315" s="3307">
        <f t="shared" si="164"/>
        <v>0</v>
      </c>
      <c r="BI315" s="3307">
        <f t="shared" si="165"/>
        <v>0</v>
      </c>
      <c r="BJ315" s="3307">
        <f t="shared" si="166"/>
        <v>0</v>
      </c>
      <c r="BK315" s="3307">
        <f t="shared" si="167"/>
        <v>0</v>
      </c>
      <c r="BL315" s="3307">
        <f t="shared" si="168"/>
        <v>0</v>
      </c>
      <c r="BM315" s="3307">
        <f t="shared" si="169"/>
        <v>0</v>
      </c>
      <c r="BN315" s="3307">
        <f t="shared" si="170"/>
        <v>0</v>
      </c>
      <c r="BO315" s="3307">
        <f t="shared" si="171"/>
        <v>0</v>
      </c>
      <c r="BP315" s="3307">
        <f t="shared" si="172"/>
        <v>0</v>
      </c>
      <c r="BQ315" s="3307">
        <f t="shared" si="173"/>
        <v>0</v>
      </c>
      <c r="BR315" s="3307">
        <f t="shared" si="174"/>
        <v>0</v>
      </c>
      <c r="BS315" s="3307">
        <f t="shared" si="175"/>
        <v>0</v>
      </c>
      <c r="BT315" s="3359">
        <f t="shared" si="176"/>
        <v>0</v>
      </c>
    </row>
    <row r="316" spans="1:72">
      <c r="A316" s="3304"/>
      <c r="B316" s="3305"/>
      <c r="C316" s="3305"/>
      <c r="D316" s="3306"/>
      <c r="E316" s="3307">
        <f t="shared" si="177"/>
        <v>0</v>
      </c>
      <c r="F316" s="3308"/>
      <c r="G316" s="3309">
        <f t="shared" si="152"/>
        <v>0</v>
      </c>
      <c r="H316" s="3310">
        <f t="shared" si="153"/>
        <v>0</v>
      </c>
      <c r="I316" s="3317"/>
      <c r="J316" s="3317"/>
      <c r="K316" s="3317"/>
      <c r="L316" s="3317"/>
      <c r="M316" s="3317"/>
      <c r="N316" s="3317"/>
      <c r="O316" s="3317"/>
      <c r="P316" s="3317"/>
      <c r="Q316" s="3317"/>
      <c r="R316" s="3317"/>
      <c r="S316" s="3317"/>
      <c r="T316" s="3317"/>
      <c r="U316" s="3317"/>
      <c r="V316" s="3317"/>
      <c r="W316" s="3317"/>
      <c r="X316" s="3317"/>
      <c r="Y316" s="3317"/>
      <c r="Z316" s="3317"/>
      <c r="AA316" s="3317"/>
      <c r="AB316" s="3317"/>
      <c r="AC316" s="3307">
        <f t="shared" si="154"/>
        <v>0</v>
      </c>
      <c r="AD316" s="3327"/>
      <c r="AE316" s="3327"/>
      <c r="AF316" s="3327"/>
      <c r="AG316" s="3327"/>
      <c r="AH316" s="3327"/>
      <c r="AI316" s="3327"/>
      <c r="AJ316" s="3327"/>
      <c r="AK316" s="3327"/>
      <c r="AL316" s="3327"/>
      <c r="AM316" s="3327"/>
      <c r="AN316" s="3327"/>
      <c r="AO316" s="3327"/>
      <c r="AP316" s="3327"/>
      <c r="AQ316" s="3327"/>
      <c r="AR316" s="3327"/>
      <c r="AS316" s="3327"/>
      <c r="AT316" s="3337"/>
      <c r="AU316" s="3338"/>
      <c r="AV316" s="1410">
        <f t="shared" si="178"/>
        <v>0</v>
      </c>
      <c r="AW316" s="1410">
        <f t="shared" si="179"/>
        <v>0</v>
      </c>
      <c r="AX316" s="1410">
        <f t="shared" si="180"/>
        <v>0</v>
      </c>
      <c r="AY316" s="3352">
        <f t="shared" si="155"/>
        <v>0</v>
      </c>
      <c r="AZ316" s="3307">
        <f t="shared" si="156"/>
        <v>0</v>
      </c>
      <c r="BA316" s="3307">
        <f t="shared" si="157"/>
        <v>0</v>
      </c>
      <c r="BB316" s="3307">
        <f t="shared" si="158"/>
        <v>0</v>
      </c>
      <c r="BC316" s="3307">
        <f t="shared" si="159"/>
        <v>0</v>
      </c>
      <c r="BD316" s="3307">
        <f t="shared" si="160"/>
        <v>0</v>
      </c>
      <c r="BE316" s="3307">
        <f t="shared" si="161"/>
        <v>0</v>
      </c>
      <c r="BF316" s="3307">
        <f t="shared" si="162"/>
        <v>0</v>
      </c>
      <c r="BG316" s="3307">
        <f t="shared" si="163"/>
        <v>0</v>
      </c>
      <c r="BH316" s="3307">
        <f t="shared" si="164"/>
        <v>0</v>
      </c>
      <c r="BI316" s="3307">
        <f t="shared" si="165"/>
        <v>0</v>
      </c>
      <c r="BJ316" s="3307">
        <f t="shared" si="166"/>
        <v>0</v>
      </c>
      <c r="BK316" s="3307">
        <f t="shared" si="167"/>
        <v>0</v>
      </c>
      <c r="BL316" s="3307">
        <f t="shared" si="168"/>
        <v>0</v>
      </c>
      <c r="BM316" s="3307">
        <f t="shared" si="169"/>
        <v>0</v>
      </c>
      <c r="BN316" s="3307">
        <f t="shared" si="170"/>
        <v>0</v>
      </c>
      <c r="BO316" s="3307">
        <f t="shared" si="171"/>
        <v>0</v>
      </c>
      <c r="BP316" s="3307">
        <f t="shared" si="172"/>
        <v>0</v>
      </c>
      <c r="BQ316" s="3307">
        <f t="shared" si="173"/>
        <v>0</v>
      </c>
      <c r="BR316" s="3307">
        <f t="shared" si="174"/>
        <v>0</v>
      </c>
      <c r="BS316" s="3307">
        <f t="shared" si="175"/>
        <v>0</v>
      </c>
      <c r="BT316" s="3359">
        <f t="shared" si="176"/>
        <v>0</v>
      </c>
    </row>
    <row r="317" spans="1:72">
      <c r="A317" s="3304"/>
      <c r="B317" s="3305"/>
      <c r="C317" s="3305"/>
      <c r="D317" s="3306"/>
      <c r="E317" s="3307">
        <f t="shared" si="177"/>
        <v>0</v>
      </c>
      <c r="F317" s="3308"/>
      <c r="G317" s="3309">
        <f t="shared" si="152"/>
        <v>0</v>
      </c>
      <c r="H317" s="3310">
        <f t="shared" si="153"/>
        <v>0</v>
      </c>
      <c r="I317" s="3317"/>
      <c r="J317" s="3317"/>
      <c r="K317" s="3317"/>
      <c r="L317" s="3317"/>
      <c r="M317" s="3317"/>
      <c r="N317" s="3317"/>
      <c r="O317" s="3317"/>
      <c r="P317" s="3317"/>
      <c r="Q317" s="3317"/>
      <c r="R317" s="3317"/>
      <c r="S317" s="3317"/>
      <c r="T317" s="3317"/>
      <c r="U317" s="3317"/>
      <c r="V317" s="3317"/>
      <c r="W317" s="3317"/>
      <c r="X317" s="3317"/>
      <c r="Y317" s="3317"/>
      <c r="Z317" s="3317"/>
      <c r="AA317" s="3317"/>
      <c r="AB317" s="3317"/>
      <c r="AC317" s="3307">
        <f t="shared" si="154"/>
        <v>0</v>
      </c>
      <c r="AD317" s="3327"/>
      <c r="AE317" s="3327"/>
      <c r="AF317" s="3327"/>
      <c r="AG317" s="3327"/>
      <c r="AH317" s="3327"/>
      <c r="AI317" s="3327"/>
      <c r="AJ317" s="3327"/>
      <c r="AK317" s="3327"/>
      <c r="AL317" s="3327"/>
      <c r="AM317" s="3327"/>
      <c r="AN317" s="3327"/>
      <c r="AO317" s="3327"/>
      <c r="AP317" s="3327"/>
      <c r="AQ317" s="3327"/>
      <c r="AR317" s="3327"/>
      <c r="AS317" s="3327"/>
      <c r="AT317" s="3337"/>
      <c r="AU317" s="3338"/>
      <c r="AV317" s="1410">
        <f t="shared" si="178"/>
        <v>0</v>
      </c>
      <c r="AW317" s="1410">
        <f t="shared" si="179"/>
        <v>0</v>
      </c>
      <c r="AX317" s="1410">
        <f t="shared" si="180"/>
        <v>0</v>
      </c>
      <c r="AY317" s="3352">
        <f t="shared" si="155"/>
        <v>0</v>
      </c>
      <c r="AZ317" s="3307">
        <f t="shared" si="156"/>
        <v>0</v>
      </c>
      <c r="BA317" s="3307">
        <f t="shared" si="157"/>
        <v>0</v>
      </c>
      <c r="BB317" s="3307">
        <f t="shared" si="158"/>
        <v>0</v>
      </c>
      <c r="BC317" s="3307">
        <f t="shared" si="159"/>
        <v>0</v>
      </c>
      <c r="BD317" s="3307">
        <f t="shared" si="160"/>
        <v>0</v>
      </c>
      <c r="BE317" s="3307">
        <f t="shared" si="161"/>
        <v>0</v>
      </c>
      <c r="BF317" s="3307">
        <f t="shared" si="162"/>
        <v>0</v>
      </c>
      <c r="BG317" s="3307">
        <f t="shared" si="163"/>
        <v>0</v>
      </c>
      <c r="BH317" s="3307">
        <f t="shared" si="164"/>
        <v>0</v>
      </c>
      <c r="BI317" s="3307">
        <f t="shared" si="165"/>
        <v>0</v>
      </c>
      <c r="BJ317" s="3307">
        <f t="shared" si="166"/>
        <v>0</v>
      </c>
      <c r="BK317" s="3307">
        <f t="shared" si="167"/>
        <v>0</v>
      </c>
      <c r="BL317" s="3307">
        <f t="shared" si="168"/>
        <v>0</v>
      </c>
      <c r="BM317" s="3307">
        <f t="shared" si="169"/>
        <v>0</v>
      </c>
      <c r="BN317" s="3307">
        <f t="shared" si="170"/>
        <v>0</v>
      </c>
      <c r="BO317" s="3307">
        <f t="shared" si="171"/>
        <v>0</v>
      </c>
      <c r="BP317" s="3307">
        <f t="shared" si="172"/>
        <v>0</v>
      </c>
      <c r="BQ317" s="3307">
        <f t="shared" si="173"/>
        <v>0</v>
      </c>
      <c r="BR317" s="3307">
        <f t="shared" si="174"/>
        <v>0</v>
      </c>
      <c r="BS317" s="3307">
        <f t="shared" si="175"/>
        <v>0</v>
      </c>
      <c r="BT317" s="3359">
        <f t="shared" si="176"/>
        <v>0</v>
      </c>
    </row>
    <row r="318" spans="1:72">
      <c r="A318" s="3304"/>
      <c r="B318" s="3305"/>
      <c r="C318" s="3305"/>
      <c r="D318" s="3306"/>
      <c r="E318" s="3307">
        <f t="shared" si="177"/>
        <v>0</v>
      </c>
      <c r="F318" s="3308"/>
      <c r="G318" s="3309">
        <f t="shared" si="152"/>
        <v>0</v>
      </c>
      <c r="H318" s="3310">
        <f t="shared" si="153"/>
        <v>0</v>
      </c>
      <c r="I318" s="3317"/>
      <c r="J318" s="3317"/>
      <c r="K318" s="3317"/>
      <c r="L318" s="3317"/>
      <c r="M318" s="3317"/>
      <c r="N318" s="3317"/>
      <c r="O318" s="3317"/>
      <c r="P318" s="3317"/>
      <c r="Q318" s="3317"/>
      <c r="R318" s="3317"/>
      <c r="S318" s="3317"/>
      <c r="T318" s="3317"/>
      <c r="U318" s="3317"/>
      <c r="V318" s="3317"/>
      <c r="W318" s="3317"/>
      <c r="X318" s="3317"/>
      <c r="Y318" s="3317"/>
      <c r="Z318" s="3317"/>
      <c r="AA318" s="3317"/>
      <c r="AB318" s="3317"/>
      <c r="AC318" s="3307">
        <f t="shared" si="154"/>
        <v>0</v>
      </c>
      <c r="AD318" s="3327"/>
      <c r="AE318" s="3327"/>
      <c r="AF318" s="3327"/>
      <c r="AG318" s="3327"/>
      <c r="AH318" s="3327"/>
      <c r="AI318" s="3327"/>
      <c r="AJ318" s="3327"/>
      <c r="AK318" s="3327"/>
      <c r="AL318" s="3327"/>
      <c r="AM318" s="3327"/>
      <c r="AN318" s="3327"/>
      <c r="AO318" s="3327"/>
      <c r="AP318" s="3327"/>
      <c r="AQ318" s="3327"/>
      <c r="AR318" s="3327"/>
      <c r="AS318" s="3327"/>
      <c r="AT318" s="3337"/>
      <c r="AU318" s="3338"/>
      <c r="AV318" s="1410">
        <f t="shared" si="178"/>
        <v>0</v>
      </c>
      <c r="AW318" s="1410">
        <f t="shared" si="179"/>
        <v>0</v>
      </c>
      <c r="AX318" s="1410">
        <f t="shared" si="180"/>
        <v>0</v>
      </c>
      <c r="AY318" s="3352">
        <f t="shared" si="155"/>
        <v>0</v>
      </c>
      <c r="AZ318" s="3307">
        <f t="shared" si="156"/>
        <v>0</v>
      </c>
      <c r="BA318" s="3307">
        <f t="shared" si="157"/>
        <v>0</v>
      </c>
      <c r="BB318" s="3307">
        <f t="shared" si="158"/>
        <v>0</v>
      </c>
      <c r="BC318" s="3307">
        <f t="shared" si="159"/>
        <v>0</v>
      </c>
      <c r="BD318" s="3307">
        <f t="shared" si="160"/>
        <v>0</v>
      </c>
      <c r="BE318" s="3307">
        <f t="shared" si="161"/>
        <v>0</v>
      </c>
      <c r="BF318" s="3307">
        <f t="shared" si="162"/>
        <v>0</v>
      </c>
      <c r="BG318" s="3307">
        <f t="shared" si="163"/>
        <v>0</v>
      </c>
      <c r="BH318" s="3307">
        <f t="shared" si="164"/>
        <v>0</v>
      </c>
      <c r="BI318" s="3307">
        <f t="shared" si="165"/>
        <v>0</v>
      </c>
      <c r="BJ318" s="3307">
        <f t="shared" si="166"/>
        <v>0</v>
      </c>
      <c r="BK318" s="3307">
        <f t="shared" si="167"/>
        <v>0</v>
      </c>
      <c r="BL318" s="3307">
        <f t="shared" si="168"/>
        <v>0</v>
      </c>
      <c r="BM318" s="3307">
        <f t="shared" si="169"/>
        <v>0</v>
      </c>
      <c r="BN318" s="3307">
        <f t="shared" si="170"/>
        <v>0</v>
      </c>
      <c r="BO318" s="3307">
        <f t="shared" si="171"/>
        <v>0</v>
      </c>
      <c r="BP318" s="3307">
        <f t="shared" si="172"/>
        <v>0</v>
      </c>
      <c r="BQ318" s="3307">
        <f t="shared" si="173"/>
        <v>0</v>
      </c>
      <c r="BR318" s="3307">
        <f t="shared" si="174"/>
        <v>0</v>
      </c>
      <c r="BS318" s="3307">
        <f t="shared" si="175"/>
        <v>0</v>
      </c>
      <c r="BT318" s="3359">
        <f t="shared" si="176"/>
        <v>0</v>
      </c>
    </row>
    <row r="319" spans="1:72">
      <c r="A319" s="3304"/>
      <c r="B319" s="3305"/>
      <c r="C319" s="3305"/>
      <c r="D319" s="3306"/>
      <c r="E319" s="3307">
        <f t="shared" si="177"/>
        <v>0</v>
      </c>
      <c r="F319" s="3308"/>
      <c r="G319" s="3309">
        <f t="shared" si="152"/>
        <v>0</v>
      </c>
      <c r="H319" s="3310">
        <f t="shared" si="153"/>
        <v>0</v>
      </c>
      <c r="I319" s="3317"/>
      <c r="J319" s="3317"/>
      <c r="K319" s="3317"/>
      <c r="L319" s="3317"/>
      <c r="M319" s="3317"/>
      <c r="N319" s="3317"/>
      <c r="O319" s="3317"/>
      <c r="P319" s="3317"/>
      <c r="Q319" s="3317"/>
      <c r="R319" s="3317"/>
      <c r="S319" s="3317"/>
      <c r="T319" s="3317"/>
      <c r="U319" s="3317"/>
      <c r="V319" s="3317"/>
      <c r="W319" s="3317"/>
      <c r="X319" s="3317"/>
      <c r="Y319" s="3317"/>
      <c r="Z319" s="3317"/>
      <c r="AA319" s="3317"/>
      <c r="AB319" s="3317"/>
      <c r="AC319" s="3307">
        <f t="shared" si="154"/>
        <v>0</v>
      </c>
      <c r="AD319" s="3327"/>
      <c r="AE319" s="3327"/>
      <c r="AF319" s="3327"/>
      <c r="AG319" s="3327"/>
      <c r="AH319" s="3327"/>
      <c r="AI319" s="3327"/>
      <c r="AJ319" s="3327"/>
      <c r="AK319" s="3327"/>
      <c r="AL319" s="3327"/>
      <c r="AM319" s="3327"/>
      <c r="AN319" s="3327"/>
      <c r="AO319" s="3327"/>
      <c r="AP319" s="3327"/>
      <c r="AQ319" s="3327"/>
      <c r="AR319" s="3327"/>
      <c r="AS319" s="3327"/>
      <c r="AT319" s="3337"/>
      <c r="AU319" s="3338"/>
      <c r="AV319" s="1410">
        <f t="shared" si="178"/>
        <v>0</v>
      </c>
      <c r="AW319" s="1410">
        <f t="shared" si="179"/>
        <v>0</v>
      </c>
      <c r="AX319" s="1410">
        <f t="shared" si="180"/>
        <v>0</v>
      </c>
      <c r="AY319" s="3352">
        <f t="shared" si="155"/>
        <v>0</v>
      </c>
      <c r="AZ319" s="3307">
        <f t="shared" si="156"/>
        <v>0</v>
      </c>
      <c r="BA319" s="3307">
        <f t="shared" si="157"/>
        <v>0</v>
      </c>
      <c r="BB319" s="3307">
        <f t="shared" si="158"/>
        <v>0</v>
      </c>
      <c r="BC319" s="3307">
        <f t="shared" si="159"/>
        <v>0</v>
      </c>
      <c r="BD319" s="3307">
        <f t="shared" si="160"/>
        <v>0</v>
      </c>
      <c r="BE319" s="3307">
        <f t="shared" si="161"/>
        <v>0</v>
      </c>
      <c r="BF319" s="3307">
        <f t="shared" si="162"/>
        <v>0</v>
      </c>
      <c r="BG319" s="3307">
        <f t="shared" si="163"/>
        <v>0</v>
      </c>
      <c r="BH319" s="3307">
        <f t="shared" si="164"/>
        <v>0</v>
      </c>
      <c r="BI319" s="3307">
        <f t="shared" si="165"/>
        <v>0</v>
      </c>
      <c r="BJ319" s="3307">
        <f t="shared" si="166"/>
        <v>0</v>
      </c>
      <c r="BK319" s="3307">
        <f t="shared" si="167"/>
        <v>0</v>
      </c>
      <c r="BL319" s="3307">
        <f t="shared" si="168"/>
        <v>0</v>
      </c>
      <c r="BM319" s="3307">
        <f t="shared" si="169"/>
        <v>0</v>
      </c>
      <c r="BN319" s="3307">
        <f t="shared" si="170"/>
        <v>0</v>
      </c>
      <c r="BO319" s="3307">
        <f t="shared" si="171"/>
        <v>0</v>
      </c>
      <c r="BP319" s="3307">
        <f t="shared" si="172"/>
        <v>0</v>
      </c>
      <c r="BQ319" s="3307">
        <f t="shared" si="173"/>
        <v>0</v>
      </c>
      <c r="BR319" s="3307">
        <f t="shared" si="174"/>
        <v>0</v>
      </c>
      <c r="BS319" s="3307">
        <f t="shared" si="175"/>
        <v>0</v>
      </c>
      <c r="BT319" s="3359">
        <f t="shared" si="176"/>
        <v>0</v>
      </c>
    </row>
    <row r="320" spans="1:72">
      <c r="A320" s="3304"/>
      <c r="B320" s="3305"/>
      <c r="C320" s="3305"/>
      <c r="D320" s="3306"/>
      <c r="E320" s="3307">
        <f t="shared" si="177"/>
        <v>0</v>
      </c>
      <c r="F320" s="3308"/>
      <c r="G320" s="3309">
        <f t="shared" si="152"/>
        <v>0</v>
      </c>
      <c r="H320" s="3310">
        <f t="shared" si="153"/>
        <v>0</v>
      </c>
      <c r="I320" s="3317"/>
      <c r="J320" s="3317"/>
      <c r="K320" s="3317"/>
      <c r="L320" s="3317"/>
      <c r="M320" s="3317"/>
      <c r="N320" s="3317"/>
      <c r="O320" s="3317"/>
      <c r="P320" s="3317"/>
      <c r="Q320" s="3317"/>
      <c r="R320" s="3317"/>
      <c r="S320" s="3317"/>
      <c r="T320" s="3317"/>
      <c r="U320" s="3317"/>
      <c r="V320" s="3317"/>
      <c r="W320" s="3317"/>
      <c r="X320" s="3317"/>
      <c r="Y320" s="3317"/>
      <c r="Z320" s="3317"/>
      <c r="AA320" s="3317"/>
      <c r="AB320" s="3317"/>
      <c r="AC320" s="3307">
        <f t="shared" si="154"/>
        <v>0</v>
      </c>
      <c r="AD320" s="3327"/>
      <c r="AE320" s="3327"/>
      <c r="AF320" s="3327"/>
      <c r="AG320" s="3327"/>
      <c r="AH320" s="3327"/>
      <c r="AI320" s="3327"/>
      <c r="AJ320" s="3327"/>
      <c r="AK320" s="3327"/>
      <c r="AL320" s="3327"/>
      <c r="AM320" s="3327"/>
      <c r="AN320" s="3327"/>
      <c r="AO320" s="3327"/>
      <c r="AP320" s="3327"/>
      <c r="AQ320" s="3327"/>
      <c r="AR320" s="3327"/>
      <c r="AS320" s="3327"/>
      <c r="AT320" s="3337"/>
      <c r="AU320" s="3338"/>
      <c r="AV320" s="1410">
        <f t="shared" si="178"/>
        <v>0</v>
      </c>
      <c r="AW320" s="1410">
        <f t="shared" si="179"/>
        <v>0</v>
      </c>
      <c r="AX320" s="1410">
        <f t="shared" si="180"/>
        <v>0</v>
      </c>
      <c r="AY320" s="3352">
        <f t="shared" si="155"/>
        <v>0</v>
      </c>
      <c r="AZ320" s="3307">
        <f t="shared" si="156"/>
        <v>0</v>
      </c>
      <c r="BA320" s="3307">
        <f t="shared" si="157"/>
        <v>0</v>
      </c>
      <c r="BB320" s="3307">
        <f t="shared" si="158"/>
        <v>0</v>
      </c>
      <c r="BC320" s="3307">
        <f t="shared" si="159"/>
        <v>0</v>
      </c>
      <c r="BD320" s="3307">
        <f t="shared" si="160"/>
        <v>0</v>
      </c>
      <c r="BE320" s="3307">
        <f t="shared" si="161"/>
        <v>0</v>
      </c>
      <c r="BF320" s="3307">
        <f t="shared" si="162"/>
        <v>0</v>
      </c>
      <c r="BG320" s="3307">
        <f t="shared" si="163"/>
        <v>0</v>
      </c>
      <c r="BH320" s="3307">
        <f t="shared" si="164"/>
        <v>0</v>
      </c>
      <c r="BI320" s="3307">
        <f t="shared" si="165"/>
        <v>0</v>
      </c>
      <c r="BJ320" s="3307">
        <f t="shared" si="166"/>
        <v>0</v>
      </c>
      <c r="BK320" s="3307">
        <f t="shared" si="167"/>
        <v>0</v>
      </c>
      <c r="BL320" s="3307">
        <f t="shared" si="168"/>
        <v>0</v>
      </c>
      <c r="BM320" s="3307">
        <f t="shared" si="169"/>
        <v>0</v>
      </c>
      <c r="BN320" s="3307">
        <f t="shared" si="170"/>
        <v>0</v>
      </c>
      <c r="BO320" s="3307">
        <f t="shared" si="171"/>
        <v>0</v>
      </c>
      <c r="BP320" s="3307">
        <f t="shared" si="172"/>
        <v>0</v>
      </c>
      <c r="BQ320" s="3307">
        <f t="shared" si="173"/>
        <v>0</v>
      </c>
      <c r="BR320" s="3307">
        <f t="shared" si="174"/>
        <v>0</v>
      </c>
      <c r="BS320" s="3307">
        <f t="shared" si="175"/>
        <v>0</v>
      </c>
      <c r="BT320" s="3359">
        <f t="shared" si="176"/>
        <v>0</v>
      </c>
    </row>
    <row r="321" spans="1:72">
      <c r="A321" s="3304"/>
      <c r="B321" s="3305"/>
      <c r="C321" s="3305"/>
      <c r="D321" s="3306"/>
      <c r="E321" s="3307">
        <f t="shared" si="177"/>
        <v>0</v>
      </c>
      <c r="F321" s="3308"/>
      <c r="G321" s="3309">
        <f t="shared" si="152"/>
        <v>0</v>
      </c>
      <c r="H321" s="3310">
        <f t="shared" si="153"/>
        <v>0</v>
      </c>
      <c r="I321" s="3317"/>
      <c r="J321" s="3317"/>
      <c r="K321" s="3317"/>
      <c r="L321" s="3317"/>
      <c r="M321" s="3317"/>
      <c r="N321" s="3317"/>
      <c r="O321" s="3317"/>
      <c r="P321" s="3317"/>
      <c r="Q321" s="3317"/>
      <c r="R321" s="3317"/>
      <c r="S321" s="3317"/>
      <c r="T321" s="3317"/>
      <c r="U321" s="3317"/>
      <c r="V321" s="3317"/>
      <c r="W321" s="3317"/>
      <c r="X321" s="3317"/>
      <c r="Y321" s="3317"/>
      <c r="Z321" s="3317"/>
      <c r="AA321" s="3317"/>
      <c r="AB321" s="3317"/>
      <c r="AC321" s="3307">
        <f t="shared" si="154"/>
        <v>0</v>
      </c>
      <c r="AD321" s="3327"/>
      <c r="AE321" s="3327"/>
      <c r="AF321" s="3327"/>
      <c r="AG321" s="3327"/>
      <c r="AH321" s="3327"/>
      <c r="AI321" s="3327"/>
      <c r="AJ321" s="3327"/>
      <c r="AK321" s="3327"/>
      <c r="AL321" s="3327"/>
      <c r="AM321" s="3327"/>
      <c r="AN321" s="3327"/>
      <c r="AO321" s="3327"/>
      <c r="AP321" s="3327"/>
      <c r="AQ321" s="3327"/>
      <c r="AR321" s="3327"/>
      <c r="AS321" s="3327"/>
      <c r="AT321" s="3337"/>
      <c r="AU321" s="3338"/>
      <c r="AV321" s="1410">
        <f t="shared" si="178"/>
        <v>0</v>
      </c>
      <c r="AW321" s="1410">
        <f t="shared" si="179"/>
        <v>0</v>
      </c>
      <c r="AX321" s="1410">
        <f t="shared" si="180"/>
        <v>0</v>
      </c>
      <c r="AY321" s="3352">
        <f t="shared" si="155"/>
        <v>0</v>
      </c>
      <c r="AZ321" s="3307">
        <f t="shared" si="156"/>
        <v>0</v>
      </c>
      <c r="BA321" s="3307">
        <f t="shared" si="157"/>
        <v>0</v>
      </c>
      <c r="BB321" s="3307">
        <f t="shared" si="158"/>
        <v>0</v>
      </c>
      <c r="BC321" s="3307">
        <f t="shared" si="159"/>
        <v>0</v>
      </c>
      <c r="BD321" s="3307">
        <f t="shared" si="160"/>
        <v>0</v>
      </c>
      <c r="BE321" s="3307">
        <f t="shared" si="161"/>
        <v>0</v>
      </c>
      <c r="BF321" s="3307">
        <f t="shared" si="162"/>
        <v>0</v>
      </c>
      <c r="BG321" s="3307">
        <f t="shared" si="163"/>
        <v>0</v>
      </c>
      <c r="BH321" s="3307">
        <f t="shared" si="164"/>
        <v>0</v>
      </c>
      <c r="BI321" s="3307">
        <f t="shared" si="165"/>
        <v>0</v>
      </c>
      <c r="BJ321" s="3307">
        <f t="shared" si="166"/>
        <v>0</v>
      </c>
      <c r="BK321" s="3307">
        <f t="shared" si="167"/>
        <v>0</v>
      </c>
      <c r="BL321" s="3307">
        <f t="shared" si="168"/>
        <v>0</v>
      </c>
      <c r="BM321" s="3307">
        <f t="shared" si="169"/>
        <v>0</v>
      </c>
      <c r="BN321" s="3307">
        <f t="shared" si="170"/>
        <v>0</v>
      </c>
      <c r="BO321" s="3307">
        <f t="shared" si="171"/>
        <v>0</v>
      </c>
      <c r="BP321" s="3307">
        <f t="shared" si="172"/>
        <v>0</v>
      </c>
      <c r="BQ321" s="3307">
        <f t="shared" si="173"/>
        <v>0</v>
      </c>
      <c r="BR321" s="3307">
        <f t="shared" si="174"/>
        <v>0</v>
      </c>
      <c r="BS321" s="3307">
        <f t="shared" si="175"/>
        <v>0</v>
      </c>
      <c r="BT321" s="3359">
        <f t="shared" si="176"/>
        <v>0</v>
      </c>
    </row>
    <row r="322" spans="1:72">
      <c r="A322" s="3304"/>
      <c r="B322" s="3305"/>
      <c r="C322" s="3305"/>
      <c r="D322" s="3306"/>
      <c r="E322" s="3307">
        <f t="shared" si="177"/>
        <v>0</v>
      </c>
      <c r="F322" s="3308"/>
      <c r="G322" s="3309">
        <f t="shared" si="152"/>
        <v>0</v>
      </c>
      <c r="H322" s="3310">
        <f t="shared" si="153"/>
        <v>0</v>
      </c>
      <c r="I322" s="3317"/>
      <c r="J322" s="3317"/>
      <c r="K322" s="3317"/>
      <c r="L322" s="3317"/>
      <c r="M322" s="3317"/>
      <c r="N322" s="3317"/>
      <c r="O322" s="3317"/>
      <c r="P322" s="3317"/>
      <c r="Q322" s="3317"/>
      <c r="R322" s="3317"/>
      <c r="S322" s="3317"/>
      <c r="T322" s="3317"/>
      <c r="U322" s="3317"/>
      <c r="V322" s="3317"/>
      <c r="W322" s="3317"/>
      <c r="X322" s="3317"/>
      <c r="Y322" s="3317"/>
      <c r="Z322" s="3317"/>
      <c r="AA322" s="3317"/>
      <c r="AB322" s="3317"/>
      <c r="AC322" s="3307">
        <f t="shared" si="154"/>
        <v>0</v>
      </c>
      <c r="AD322" s="3327"/>
      <c r="AE322" s="3327"/>
      <c r="AF322" s="3327"/>
      <c r="AG322" s="3327"/>
      <c r="AH322" s="3327"/>
      <c r="AI322" s="3327"/>
      <c r="AJ322" s="3327"/>
      <c r="AK322" s="3327"/>
      <c r="AL322" s="3327"/>
      <c r="AM322" s="3327"/>
      <c r="AN322" s="3327"/>
      <c r="AO322" s="3327"/>
      <c r="AP322" s="3327"/>
      <c r="AQ322" s="3327"/>
      <c r="AR322" s="3327"/>
      <c r="AS322" s="3327"/>
      <c r="AT322" s="3337"/>
      <c r="AU322" s="3338"/>
      <c r="AV322" s="1410">
        <f t="shared" si="178"/>
        <v>0</v>
      </c>
      <c r="AW322" s="1410">
        <f t="shared" si="179"/>
        <v>0</v>
      </c>
      <c r="AX322" s="1410">
        <f t="shared" si="180"/>
        <v>0</v>
      </c>
      <c r="AY322" s="3352">
        <f t="shared" si="155"/>
        <v>0</v>
      </c>
      <c r="AZ322" s="3307">
        <f t="shared" si="156"/>
        <v>0</v>
      </c>
      <c r="BA322" s="3307">
        <f t="shared" si="157"/>
        <v>0</v>
      </c>
      <c r="BB322" s="3307">
        <f t="shared" si="158"/>
        <v>0</v>
      </c>
      <c r="BC322" s="3307">
        <f t="shared" si="159"/>
        <v>0</v>
      </c>
      <c r="BD322" s="3307">
        <f t="shared" si="160"/>
        <v>0</v>
      </c>
      <c r="BE322" s="3307">
        <f t="shared" si="161"/>
        <v>0</v>
      </c>
      <c r="BF322" s="3307">
        <f t="shared" si="162"/>
        <v>0</v>
      </c>
      <c r="BG322" s="3307">
        <f t="shared" si="163"/>
        <v>0</v>
      </c>
      <c r="BH322" s="3307">
        <f t="shared" si="164"/>
        <v>0</v>
      </c>
      <c r="BI322" s="3307">
        <f t="shared" si="165"/>
        <v>0</v>
      </c>
      <c r="BJ322" s="3307">
        <f t="shared" si="166"/>
        <v>0</v>
      </c>
      <c r="BK322" s="3307">
        <f t="shared" si="167"/>
        <v>0</v>
      </c>
      <c r="BL322" s="3307">
        <f t="shared" si="168"/>
        <v>0</v>
      </c>
      <c r="BM322" s="3307">
        <f t="shared" si="169"/>
        <v>0</v>
      </c>
      <c r="BN322" s="3307">
        <f t="shared" si="170"/>
        <v>0</v>
      </c>
      <c r="BO322" s="3307">
        <f t="shared" si="171"/>
        <v>0</v>
      </c>
      <c r="BP322" s="3307">
        <f t="shared" si="172"/>
        <v>0</v>
      </c>
      <c r="BQ322" s="3307">
        <f t="shared" si="173"/>
        <v>0</v>
      </c>
      <c r="BR322" s="3307">
        <f t="shared" si="174"/>
        <v>0</v>
      </c>
      <c r="BS322" s="3307">
        <f t="shared" si="175"/>
        <v>0</v>
      </c>
      <c r="BT322" s="3359">
        <f t="shared" si="176"/>
        <v>0</v>
      </c>
    </row>
    <row r="323" spans="1:72">
      <c r="A323" s="3304"/>
      <c r="B323" s="3305"/>
      <c r="C323" s="3305"/>
      <c r="D323" s="3306"/>
      <c r="E323" s="3307">
        <f t="shared" si="177"/>
        <v>0</v>
      </c>
      <c r="F323" s="3308"/>
      <c r="G323" s="3309">
        <f t="shared" si="152"/>
        <v>0</v>
      </c>
      <c r="H323" s="3310">
        <f t="shared" si="153"/>
        <v>0</v>
      </c>
      <c r="I323" s="3317"/>
      <c r="J323" s="3317"/>
      <c r="K323" s="3317"/>
      <c r="L323" s="3317"/>
      <c r="M323" s="3317"/>
      <c r="N323" s="3317"/>
      <c r="O323" s="3317"/>
      <c r="P323" s="3317"/>
      <c r="Q323" s="3317"/>
      <c r="R323" s="3317"/>
      <c r="S323" s="3317"/>
      <c r="T323" s="3317"/>
      <c r="U323" s="3317"/>
      <c r="V323" s="3317"/>
      <c r="W323" s="3317"/>
      <c r="X323" s="3317"/>
      <c r="Y323" s="3317"/>
      <c r="Z323" s="3317"/>
      <c r="AA323" s="3317"/>
      <c r="AB323" s="3317"/>
      <c r="AC323" s="3307">
        <f t="shared" si="154"/>
        <v>0</v>
      </c>
      <c r="AD323" s="3327"/>
      <c r="AE323" s="3327"/>
      <c r="AF323" s="3327"/>
      <c r="AG323" s="3327"/>
      <c r="AH323" s="3327"/>
      <c r="AI323" s="3327"/>
      <c r="AJ323" s="3327"/>
      <c r="AK323" s="3327"/>
      <c r="AL323" s="3327"/>
      <c r="AM323" s="3327"/>
      <c r="AN323" s="3327"/>
      <c r="AO323" s="3327"/>
      <c r="AP323" s="3327"/>
      <c r="AQ323" s="3327"/>
      <c r="AR323" s="3327"/>
      <c r="AS323" s="3327"/>
      <c r="AT323" s="3337"/>
      <c r="AU323" s="3338"/>
      <c r="AV323" s="1410">
        <f t="shared" si="178"/>
        <v>0</v>
      </c>
      <c r="AW323" s="1410">
        <f t="shared" si="179"/>
        <v>0</v>
      </c>
      <c r="AX323" s="1410">
        <f t="shared" si="180"/>
        <v>0</v>
      </c>
      <c r="AY323" s="3352">
        <f t="shared" si="155"/>
        <v>0</v>
      </c>
      <c r="AZ323" s="3307">
        <f t="shared" si="156"/>
        <v>0</v>
      </c>
      <c r="BA323" s="3307">
        <f t="shared" si="157"/>
        <v>0</v>
      </c>
      <c r="BB323" s="3307">
        <f t="shared" si="158"/>
        <v>0</v>
      </c>
      <c r="BC323" s="3307">
        <f t="shared" si="159"/>
        <v>0</v>
      </c>
      <c r="BD323" s="3307">
        <f t="shared" si="160"/>
        <v>0</v>
      </c>
      <c r="BE323" s="3307">
        <f t="shared" si="161"/>
        <v>0</v>
      </c>
      <c r="BF323" s="3307">
        <f t="shared" si="162"/>
        <v>0</v>
      </c>
      <c r="BG323" s="3307">
        <f t="shared" si="163"/>
        <v>0</v>
      </c>
      <c r="BH323" s="3307">
        <f t="shared" si="164"/>
        <v>0</v>
      </c>
      <c r="BI323" s="3307">
        <f t="shared" si="165"/>
        <v>0</v>
      </c>
      <c r="BJ323" s="3307">
        <f t="shared" si="166"/>
        <v>0</v>
      </c>
      <c r="BK323" s="3307">
        <f t="shared" si="167"/>
        <v>0</v>
      </c>
      <c r="BL323" s="3307">
        <f t="shared" si="168"/>
        <v>0</v>
      </c>
      <c r="BM323" s="3307">
        <f t="shared" si="169"/>
        <v>0</v>
      </c>
      <c r="BN323" s="3307">
        <f t="shared" si="170"/>
        <v>0</v>
      </c>
      <c r="BO323" s="3307">
        <f t="shared" si="171"/>
        <v>0</v>
      </c>
      <c r="BP323" s="3307">
        <f t="shared" si="172"/>
        <v>0</v>
      </c>
      <c r="BQ323" s="3307">
        <f t="shared" si="173"/>
        <v>0</v>
      </c>
      <c r="BR323" s="3307">
        <f t="shared" si="174"/>
        <v>0</v>
      </c>
      <c r="BS323" s="3307">
        <f t="shared" si="175"/>
        <v>0</v>
      </c>
      <c r="BT323" s="3359">
        <f t="shared" si="176"/>
        <v>0</v>
      </c>
    </row>
    <row r="324" spans="1:72">
      <c r="A324" s="3304"/>
      <c r="B324" s="3305"/>
      <c r="C324" s="3305"/>
      <c r="D324" s="3306"/>
      <c r="E324" s="3307">
        <f t="shared" si="177"/>
        <v>0</v>
      </c>
      <c r="F324" s="3308"/>
      <c r="G324" s="3309">
        <f t="shared" si="152"/>
        <v>0</v>
      </c>
      <c r="H324" s="3310">
        <f t="shared" si="153"/>
        <v>0</v>
      </c>
      <c r="I324" s="3317"/>
      <c r="J324" s="3317"/>
      <c r="K324" s="3317"/>
      <c r="L324" s="3317"/>
      <c r="M324" s="3317"/>
      <c r="N324" s="3317"/>
      <c r="O324" s="3317"/>
      <c r="P324" s="3317"/>
      <c r="Q324" s="3317"/>
      <c r="R324" s="3317"/>
      <c r="S324" s="3317"/>
      <c r="T324" s="3317"/>
      <c r="U324" s="3317"/>
      <c r="V324" s="3317"/>
      <c r="W324" s="3317"/>
      <c r="X324" s="3317"/>
      <c r="Y324" s="3317"/>
      <c r="Z324" s="3317"/>
      <c r="AA324" s="3317"/>
      <c r="AB324" s="3317"/>
      <c r="AC324" s="3307">
        <f t="shared" si="154"/>
        <v>0</v>
      </c>
      <c r="AD324" s="3327"/>
      <c r="AE324" s="3327"/>
      <c r="AF324" s="3327"/>
      <c r="AG324" s="3327"/>
      <c r="AH324" s="3327"/>
      <c r="AI324" s="3327"/>
      <c r="AJ324" s="3327"/>
      <c r="AK324" s="3327"/>
      <c r="AL324" s="3327"/>
      <c r="AM324" s="3327"/>
      <c r="AN324" s="3327"/>
      <c r="AO324" s="3327"/>
      <c r="AP324" s="3327"/>
      <c r="AQ324" s="3327"/>
      <c r="AR324" s="3327"/>
      <c r="AS324" s="3327"/>
      <c r="AT324" s="3337"/>
      <c r="AU324" s="3338"/>
      <c r="AV324" s="1410">
        <f t="shared" si="178"/>
        <v>0</v>
      </c>
      <c r="AW324" s="1410">
        <f t="shared" si="179"/>
        <v>0</v>
      </c>
      <c r="AX324" s="1410">
        <f t="shared" si="180"/>
        <v>0</v>
      </c>
      <c r="AY324" s="3352">
        <f t="shared" si="155"/>
        <v>0</v>
      </c>
      <c r="AZ324" s="3307">
        <f t="shared" si="156"/>
        <v>0</v>
      </c>
      <c r="BA324" s="3307">
        <f t="shared" si="157"/>
        <v>0</v>
      </c>
      <c r="BB324" s="3307">
        <f t="shared" si="158"/>
        <v>0</v>
      </c>
      <c r="BC324" s="3307">
        <f t="shared" si="159"/>
        <v>0</v>
      </c>
      <c r="BD324" s="3307">
        <f t="shared" si="160"/>
        <v>0</v>
      </c>
      <c r="BE324" s="3307">
        <f t="shared" si="161"/>
        <v>0</v>
      </c>
      <c r="BF324" s="3307">
        <f t="shared" si="162"/>
        <v>0</v>
      </c>
      <c r="BG324" s="3307">
        <f t="shared" si="163"/>
        <v>0</v>
      </c>
      <c r="BH324" s="3307">
        <f t="shared" si="164"/>
        <v>0</v>
      </c>
      <c r="BI324" s="3307">
        <f t="shared" si="165"/>
        <v>0</v>
      </c>
      <c r="BJ324" s="3307">
        <f t="shared" si="166"/>
        <v>0</v>
      </c>
      <c r="BK324" s="3307">
        <f t="shared" si="167"/>
        <v>0</v>
      </c>
      <c r="BL324" s="3307">
        <f t="shared" si="168"/>
        <v>0</v>
      </c>
      <c r="BM324" s="3307">
        <f t="shared" si="169"/>
        <v>0</v>
      </c>
      <c r="BN324" s="3307">
        <f t="shared" si="170"/>
        <v>0</v>
      </c>
      <c r="BO324" s="3307">
        <f t="shared" si="171"/>
        <v>0</v>
      </c>
      <c r="BP324" s="3307">
        <f t="shared" si="172"/>
        <v>0</v>
      </c>
      <c r="BQ324" s="3307">
        <f t="shared" si="173"/>
        <v>0</v>
      </c>
      <c r="BR324" s="3307">
        <f t="shared" si="174"/>
        <v>0</v>
      </c>
      <c r="BS324" s="3307">
        <f t="shared" si="175"/>
        <v>0</v>
      </c>
      <c r="BT324" s="3359">
        <f t="shared" si="176"/>
        <v>0</v>
      </c>
    </row>
    <row r="325" spans="1:72">
      <c r="A325" s="3304"/>
      <c r="B325" s="3305"/>
      <c r="C325" s="3305"/>
      <c r="D325" s="3306"/>
      <c r="E325" s="3307">
        <f t="shared" si="177"/>
        <v>0</v>
      </c>
      <c r="F325" s="3308"/>
      <c r="G325" s="3309">
        <f t="shared" si="152"/>
        <v>0</v>
      </c>
      <c r="H325" s="3310">
        <f t="shared" si="153"/>
        <v>0</v>
      </c>
      <c r="I325" s="3317"/>
      <c r="J325" s="3317"/>
      <c r="K325" s="3317"/>
      <c r="L325" s="3317"/>
      <c r="M325" s="3317"/>
      <c r="N325" s="3317"/>
      <c r="O325" s="3317"/>
      <c r="P325" s="3317"/>
      <c r="Q325" s="3317"/>
      <c r="R325" s="3317"/>
      <c r="S325" s="3317"/>
      <c r="T325" s="3317"/>
      <c r="U325" s="3317"/>
      <c r="V325" s="3317"/>
      <c r="W325" s="3317"/>
      <c r="X325" s="3317"/>
      <c r="Y325" s="3317"/>
      <c r="Z325" s="3317"/>
      <c r="AA325" s="3317"/>
      <c r="AB325" s="3317"/>
      <c r="AC325" s="3307">
        <f t="shared" si="154"/>
        <v>0</v>
      </c>
      <c r="AD325" s="3327"/>
      <c r="AE325" s="3327"/>
      <c r="AF325" s="3327"/>
      <c r="AG325" s="3327"/>
      <c r="AH325" s="3327"/>
      <c r="AI325" s="3327"/>
      <c r="AJ325" s="3327"/>
      <c r="AK325" s="3327"/>
      <c r="AL325" s="3327"/>
      <c r="AM325" s="3327"/>
      <c r="AN325" s="3327"/>
      <c r="AO325" s="3327"/>
      <c r="AP325" s="3327"/>
      <c r="AQ325" s="3327"/>
      <c r="AR325" s="3327"/>
      <c r="AS325" s="3327"/>
      <c r="AT325" s="3337"/>
      <c r="AU325" s="3338"/>
      <c r="AV325" s="1410">
        <f t="shared" si="178"/>
        <v>0</v>
      </c>
      <c r="AW325" s="1410">
        <f t="shared" si="179"/>
        <v>0</v>
      </c>
      <c r="AX325" s="1410">
        <f t="shared" si="180"/>
        <v>0</v>
      </c>
      <c r="AY325" s="3352">
        <f t="shared" si="155"/>
        <v>0</v>
      </c>
      <c r="AZ325" s="3307">
        <f t="shared" si="156"/>
        <v>0</v>
      </c>
      <c r="BA325" s="3307">
        <f t="shared" si="157"/>
        <v>0</v>
      </c>
      <c r="BB325" s="3307">
        <f t="shared" si="158"/>
        <v>0</v>
      </c>
      <c r="BC325" s="3307">
        <f t="shared" si="159"/>
        <v>0</v>
      </c>
      <c r="BD325" s="3307">
        <f t="shared" si="160"/>
        <v>0</v>
      </c>
      <c r="BE325" s="3307">
        <f t="shared" si="161"/>
        <v>0</v>
      </c>
      <c r="BF325" s="3307">
        <f t="shared" si="162"/>
        <v>0</v>
      </c>
      <c r="BG325" s="3307">
        <f t="shared" si="163"/>
        <v>0</v>
      </c>
      <c r="BH325" s="3307">
        <f t="shared" si="164"/>
        <v>0</v>
      </c>
      <c r="BI325" s="3307">
        <f t="shared" si="165"/>
        <v>0</v>
      </c>
      <c r="BJ325" s="3307">
        <f t="shared" si="166"/>
        <v>0</v>
      </c>
      <c r="BK325" s="3307">
        <f t="shared" si="167"/>
        <v>0</v>
      </c>
      <c r="BL325" s="3307">
        <f t="shared" si="168"/>
        <v>0</v>
      </c>
      <c r="BM325" s="3307">
        <f t="shared" si="169"/>
        <v>0</v>
      </c>
      <c r="BN325" s="3307">
        <f t="shared" si="170"/>
        <v>0</v>
      </c>
      <c r="BO325" s="3307">
        <f t="shared" si="171"/>
        <v>0</v>
      </c>
      <c r="BP325" s="3307">
        <f t="shared" si="172"/>
        <v>0</v>
      </c>
      <c r="BQ325" s="3307">
        <f t="shared" si="173"/>
        <v>0</v>
      </c>
      <c r="BR325" s="3307">
        <f t="shared" si="174"/>
        <v>0</v>
      </c>
      <c r="BS325" s="3307">
        <f t="shared" si="175"/>
        <v>0</v>
      </c>
      <c r="BT325" s="3359">
        <f t="shared" si="176"/>
        <v>0</v>
      </c>
    </row>
    <row r="326" spans="1:72">
      <c r="A326" s="3304"/>
      <c r="B326" s="3305"/>
      <c r="C326" s="3305"/>
      <c r="D326" s="3306"/>
      <c r="E326" s="3307">
        <f t="shared" si="177"/>
        <v>0</v>
      </c>
      <c r="F326" s="3308"/>
      <c r="G326" s="3309">
        <f t="shared" si="152"/>
        <v>0</v>
      </c>
      <c r="H326" s="3310">
        <f t="shared" si="153"/>
        <v>0</v>
      </c>
      <c r="I326" s="3317"/>
      <c r="J326" s="3317"/>
      <c r="K326" s="3317"/>
      <c r="L326" s="3317"/>
      <c r="M326" s="3317"/>
      <c r="N326" s="3317"/>
      <c r="O326" s="3317"/>
      <c r="P326" s="3317"/>
      <c r="Q326" s="3317"/>
      <c r="R326" s="3317"/>
      <c r="S326" s="3317"/>
      <c r="T326" s="3317"/>
      <c r="U326" s="3317"/>
      <c r="V326" s="3317"/>
      <c r="W326" s="3317"/>
      <c r="X326" s="3317"/>
      <c r="Y326" s="3317"/>
      <c r="Z326" s="3317"/>
      <c r="AA326" s="3317"/>
      <c r="AB326" s="3317"/>
      <c r="AC326" s="3307">
        <f t="shared" si="154"/>
        <v>0</v>
      </c>
      <c r="AD326" s="3327"/>
      <c r="AE326" s="3327"/>
      <c r="AF326" s="3327"/>
      <c r="AG326" s="3327"/>
      <c r="AH326" s="3327"/>
      <c r="AI326" s="3327"/>
      <c r="AJ326" s="3327"/>
      <c r="AK326" s="3327"/>
      <c r="AL326" s="3327"/>
      <c r="AM326" s="3327"/>
      <c r="AN326" s="3327"/>
      <c r="AO326" s="3327"/>
      <c r="AP326" s="3327"/>
      <c r="AQ326" s="3327"/>
      <c r="AR326" s="3327"/>
      <c r="AS326" s="3327"/>
      <c r="AT326" s="3337"/>
      <c r="AU326" s="3338"/>
      <c r="AV326" s="1410">
        <f t="shared" si="178"/>
        <v>0</v>
      </c>
      <c r="AW326" s="1410">
        <f t="shared" si="179"/>
        <v>0</v>
      </c>
      <c r="AX326" s="1410">
        <f t="shared" si="180"/>
        <v>0</v>
      </c>
      <c r="AY326" s="3352">
        <f t="shared" si="155"/>
        <v>0</v>
      </c>
      <c r="AZ326" s="3307">
        <f t="shared" si="156"/>
        <v>0</v>
      </c>
      <c r="BA326" s="3307">
        <f t="shared" si="157"/>
        <v>0</v>
      </c>
      <c r="BB326" s="3307">
        <f t="shared" si="158"/>
        <v>0</v>
      </c>
      <c r="BC326" s="3307">
        <f t="shared" si="159"/>
        <v>0</v>
      </c>
      <c r="BD326" s="3307">
        <f t="shared" si="160"/>
        <v>0</v>
      </c>
      <c r="BE326" s="3307">
        <f t="shared" si="161"/>
        <v>0</v>
      </c>
      <c r="BF326" s="3307">
        <f t="shared" si="162"/>
        <v>0</v>
      </c>
      <c r="BG326" s="3307">
        <f t="shared" si="163"/>
        <v>0</v>
      </c>
      <c r="BH326" s="3307">
        <f t="shared" si="164"/>
        <v>0</v>
      </c>
      <c r="BI326" s="3307">
        <f t="shared" si="165"/>
        <v>0</v>
      </c>
      <c r="BJ326" s="3307">
        <f t="shared" si="166"/>
        <v>0</v>
      </c>
      <c r="BK326" s="3307">
        <f t="shared" si="167"/>
        <v>0</v>
      </c>
      <c r="BL326" s="3307">
        <f t="shared" si="168"/>
        <v>0</v>
      </c>
      <c r="BM326" s="3307">
        <f t="shared" si="169"/>
        <v>0</v>
      </c>
      <c r="BN326" s="3307">
        <f t="shared" si="170"/>
        <v>0</v>
      </c>
      <c r="BO326" s="3307">
        <f t="shared" si="171"/>
        <v>0</v>
      </c>
      <c r="BP326" s="3307">
        <f t="shared" si="172"/>
        <v>0</v>
      </c>
      <c r="BQ326" s="3307">
        <f t="shared" si="173"/>
        <v>0</v>
      </c>
      <c r="BR326" s="3307">
        <f t="shared" si="174"/>
        <v>0</v>
      </c>
      <c r="BS326" s="3307">
        <f t="shared" si="175"/>
        <v>0</v>
      </c>
      <c r="BT326" s="3359">
        <f t="shared" si="176"/>
        <v>0</v>
      </c>
    </row>
    <row r="327" spans="1:72">
      <c r="A327" s="3304"/>
      <c r="B327" s="3305"/>
      <c r="C327" s="3305"/>
      <c r="D327" s="3306"/>
      <c r="E327" s="3307">
        <f t="shared" si="177"/>
        <v>0</v>
      </c>
      <c r="F327" s="3308"/>
      <c r="G327" s="3309">
        <f t="shared" si="152"/>
        <v>0</v>
      </c>
      <c r="H327" s="3310">
        <f t="shared" si="153"/>
        <v>0</v>
      </c>
      <c r="I327" s="3317"/>
      <c r="J327" s="3317"/>
      <c r="K327" s="3317"/>
      <c r="L327" s="3317"/>
      <c r="M327" s="3317"/>
      <c r="N327" s="3317"/>
      <c r="O327" s="3317"/>
      <c r="P327" s="3317"/>
      <c r="Q327" s="3317"/>
      <c r="R327" s="3317"/>
      <c r="S327" s="3317"/>
      <c r="T327" s="3317"/>
      <c r="U327" s="3317"/>
      <c r="V327" s="3317"/>
      <c r="W327" s="3317"/>
      <c r="X327" s="3317"/>
      <c r="Y327" s="3317"/>
      <c r="Z327" s="3317"/>
      <c r="AA327" s="3317"/>
      <c r="AB327" s="3317"/>
      <c r="AC327" s="3307">
        <f t="shared" si="154"/>
        <v>0</v>
      </c>
      <c r="AD327" s="3327"/>
      <c r="AE327" s="3327"/>
      <c r="AF327" s="3327"/>
      <c r="AG327" s="3327"/>
      <c r="AH327" s="3327"/>
      <c r="AI327" s="3327"/>
      <c r="AJ327" s="3327"/>
      <c r="AK327" s="3327"/>
      <c r="AL327" s="3327"/>
      <c r="AM327" s="3327"/>
      <c r="AN327" s="3327"/>
      <c r="AO327" s="3327"/>
      <c r="AP327" s="3327"/>
      <c r="AQ327" s="3327"/>
      <c r="AR327" s="3327"/>
      <c r="AS327" s="3327"/>
      <c r="AT327" s="3337"/>
      <c r="AU327" s="3338"/>
      <c r="AV327" s="1410">
        <f t="shared" si="178"/>
        <v>0</v>
      </c>
      <c r="AW327" s="1410">
        <f t="shared" si="179"/>
        <v>0</v>
      </c>
      <c r="AX327" s="1410">
        <f t="shared" si="180"/>
        <v>0</v>
      </c>
      <c r="AY327" s="3352">
        <f t="shared" si="155"/>
        <v>0</v>
      </c>
      <c r="AZ327" s="3307">
        <f t="shared" si="156"/>
        <v>0</v>
      </c>
      <c r="BA327" s="3307">
        <f t="shared" si="157"/>
        <v>0</v>
      </c>
      <c r="BB327" s="3307">
        <f t="shared" si="158"/>
        <v>0</v>
      </c>
      <c r="BC327" s="3307">
        <f t="shared" si="159"/>
        <v>0</v>
      </c>
      <c r="BD327" s="3307">
        <f t="shared" si="160"/>
        <v>0</v>
      </c>
      <c r="BE327" s="3307">
        <f t="shared" si="161"/>
        <v>0</v>
      </c>
      <c r="BF327" s="3307">
        <f t="shared" si="162"/>
        <v>0</v>
      </c>
      <c r="BG327" s="3307">
        <f t="shared" si="163"/>
        <v>0</v>
      </c>
      <c r="BH327" s="3307">
        <f t="shared" si="164"/>
        <v>0</v>
      </c>
      <c r="BI327" s="3307">
        <f t="shared" si="165"/>
        <v>0</v>
      </c>
      <c r="BJ327" s="3307">
        <f t="shared" si="166"/>
        <v>0</v>
      </c>
      <c r="BK327" s="3307">
        <f t="shared" si="167"/>
        <v>0</v>
      </c>
      <c r="BL327" s="3307">
        <f t="shared" si="168"/>
        <v>0</v>
      </c>
      <c r="BM327" s="3307">
        <f t="shared" si="169"/>
        <v>0</v>
      </c>
      <c r="BN327" s="3307">
        <f t="shared" si="170"/>
        <v>0</v>
      </c>
      <c r="BO327" s="3307">
        <f t="shared" si="171"/>
        <v>0</v>
      </c>
      <c r="BP327" s="3307">
        <f t="shared" si="172"/>
        <v>0</v>
      </c>
      <c r="BQ327" s="3307">
        <f t="shared" si="173"/>
        <v>0</v>
      </c>
      <c r="BR327" s="3307">
        <f t="shared" si="174"/>
        <v>0</v>
      </c>
      <c r="BS327" s="3307">
        <f t="shared" si="175"/>
        <v>0</v>
      </c>
      <c r="BT327" s="3359">
        <f t="shared" si="176"/>
        <v>0</v>
      </c>
    </row>
    <row r="328" spans="1:72">
      <c r="A328" s="3304"/>
      <c r="B328" s="3305"/>
      <c r="C328" s="3305"/>
      <c r="D328" s="3306"/>
      <c r="E328" s="3307">
        <f t="shared" si="177"/>
        <v>0</v>
      </c>
      <c r="F328" s="3308"/>
      <c r="G328" s="3309">
        <f t="shared" si="152"/>
        <v>0</v>
      </c>
      <c r="H328" s="3310">
        <f t="shared" si="153"/>
        <v>0</v>
      </c>
      <c r="I328" s="3317"/>
      <c r="J328" s="3317"/>
      <c r="K328" s="3317"/>
      <c r="L328" s="3317"/>
      <c r="M328" s="3317"/>
      <c r="N328" s="3317"/>
      <c r="O328" s="3317"/>
      <c r="P328" s="3317"/>
      <c r="Q328" s="3317"/>
      <c r="R328" s="3317"/>
      <c r="S328" s="3317"/>
      <c r="T328" s="3317"/>
      <c r="U328" s="3317"/>
      <c r="V328" s="3317"/>
      <c r="W328" s="3317"/>
      <c r="X328" s="3317"/>
      <c r="Y328" s="3317"/>
      <c r="Z328" s="3317"/>
      <c r="AA328" s="3317"/>
      <c r="AB328" s="3317"/>
      <c r="AC328" s="3307">
        <f t="shared" si="154"/>
        <v>0</v>
      </c>
      <c r="AD328" s="3327"/>
      <c r="AE328" s="3327"/>
      <c r="AF328" s="3327"/>
      <c r="AG328" s="3327"/>
      <c r="AH328" s="3327"/>
      <c r="AI328" s="3327"/>
      <c r="AJ328" s="3327"/>
      <c r="AK328" s="3327"/>
      <c r="AL328" s="3327"/>
      <c r="AM328" s="3327"/>
      <c r="AN328" s="3327"/>
      <c r="AO328" s="3327"/>
      <c r="AP328" s="3327"/>
      <c r="AQ328" s="3327"/>
      <c r="AR328" s="3327"/>
      <c r="AS328" s="3327"/>
      <c r="AT328" s="3337"/>
      <c r="AU328" s="3338"/>
      <c r="AV328" s="1410">
        <f t="shared" si="178"/>
        <v>0</v>
      </c>
      <c r="AW328" s="1410">
        <f t="shared" si="179"/>
        <v>0</v>
      </c>
      <c r="AX328" s="1410">
        <f t="shared" si="180"/>
        <v>0</v>
      </c>
      <c r="AY328" s="3352">
        <f t="shared" si="155"/>
        <v>0</v>
      </c>
      <c r="AZ328" s="3307">
        <f t="shared" si="156"/>
        <v>0</v>
      </c>
      <c r="BA328" s="3307">
        <f t="shared" si="157"/>
        <v>0</v>
      </c>
      <c r="BB328" s="3307">
        <f t="shared" si="158"/>
        <v>0</v>
      </c>
      <c r="BC328" s="3307">
        <f t="shared" si="159"/>
        <v>0</v>
      </c>
      <c r="BD328" s="3307">
        <f t="shared" si="160"/>
        <v>0</v>
      </c>
      <c r="BE328" s="3307">
        <f t="shared" si="161"/>
        <v>0</v>
      </c>
      <c r="BF328" s="3307">
        <f t="shared" si="162"/>
        <v>0</v>
      </c>
      <c r="BG328" s="3307">
        <f t="shared" si="163"/>
        <v>0</v>
      </c>
      <c r="BH328" s="3307">
        <f t="shared" si="164"/>
        <v>0</v>
      </c>
      <c r="BI328" s="3307">
        <f t="shared" si="165"/>
        <v>0</v>
      </c>
      <c r="BJ328" s="3307">
        <f t="shared" si="166"/>
        <v>0</v>
      </c>
      <c r="BK328" s="3307">
        <f t="shared" si="167"/>
        <v>0</v>
      </c>
      <c r="BL328" s="3307">
        <f t="shared" si="168"/>
        <v>0</v>
      </c>
      <c r="BM328" s="3307">
        <f t="shared" si="169"/>
        <v>0</v>
      </c>
      <c r="BN328" s="3307">
        <f t="shared" si="170"/>
        <v>0</v>
      </c>
      <c r="BO328" s="3307">
        <f t="shared" si="171"/>
        <v>0</v>
      </c>
      <c r="BP328" s="3307">
        <f t="shared" si="172"/>
        <v>0</v>
      </c>
      <c r="BQ328" s="3307">
        <f t="shared" si="173"/>
        <v>0</v>
      </c>
      <c r="BR328" s="3307">
        <f t="shared" si="174"/>
        <v>0</v>
      </c>
      <c r="BS328" s="3307">
        <f t="shared" si="175"/>
        <v>0</v>
      </c>
      <c r="BT328" s="3359">
        <f t="shared" si="176"/>
        <v>0</v>
      </c>
    </row>
    <row r="329" spans="1:72">
      <c r="A329" s="3304"/>
      <c r="B329" s="3305"/>
      <c r="C329" s="3305"/>
      <c r="D329" s="3306"/>
      <c r="E329" s="3307">
        <f t="shared" si="177"/>
        <v>0</v>
      </c>
      <c r="F329" s="3308"/>
      <c r="G329" s="3309">
        <f t="shared" si="152"/>
        <v>0</v>
      </c>
      <c r="H329" s="3310">
        <f t="shared" si="153"/>
        <v>0</v>
      </c>
      <c r="I329" s="3317"/>
      <c r="J329" s="3317"/>
      <c r="K329" s="3317"/>
      <c r="L329" s="3317"/>
      <c r="M329" s="3317"/>
      <c r="N329" s="3317"/>
      <c r="O329" s="3317"/>
      <c r="P329" s="3317"/>
      <c r="Q329" s="3317"/>
      <c r="R329" s="3317"/>
      <c r="S329" s="3317"/>
      <c r="T329" s="3317"/>
      <c r="U329" s="3317"/>
      <c r="V329" s="3317"/>
      <c r="W329" s="3317"/>
      <c r="X329" s="3317"/>
      <c r="Y329" s="3317"/>
      <c r="Z329" s="3317"/>
      <c r="AA329" s="3317"/>
      <c r="AB329" s="3317"/>
      <c r="AC329" s="3307">
        <f t="shared" si="154"/>
        <v>0</v>
      </c>
      <c r="AD329" s="3327"/>
      <c r="AE329" s="3327"/>
      <c r="AF329" s="3327"/>
      <c r="AG329" s="3327"/>
      <c r="AH329" s="3327"/>
      <c r="AI329" s="3327"/>
      <c r="AJ329" s="3327"/>
      <c r="AK329" s="3327"/>
      <c r="AL329" s="3327"/>
      <c r="AM329" s="3327"/>
      <c r="AN329" s="3327"/>
      <c r="AO329" s="3327"/>
      <c r="AP329" s="3327"/>
      <c r="AQ329" s="3327"/>
      <c r="AR329" s="3327"/>
      <c r="AS329" s="3327"/>
      <c r="AT329" s="3337"/>
      <c r="AU329" s="3338"/>
      <c r="AV329" s="1410">
        <f t="shared" si="178"/>
        <v>0</v>
      </c>
      <c r="AW329" s="1410">
        <f t="shared" si="179"/>
        <v>0</v>
      </c>
      <c r="AX329" s="1410">
        <f t="shared" si="180"/>
        <v>0</v>
      </c>
      <c r="AY329" s="3352">
        <f t="shared" si="155"/>
        <v>0</v>
      </c>
      <c r="AZ329" s="3307">
        <f t="shared" si="156"/>
        <v>0</v>
      </c>
      <c r="BA329" s="3307">
        <f t="shared" si="157"/>
        <v>0</v>
      </c>
      <c r="BB329" s="3307">
        <f t="shared" si="158"/>
        <v>0</v>
      </c>
      <c r="BC329" s="3307">
        <f t="shared" si="159"/>
        <v>0</v>
      </c>
      <c r="BD329" s="3307">
        <f t="shared" si="160"/>
        <v>0</v>
      </c>
      <c r="BE329" s="3307">
        <f t="shared" si="161"/>
        <v>0</v>
      </c>
      <c r="BF329" s="3307">
        <f t="shared" si="162"/>
        <v>0</v>
      </c>
      <c r="BG329" s="3307">
        <f t="shared" si="163"/>
        <v>0</v>
      </c>
      <c r="BH329" s="3307">
        <f t="shared" si="164"/>
        <v>0</v>
      </c>
      <c r="BI329" s="3307">
        <f t="shared" si="165"/>
        <v>0</v>
      </c>
      <c r="BJ329" s="3307">
        <f t="shared" si="166"/>
        <v>0</v>
      </c>
      <c r="BK329" s="3307">
        <f t="shared" si="167"/>
        <v>0</v>
      </c>
      <c r="BL329" s="3307">
        <f t="shared" si="168"/>
        <v>0</v>
      </c>
      <c r="BM329" s="3307">
        <f t="shared" si="169"/>
        <v>0</v>
      </c>
      <c r="BN329" s="3307">
        <f t="shared" si="170"/>
        <v>0</v>
      </c>
      <c r="BO329" s="3307">
        <f t="shared" si="171"/>
        <v>0</v>
      </c>
      <c r="BP329" s="3307">
        <f t="shared" si="172"/>
        <v>0</v>
      </c>
      <c r="BQ329" s="3307">
        <f t="shared" si="173"/>
        <v>0</v>
      </c>
      <c r="BR329" s="3307">
        <f t="shared" si="174"/>
        <v>0</v>
      </c>
      <c r="BS329" s="3307">
        <f t="shared" si="175"/>
        <v>0</v>
      </c>
      <c r="BT329" s="3359">
        <f t="shared" si="176"/>
        <v>0</v>
      </c>
    </row>
    <row r="330" spans="1:72">
      <c r="A330" s="3304"/>
      <c r="B330" s="3305"/>
      <c r="C330" s="3305"/>
      <c r="D330" s="3306"/>
      <c r="E330" s="3307">
        <f t="shared" si="177"/>
        <v>0</v>
      </c>
      <c r="F330" s="3308"/>
      <c r="G330" s="3309">
        <f t="shared" si="152"/>
        <v>0</v>
      </c>
      <c r="H330" s="3310">
        <f t="shared" si="153"/>
        <v>0</v>
      </c>
      <c r="I330" s="3317"/>
      <c r="J330" s="3317"/>
      <c r="K330" s="3317"/>
      <c r="L330" s="3317"/>
      <c r="M330" s="3317"/>
      <c r="N330" s="3317"/>
      <c r="O330" s="3317"/>
      <c r="P330" s="3317"/>
      <c r="Q330" s="3317"/>
      <c r="R330" s="3317"/>
      <c r="S330" s="3317"/>
      <c r="T330" s="3317"/>
      <c r="U330" s="3317"/>
      <c r="V330" s="3317"/>
      <c r="W330" s="3317"/>
      <c r="X330" s="3317"/>
      <c r="Y330" s="3317"/>
      <c r="Z330" s="3317"/>
      <c r="AA330" s="3317"/>
      <c r="AB330" s="3317"/>
      <c r="AC330" s="3307">
        <f t="shared" si="154"/>
        <v>0</v>
      </c>
      <c r="AD330" s="3327"/>
      <c r="AE330" s="3327"/>
      <c r="AF330" s="3327"/>
      <c r="AG330" s="3327"/>
      <c r="AH330" s="3327"/>
      <c r="AI330" s="3327"/>
      <c r="AJ330" s="3327"/>
      <c r="AK330" s="3327"/>
      <c r="AL330" s="3327"/>
      <c r="AM330" s="3327"/>
      <c r="AN330" s="3327"/>
      <c r="AO330" s="3327"/>
      <c r="AP330" s="3327"/>
      <c r="AQ330" s="3327"/>
      <c r="AR330" s="3327"/>
      <c r="AS330" s="3327"/>
      <c r="AT330" s="3337"/>
      <c r="AU330" s="3338"/>
      <c r="AV330" s="1410">
        <f t="shared" si="178"/>
        <v>0</v>
      </c>
      <c r="AW330" s="1410">
        <f t="shared" si="179"/>
        <v>0</v>
      </c>
      <c r="AX330" s="1410">
        <f t="shared" si="180"/>
        <v>0</v>
      </c>
      <c r="AY330" s="3352">
        <f t="shared" si="155"/>
        <v>0</v>
      </c>
      <c r="AZ330" s="3307">
        <f t="shared" si="156"/>
        <v>0</v>
      </c>
      <c r="BA330" s="3307">
        <f t="shared" si="157"/>
        <v>0</v>
      </c>
      <c r="BB330" s="3307">
        <f t="shared" si="158"/>
        <v>0</v>
      </c>
      <c r="BC330" s="3307">
        <f t="shared" si="159"/>
        <v>0</v>
      </c>
      <c r="BD330" s="3307">
        <f t="shared" si="160"/>
        <v>0</v>
      </c>
      <c r="BE330" s="3307">
        <f t="shared" si="161"/>
        <v>0</v>
      </c>
      <c r="BF330" s="3307">
        <f t="shared" si="162"/>
        <v>0</v>
      </c>
      <c r="BG330" s="3307">
        <f t="shared" si="163"/>
        <v>0</v>
      </c>
      <c r="BH330" s="3307">
        <f t="shared" si="164"/>
        <v>0</v>
      </c>
      <c r="BI330" s="3307">
        <f t="shared" si="165"/>
        <v>0</v>
      </c>
      <c r="BJ330" s="3307">
        <f t="shared" si="166"/>
        <v>0</v>
      </c>
      <c r="BK330" s="3307">
        <f t="shared" si="167"/>
        <v>0</v>
      </c>
      <c r="BL330" s="3307">
        <f t="shared" si="168"/>
        <v>0</v>
      </c>
      <c r="BM330" s="3307">
        <f t="shared" si="169"/>
        <v>0</v>
      </c>
      <c r="BN330" s="3307">
        <f t="shared" si="170"/>
        <v>0</v>
      </c>
      <c r="BO330" s="3307">
        <f t="shared" si="171"/>
        <v>0</v>
      </c>
      <c r="BP330" s="3307">
        <f t="shared" si="172"/>
        <v>0</v>
      </c>
      <c r="BQ330" s="3307">
        <f t="shared" si="173"/>
        <v>0</v>
      </c>
      <c r="BR330" s="3307">
        <f t="shared" si="174"/>
        <v>0</v>
      </c>
      <c r="BS330" s="3307">
        <f t="shared" si="175"/>
        <v>0</v>
      </c>
      <c r="BT330" s="3359">
        <f t="shared" si="176"/>
        <v>0</v>
      </c>
    </row>
    <row r="331" spans="1:72">
      <c r="A331" s="3304"/>
      <c r="B331" s="3305"/>
      <c r="C331" s="3305"/>
      <c r="D331" s="3306"/>
      <c r="E331" s="3307">
        <f t="shared" si="177"/>
        <v>0</v>
      </c>
      <c r="F331" s="3308"/>
      <c r="G331" s="3309">
        <f t="shared" si="152"/>
        <v>0</v>
      </c>
      <c r="H331" s="3310">
        <f t="shared" si="153"/>
        <v>0</v>
      </c>
      <c r="I331" s="3317"/>
      <c r="J331" s="3317"/>
      <c r="K331" s="3317"/>
      <c r="L331" s="3317"/>
      <c r="M331" s="3317"/>
      <c r="N331" s="3317"/>
      <c r="O331" s="3317"/>
      <c r="P331" s="3317"/>
      <c r="Q331" s="3317"/>
      <c r="R331" s="3317"/>
      <c r="S331" s="3317"/>
      <c r="T331" s="3317"/>
      <c r="U331" s="3317"/>
      <c r="V331" s="3317"/>
      <c r="W331" s="3317"/>
      <c r="X331" s="3317"/>
      <c r="Y331" s="3317"/>
      <c r="Z331" s="3317"/>
      <c r="AA331" s="3317"/>
      <c r="AB331" s="3317"/>
      <c r="AC331" s="3307">
        <f t="shared" si="154"/>
        <v>0</v>
      </c>
      <c r="AD331" s="3327"/>
      <c r="AE331" s="3327"/>
      <c r="AF331" s="3327"/>
      <c r="AG331" s="3327"/>
      <c r="AH331" s="3327"/>
      <c r="AI331" s="3327"/>
      <c r="AJ331" s="3327"/>
      <c r="AK331" s="3327"/>
      <c r="AL331" s="3327"/>
      <c r="AM331" s="3327"/>
      <c r="AN331" s="3327"/>
      <c r="AO331" s="3327"/>
      <c r="AP331" s="3327"/>
      <c r="AQ331" s="3327"/>
      <c r="AR331" s="3327"/>
      <c r="AS331" s="3327"/>
      <c r="AT331" s="3337"/>
      <c r="AU331" s="3338"/>
      <c r="AV331" s="1410">
        <f t="shared" si="178"/>
        <v>0</v>
      </c>
      <c r="AW331" s="1410">
        <f t="shared" si="179"/>
        <v>0</v>
      </c>
      <c r="AX331" s="1410">
        <f t="shared" si="180"/>
        <v>0</v>
      </c>
      <c r="AY331" s="3352">
        <f t="shared" si="155"/>
        <v>0</v>
      </c>
      <c r="AZ331" s="3307">
        <f t="shared" si="156"/>
        <v>0</v>
      </c>
      <c r="BA331" s="3307">
        <f t="shared" si="157"/>
        <v>0</v>
      </c>
      <c r="BB331" s="3307">
        <f t="shared" si="158"/>
        <v>0</v>
      </c>
      <c r="BC331" s="3307">
        <f t="shared" si="159"/>
        <v>0</v>
      </c>
      <c r="BD331" s="3307">
        <f t="shared" si="160"/>
        <v>0</v>
      </c>
      <c r="BE331" s="3307">
        <f t="shared" si="161"/>
        <v>0</v>
      </c>
      <c r="BF331" s="3307">
        <f t="shared" si="162"/>
        <v>0</v>
      </c>
      <c r="BG331" s="3307">
        <f t="shared" si="163"/>
        <v>0</v>
      </c>
      <c r="BH331" s="3307">
        <f t="shared" si="164"/>
        <v>0</v>
      </c>
      <c r="BI331" s="3307">
        <f t="shared" si="165"/>
        <v>0</v>
      </c>
      <c r="BJ331" s="3307">
        <f t="shared" si="166"/>
        <v>0</v>
      </c>
      <c r="BK331" s="3307">
        <f t="shared" si="167"/>
        <v>0</v>
      </c>
      <c r="BL331" s="3307">
        <f t="shared" si="168"/>
        <v>0</v>
      </c>
      <c r="BM331" s="3307">
        <f t="shared" si="169"/>
        <v>0</v>
      </c>
      <c r="BN331" s="3307">
        <f t="shared" si="170"/>
        <v>0</v>
      </c>
      <c r="BO331" s="3307">
        <f t="shared" si="171"/>
        <v>0</v>
      </c>
      <c r="BP331" s="3307">
        <f t="shared" si="172"/>
        <v>0</v>
      </c>
      <c r="BQ331" s="3307">
        <f t="shared" si="173"/>
        <v>0</v>
      </c>
      <c r="BR331" s="3307">
        <f t="shared" si="174"/>
        <v>0</v>
      </c>
      <c r="BS331" s="3307">
        <f t="shared" si="175"/>
        <v>0</v>
      </c>
      <c r="BT331" s="3359">
        <f t="shared" si="176"/>
        <v>0</v>
      </c>
    </row>
    <row r="332" spans="1:72">
      <c r="A332" s="3304"/>
      <c r="B332" s="3305"/>
      <c r="C332" s="3305"/>
      <c r="D332" s="3306"/>
      <c r="E332" s="3307">
        <f t="shared" si="177"/>
        <v>0</v>
      </c>
      <c r="F332" s="3308"/>
      <c r="G332" s="3309">
        <f t="shared" ref="G332:G363" si="181">H332+AC332+AT332</f>
        <v>0</v>
      </c>
      <c r="H332" s="3310">
        <f t="shared" ref="H332:H363" si="182">SUMIF(I$12:AB$12,"总值",I332:AB332)</f>
        <v>0</v>
      </c>
      <c r="I332" s="3317"/>
      <c r="J332" s="3317"/>
      <c r="K332" s="3317"/>
      <c r="L332" s="3317"/>
      <c r="M332" s="3317"/>
      <c r="N332" s="3317"/>
      <c r="O332" s="3317"/>
      <c r="P332" s="3317"/>
      <c r="Q332" s="3317"/>
      <c r="R332" s="3317"/>
      <c r="S332" s="3317"/>
      <c r="T332" s="3317"/>
      <c r="U332" s="3317"/>
      <c r="V332" s="3317"/>
      <c r="W332" s="3317"/>
      <c r="X332" s="3317"/>
      <c r="Y332" s="3317"/>
      <c r="Z332" s="3317"/>
      <c r="AA332" s="3317"/>
      <c r="AB332" s="3317"/>
      <c r="AC332" s="3307">
        <f t="shared" ref="AC332:AC363" si="183">SUMIF(AD$12:AS$12,"总值",AD332:AS332)</f>
        <v>0</v>
      </c>
      <c r="AD332" s="3327"/>
      <c r="AE332" s="3327"/>
      <c r="AF332" s="3327"/>
      <c r="AG332" s="3327"/>
      <c r="AH332" s="3327"/>
      <c r="AI332" s="3327"/>
      <c r="AJ332" s="3327"/>
      <c r="AK332" s="3327"/>
      <c r="AL332" s="3327"/>
      <c r="AM332" s="3327"/>
      <c r="AN332" s="3327"/>
      <c r="AO332" s="3327"/>
      <c r="AP332" s="3327"/>
      <c r="AQ332" s="3327"/>
      <c r="AR332" s="3327"/>
      <c r="AS332" s="3327"/>
      <c r="AT332" s="3337"/>
      <c r="AU332" s="3338"/>
      <c r="AV332" s="1410">
        <f t="shared" si="178"/>
        <v>0</v>
      </c>
      <c r="AW332" s="1410">
        <f t="shared" si="179"/>
        <v>0</v>
      </c>
      <c r="AX332" s="1410">
        <f t="shared" si="180"/>
        <v>0</v>
      </c>
      <c r="AY332" s="3352">
        <f t="shared" ref="AY332:AY363" si="184">ROUND($AY$6*AZ332/$AZ$5,2)</f>
        <v>0</v>
      </c>
      <c r="AZ332" s="3307">
        <f t="shared" ref="AZ332:AZ363" si="185">BA332+BL332</f>
        <v>0</v>
      </c>
      <c r="BA332" s="3307">
        <f t="shared" ref="BA332:BA363" si="186">SUM(BB332:BK332)</f>
        <v>0</v>
      </c>
      <c r="BB332" s="3307">
        <f t="shared" ref="BB332:BB363" si="187">IF($D332="是",I332-J332,0)</f>
        <v>0</v>
      </c>
      <c r="BC332" s="3307">
        <f t="shared" ref="BC332:BC363" si="188">IF($D332="是",K332-L332,0)</f>
        <v>0</v>
      </c>
      <c r="BD332" s="3307">
        <f t="shared" ref="BD332:BD363" si="189">IF($D332="是",M332-N332,0)</f>
        <v>0</v>
      </c>
      <c r="BE332" s="3307">
        <f t="shared" ref="BE332:BE363" si="190">IF($D332="是",O332-P332,0)</f>
        <v>0</v>
      </c>
      <c r="BF332" s="3307">
        <f t="shared" ref="BF332:BF363" si="191">IF($D332="是",Q332-R332,0)</f>
        <v>0</v>
      </c>
      <c r="BG332" s="3307">
        <f t="shared" ref="BG332:BG363" si="192">IF($D332="是",S332-T332,0)</f>
        <v>0</v>
      </c>
      <c r="BH332" s="3307">
        <f t="shared" ref="BH332:BH363" si="193">IF($D332="是",U332-V332,0)</f>
        <v>0</v>
      </c>
      <c r="BI332" s="3307">
        <f t="shared" ref="BI332:BI363" si="194">IF($D332="是",W332-X332,0)</f>
        <v>0</v>
      </c>
      <c r="BJ332" s="3307">
        <f t="shared" ref="BJ332:BJ363" si="195">IF($D332="是",Y332-Z332,0)</f>
        <v>0</v>
      </c>
      <c r="BK332" s="3307">
        <f t="shared" ref="BK332:BK363" si="196">IF($D332="是",AA332-AB332,0)</f>
        <v>0</v>
      </c>
      <c r="BL332" s="3307">
        <f t="shared" ref="BL332:BL363" si="197">SUM(BM332:BT332)</f>
        <v>0</v>
      </c>
      <c r="BM332" s="3307">
        <f t="shared" ref="BM332:BM363" si="198">IF($D332="是",AD332-AE332,0)</f>
        <v>0</v>
      </c>
      <c r="BN332" s="3307">
        <f t="shared" ref="BN332:BN363" si="199">IF($D332="是",AF332-AG332,0)</f>
        <v>0</v>
      </c>
      <c r="BO332" s="3307">
        <f t="shared" ref="BO332:BO363" si="200">IF($D332="是",AH332-AI332,0)</f>
        <v>0</v>
      </c>
      <c r="BP332" s="3307">
        <f t="shared" ref="BP332:BP363" si="201">IF($D332="是",AJ332-AK332,0)</f>
        <v>0</v>
      </c>
      <c r="BQ332" s="3307">
        <f t="shared" ref="BQ332:BQ363" si="202">IF($D332="是",AL332-AM332,0)</f>
        <v>0</v>
      </c>
      <c r="BR332" s="3307">
        <f t="shared" ref="BR332:BR363" si="203">IF($D332="是",AN332-AO332,0)</f>
        <v>0</v>
      </c>
      <c r="BS332" s="3307">
        <f t="shared" ref="BS332:BS363" si="204">IF($D332="是",AP332-AQ332,0)</f>
        <v>0</v>
      </c>
      <c r="BT332" s="3359">
        <f t="shared" ref="BT332:BT363" si="205">IF($D332="是",AR332-AS332,0)</f>
        <v>0</v>
      </c>
    </row>
    <row r="333" spans="1:72">
      <c r="A333" s="3304"/>
      <c r="B333" s="3305"/>
      <c r="C333" s="3305"/>
      <c r="D333" s="3306"/>
      <c r="E333" s="3307">
        <f t="shared" si="177"/>
        <v>0</v>
      </c>
      <c r="F333" s="3308"/>
      <c r="G333" s="3309">
        <f t="shared" si="181"/>
        <v>0</v>
      </c>
      <c r="H333" s="3310">
        <f t="shared" si="182"/>
        <v>0</v>
      </c>
      <c r="I333" s="3317"/>
      <c r="J333" s="3317"/>
      <c r="K333" s="3317"/>
      <c r="L333" s="3317"/>
      <c r="M333" s="3317"/>
      <c r="N333" s="3317"/>
      <c r="O333" s="3317"/>
      <c r="P333" s="3317"/>
      <c r="Q333" s="3317"/>
      <c r="R333" s="3317"/>
      <c r="S333" s="3317"/>
      <c r="T333" s="3317"/>
      <c r="U333" s="3317"/>
      <c r="V333" s="3317"/>
      <c r="W333" s="3317"/>
      <c r="X333" s="3317"/>
      <c r="Y333" s="3317"/>
      <c r="Z333" s="3317"/>
      <c r="AA333" s="3317"/>
      <c r="AB333" s="3317"/>
      <c r="AC333" s="3307">
        <f t="shared" si="183"/>
        <v>0</v>
      </c>
      <c r="AD333" s="3327"/>
      <c r="AE333" s="3327"/>
      <c r="AF333" s="3327"/>
      <c r="AG333" s="3327"/>
      <c r="AH333" s="3327"/>
      <c r="AI333" s="3327"/>
      <c r="AJ333" s="3327"/>
      <c r="AK333" s="3327"/>
      <c r="AL333" s="3327"/>
      <c r="AM333" s="3327"/>
      <c r="AN333" s="3327"/>
      <c r="AO333" s="3327"/>
      <c r="AP333" s="3327"/>
      <c r="AQ333" s="3327"/>
      <c r="AR333" s="3327"/>
      <c r="AS333" s="3327"/>
      <c r="AT333" s="3337"/>
      <c r="AU333" s="3338"/>
      <c r="AV333" s="1410">
        <f t="shared" si="178"/>
        <v>0</v>
      </c>
      <c r="AW333" s="1410">
        <f t="shared" si="179"/>
        <v>0</v>
      </c>
      <c r="AX333" s="1410">
        <f t="shared" si="180"/>
        <v>0</v>
      </c>
      <c r="AY333" s="3352">
        <f t="shared" si="184"/>
        <v>0</v>
      </c>
      <c r="AZ333" s="3307">
        <f t="shared" si="185"/>
        <v>0</v>
      </c>
      <c r="BA333" s="3307">
        <f t="shared" si="186"/>
        <v>0</v>
      </c>
      <c r="BB333" s="3307">
        <f t="shared" si="187"/>
        <v>0</v>
      </c>
      <c r="BC333" s="3307">
        <f t="shared" si="188"/>
        <v>0</v>
      </c>
      <c r="BD333" s="3307">
        <f t="shared" si="189"/>
        <v>0</v>
      </c>
      <c r="BE333" s="3307">
        <f t="shared" si="190"/>
        <v>0</v>
      </c>
      <c r="BF333" s="3307">
        <f t="shared" si="191"/>
        <v>0</v>
      </c>
      <c r="BG333" s="3307">
        <f t="shared" si="192"/>
        <v>0</v>
      </c>
      <c r="BH333" s="3307">
        <f t="shared" si="193"/>
        <v>0</v>
      </c>
      <c r="BI333" s="3307">
        <f t="shared" si="194"/>
        <v>0</v>
      </c>
      <c r="BJ333" s="3307">
        <f t="shared" si="195"/>
        <v>0</v>
      </c>
      <c r="BK333" s="3307">
        <f t="shared" si="196"/>
        <v>0</v>
      </c>
      <c r="BL333" s="3307">
        <f t="shared" si="197"/>
        <v>0</v>
      </c>
      <c r="BM333" s="3307">
        <f t="shared" si="198"/>
        <v>0</v>
      </c>
      <c r="BN333" s="3307">
        <f t="shared" si="199"/>
        <v>0</v>
      </c>
      <c r="BO333" s="3307">
        <f t="shared" si="200"/>
        <v>0</v>
      </c>
      <c r="BP333" s="3307">
        <f t="shared" si="201"/>
        <v>0</v>
      </c>
      <c r="BQ333" s="3307">
        <f t="shared" si="202"/>
        <v>0</v>
      </c>
      <c r="BR333" s="3307">
        <f t="shared" si="203"/>
        <v>0</v>
      </c>
      <c r="BS333" s="3307">
        <f t="shared" si="204"/>
        <v>0</v>
      </c>
      <c r="BT333" s="3359">
        <f t="shared" si="205"/>
        <v>0</v>
      </c>
    </row>
    <row r="334" spans="1:72">
      <c r="A334" s="3304"/>
      <c r="B334" s="3305"/>
      <c r="C334" s="3305"/>
      <c r="D334" s="3306"/>
      <c r="E334" s="3307">
        <f t="shared" si="177"/>
        <v>0</v>
      </c>
      <c r="F334" s="3308"/>
      <c r="G334" s="3309">
        <f t="shared" si="181"/>
        <v>0</v>
      </c>
      <c r="H334" s="3310">
        <f t="shared" si="182"/>
        <v>0</v>
      </c>
      <c r="I334" s="3317"/>
      <c r="J334" s="3317"/>
      <c r="K334" s="3317"/>
      <c r="L334" s="3317"/>
      <c r="M334" s="3317"/>
      <c r="N334" s="3317"/>
      <c r="O334" s="3317"/>
      <c r="P334" s="3317"/>
      <c r="Q334" s="3317"/>
      <c r="R334" s="3317"/>
      <c r="S334" s="3317"/>
      <c r="T334" s="3317"/>
      <c r="U334" s="3317"/>
      <c r="V334" s="3317"/>
      <c r="W334" s="3317"/>
      <c r="X334" s="3317"/>
      <c r="Y334" s="3317"/>
      <c r="Z334" s="3317"/>
      <c r="AA334" s="3317"/>
      <c r="AB334" s="3317"/>
      <c r="AC334" s="3307">
        <f t="shared" si="183"/>
        <v>0</v>
      </c>
      <c r="AD334" s="3327"/>
      <c r="AE334" s="3327"/>
      <c r="AF334" s="3327"/>
      <c r="AG334" s="3327"/>
      <c r="AH334" s="3327"/>
      <c r="AI334" s="3327"/>
      <c r="AJ334" s="3327"/>
      <c r="AK334" s="3327"/>
      <c r="AL334" s="3327"/>
      <c r="AM334" s="3327"/>
      <c r="AN334" s="3327"/>
      <c r="AO334" s="3327"/>
      <c r="AP334" s="3327"/>
      <c r="AQ334" s="3327"/>
      <c r="AR334" s="3327"/>
      <c r="AS334" s="3327"/>
      <c r="AT334" s="3337"/>
      <c r="AU334" s="3338"/>
      <c r="AV334" s="1410">
        <f t="shared" si="178"/>
        <v>0</v>
      </c>
      <c r="AW334" s="1410">
        <f t="shared" si="179"/>
        <v>0</v>
      </c>
      <c r="AX334" s="1410">
        <f t="shared" si="180"/>
        <v>0</v>
      </c>
      <c r="AY334" s="3352">
        <f t="shared" si="184"/>
        <v>0</v>
      </c>
      <c r="AZ334" s="3307">
        <f t="shared" si="185"/>
        <v>0</v>
      </c>
      <c r="BA334" s="3307">
        <f t="shared" si="186"/>
        <v>0</v>
      </c>
      <c r="BB334" s="3307">
        <f t="shared" si="187"/>
        <v>0</v>
      </c>
      <c r="BC334" s="3307">
        <f t="shared" si="188"/>
        <v>0</v>
      </c>
      <c r="BD334" s="3307">
        <f t="shared" si="189"/>
        <v>0</v>
      </c>
      <c r="BE334" s="3307">
        <f t="shared" si="190"/>
        <v>0</v>
      </c>
      <c r="BF334" s="3307">
        <f t="shared" si="191"/>
        <v>0</v>
      </c>
      <c r="BG334" s="3307">
        <f t="shared" si="192"/>
        <v>0</v>
      </c>
      <c r="BH334" s="3307">
        <f t="shared" si="193"/>
        <v>0</v>
      </c>
      <c r="BI334" s="3307">
        <f t="shared" si="194"/>
        <v>0</v>
      </c>
      <c r="BJ334" s="3307">
        <f t="shared" si="195"/>
        <v>0</v>
      </c>
      <c r="BK334" s="3307">
        <f t="shared" si="196"/>
        <v>0</v>
      </c>
      <c r="BL334" s="3307">
        <f t="shared" si="197"/>
        <v>0</v>
      </c>
      <c r="BM334" s="3307">
        <f t="shared" si="198"/>
        <v>0</v>
      </c>
      <c r="BN334" s="3307">
        <f t="shared" si="199"/>
        <v>0</v>
      </c>
      <c r="BO334" s="3307">
        <f t="shared" si="200"/>
        <v>0</v>
      </c>
      <c r="BP334" s="3307">
        <f t="shared" si="201"/>
        <v>0</v>
      </c>
      <c r="BQ334" s="3307">
        <f t="shared" si="202"/>
        <v>0</v>
      </c>
      <c r="BR334" s="3307">
        <f t="shared" si="203"/>
        <v>0</v>
      </c>
      <c r="BS334" s="3307">
        <f t="shared" si="204"/>
        <v>0</v>
      </c>
      <c r="BT334" s="3359">
        <f t="shared" si="205"/>
        <v>0</v>
      </c>
    </row>
    <row r="335" spans="1:72">
      <c r="A335" s="3304"/>
      <c r="B335" s="3305"/>
      <c r="C335" s="3305"/>
      <c r="D335" s="3306"/>
      <c r="E335" s="3307">
        <f t="shared" ref="E335:E366" si="206">IF($C$3="是",ROUND($A$3*G335/$B$3,2),ROUND($A$3*(G335-AT335)/$B$3,2))</f>
        <v>0</v>
      </c>
      <c r="F335" s="3308"/>
      <c r="G335" s="3309">
        <f t="shared" si="181"/>
        <v>0</v>
      </c>
      <c r="H335" s="3310">
        <f t="shared" si="182"/>
        <v>0</v>
      </c>
      <c r="I335" s="3317"/>
      <c r="J335" s="3317"/>
      <c r="K335" s="3317"/>
      <c r="L335" s="3317"/>
      <c r="M335" s="3317"/>
      <c r="N335" s="3317"/>
      <c r="O335" s="3317"/>
      <c r="P335" s="3317"/>
      <c r="Q335" s="3317"/>
      <c r="R335" s="3317"/>
      <c r="S335" s="3317"/>
      <c r="T335" s="3317"/>
      <c r="U335" s="3317"/>
      <c r="V335" s="3317"/>
      <c r="W335" s="3317"/>
      <c r="X335" s="3317"/>
      <c r="Y335" s="3317"/>
      <c r="Z335" s="3317"/>
      <c r="AA335" s="3317"/>
      <c r="AB335" s="3317"/>
      <c r="AC335" s="3307">
        <f t="shared" si="183"/>
        <v>0</v>
      </c>
      <c r="AD335" s="3327"/>
      <c r="AE335" s="3327"/>
      <c r="AF335" s="3327"/>
      <c r="AG335" s="3327"/>
      <c r="AH335" s="3327"/>
      <c r="AI335" s="3327"/>
      <c r="AJ335" s="3327"/>
      <c r="AK335" s="3327"/>
      <c r="AL335" s="3327"/>
      <c r="AM335" s="3327"/>
      <c r="AN335" s="3327"/>
      <c r="AO335" s="3327"/>
      <c r="AP335" s="3327"/>
      <c r="AQ335" s="3327"/>
      <c r="AR335" s="3327"/>
      <c r="AS335" s="3327"/>
      <c r="AT335" s="3337"/>
      <c r="AU335" s="3338"/>
      <c r="AV335" s="1410">
        <f t="shared" ref="AV335:AV366" si="207">A335</f>
        <v>0</v>
      </c>
      <c r="AW335" s="1410">
        <f t="shared" ref="AW335:AW366" si="208">B335</f>
        <v>0</v>
      </c>
      <c r="AX335" s="1410">
        <f t="shared" ref="AX335:AX366" si="209">C335</f>
        <v>0</v>
      </c>
      <c r="AY335" s="3352">
        <f t="shared" si="184"/>
        <v>0</v>
      </c>
      <c r="AZ335" s="3307">
        <f t="shared" si="185"/>
        <v>0</v>
      </c>
      <c r="BA335" s="3307">
        <f t="shared" si="186"/>
        <v>0</v>
      </c>
      <c r="BB335" s="3307">
        <f t="shared" si="187"/>
        <v>0</v>
      </c>
      <c r="BC335" s="3307">
        <f t="shared" si="188"/>
        <v>0</v>
      </c>
      <c r="BD335" s="3307">
        <f t="shared" si="189"/>
        <v>0</v>
      </c>
      <c r="BE335" s="3307">
        <f t="shared" si="190"/>
        <v>0</v>
      </c>
      <c r="BF335" s="3307">
        <f t="shared" si="191"/>
        <v>0</v>
      </c>
      <c r="BG335" s="3307">
        <f t="shared" si="192"/>
        <v>0</v>
      </c>
      <c r="BH335" s="3307">
        <f t="shared" si="193"/>
        <v>0</v>
      </c>
      <c r="BI335" s="3307">
        <f t="shared" si="194"/>
        <v>0</v>
      </c>
      <c r="BJ335" s="3307">
        <f t="shared" si="195"/>
        <v>0</v>
      </c>
      <c r="BK335" s="3307">
        <f t="shared" si="196"/>
        <v>0</v>
      </c>
      <c r="BL335" s="3307">
        <f t="shared" si="197"/>
        <v>0</v>
      </c>
      <c r="BM335" s="3307">
        <f t="shared" si="198"/>
        <v>0</v>
      </c>
      <c r="BN335" s="3307">
        <f t="shared" si="199"/>
        <v>0</v>
      </c>
      <c r="BO335" s="3307">
        <f t="shared" si="200"/>
        <v>0</v>
      </c>
      <c r="BP335" s="3307">
        <f t="shared" si="201"/>
        <v>0</v>
      </c>
      <c r="BQ335" s="3307">
        <f t="shared" si="202"/>
        <v>0</v>
      </c>
      <c r="BR335" s="3307">
        <f t="shared" si="203"/>
        <v>0</v>
      </c>
      <c r="BS335" s="3307">
        <f t="shared" si="204"/>
        <v>0</v>
      </c>
      <c r="BT335" s="3359">
        <f t="shared" si="205"/>
        <v>0</v>
      </c>
    </row>
    <row r="336" spans="1:72">
      <c r="A336" s="3304"/>
      <c r="B336" s="3305"/>
      <c r="C336" s="3305"/>
      <c r="D336" s="3306"/>
      <c r="E336" s="3307">
        <f t="shared" si="206"/>
        <v>0</v>
      </c>
      <c r="F336" s="3308"/>
      <c r="G336" s="3309">
        <f t="shared" si="181"/>
        <v>0</v>
      </c>
      <c r="H336" s="3310">
        <f t="shared" si="182"/>
        <v>0</v>
      </c>
      <c r="I336" s="3317"/>
      <c r="J336" s="3317"/>
      <c r="K336" s="3317"/>
      <c r="L336" s="3317"/>
      <c r="M336" s="3317"/>
      <c r="N336" s="3317"/>
      <c r="O336" s="3317"/>
      <c r="P336" s="3317"/>
      <c r="Q336" s="3317"/>
      <c r="R336" s="3317"/>
      <c r="S336" s="3317"/>
      <c r="T336" s="3317"/>
      <c r="U336" s="3317"/>
      <c r="V336" s="3317"/>
      <c r="W336" s="3317"/>
      <c r="X336" s="3317"/>
      <c r="Y336" s="3317"/>
      <c r="Z336" s="3317"/>
      <c r="AA336" s="3317"/>
      <c r="AB336" s="3317"/>
      <c r="AC336" s="3307">
        <f t="shared" si="183"/>
        <v>0</v>
      </c>
      <c r="AD336" s="3327"/>
      <c r="AE336" s="3327"/>
      <c r="AF336" s="3327"/>
      <c r="AG336" s="3327"/>
      <c r="AH336" s="3327"/>
      <c r="AI336" s="3327"/>
      <c r="AJ336" s="3327"/>
      <c r="AK336" s="3327"/>
      <c r="AL336" s="3327"/>
      <c r="AM336" s="3327"/>
      <c r="AN336" s="3327"/>
      <c r="AO336" s="3327"/>
      <c r="AP336" s="3327"/>
      <c r="AQ336" s="3327"/>
      <c r="AR336" s="3327"/>
      <c r="AS336" s="3327"/>
      <c r="AT336" s="3337"/>
      <c r="AU336" s="3338"/>
      <c r="AV336" s="1410">
        <f t="shared" si="207"/>
        <v>0</v>
      </c>
      <c r="AW336" s="1410">
        <f t="shared" si="208"/>
        <v>0</v>
      </c>
      <c r="AX336" s="1410">
        <f t="shared" si="209"/>
        <v>0</v>
      </c>
      <c r="AY336" s="3352">
        <f t="shared" si="184"/>
        <v>0</v>
      </c>
      <c r="AZ336" s="3307">
        <f t="shared" si="185"/>
        <v>0</v>
      </c>
      <c r="BA336" s="3307">
        <f t="shared" si="186"/>
        <v>0</v>
      </c>
      <c r="BB336" s="3307">
        <f t="shared" si="187"/>
        <v>0</v>
      </c>
      <c r="BC336" s="3307">
        <f t="shared" si="188"/>
        <v>0</v>
      </c>
      <c r="BD336" s="3307">
        <f t="shared" si="189"/>
        <v>0</v>
      </c>
      <c r="BE336" s="3307">
        <f t="shared" si="190"/>
        <v>0</v>
      </c>
      <c r="BF336" s="3307">
        <f t="shared" si="191"/>
        <v>0</v>
      </c>
      <c r="BG336" s="3307">
        <f t="shared" si="192"/>
        <v>0</v>
      </c>
      <c r="BH336" s="3307">
        <f t="shared" si="193"/>
        <v>0</v>
      </c>
      <c r="BI336" s="3307">
        <f t="shared" si="194"/>
        <v>0</v>
      </c>
      <c r="BJ336" s="3307">
        <f t="shared" si="195"/>
        <v>0</v>
      </c>
      <c r="BK336" s="3307">
        <f t="shared" si="196"/>
        <v>0</v>
      </c>
      <c r="BL336" s="3307">
        <f t="shared" si="197"/>
        <v>0</v>
      </c>
      <c r="BM336" s="3307">
        <f t="shared" si="198"/>
        <v>0</v>
      </c>
      <c r="BN336" s="3307">
        <f t="shared" si="199"/>
        <v>0</v>
      </c>
      <c r="BO336" s="3307">
        <f t="shared" si="200"/>
        <v>0</v>
      </c>
      <c r="BP336" s="3307">
        <f t="shared" si="201"/>
        <v>0</v>
      </c>
      <c r="BQ336" s="3307">
        <f t="shared" si="202"/>
        <v>0</v>
      </c>
      <c r="BR336" s="3307">
        <f t="shared" si="203"/>
        <v>0</v>
      </c>
      <c r="BS336" s="3307">
        <f t="shared" si="204"/>
        <v>0</v>
      </c>
      <c r="BT336" s="3359">
        <f t="shared" si="205"/>
        <v>0</v>
      </c>
    </row>
    <row r="337" spans="1:72">
      <c r="A337" s="3304"/>
      <c r="B337" s="3305"/>
      <c r="C337" s="3305"/>
      <c r="D337" s="3306"/>
      <c r="E337" s="3307">
        <f t="shared" si="206"/>
        <v>0</v>
      </c>
      <c r="F337" s="3308"/>
      <c r="G337" s="3309">
        <f t="shared" si="181"/>
        <v>0</v>
      </c>
      <c r="H337" s="3310">
        <f t="shared" si="182"/>
        <v>0</v>
      </c>
      <c r="I337" s="3317"/>
      <c r="J337" s="3317"/>
      <c r="K337" s="3317"/>
      <c r="L337" s="3317"/>
      <c r="M337" s="3317"/>
      <c r="N337" s="3317"/>
      <c r="O337" s="3317"/>
      <c r="P337" s="3317"/>
      <c r="Q337" s="3317"/>
      <c r="R337" s="3317"/>
      <c r="S337" s="3317"/>
      <c r="T337" s="3317"/>
      <c r="U337" s="3317"/>
      <c r="V337" s="3317"/>
      <c r="W337" s="3317"/>
      <c r="X337" s="3317"/>
      <c r="Y337" s="3317"/>
      <c r="Z337" s="3317"/>
      <c r="AA337" s="3317"/>
      <c r="AB337" s="3317"/>
      <c r="AC337" s="3307">
        <f t="shared" si="183"/>
        <v>0</v>
      </c>
      <c r="AD337" s="3327"/>
      <c r="AE337" s="3327"/>
      <c r="AF337" s="3327"/>
      <c r="AG337" s="3327"/>
      <c r="AH337" s="3327"/>
      <c r="AI337" s="3327"/>
      <c r="AJ337" s="3327"/>
      <c r="AK337" s="3327"/>
      <c r="AL337" s="3327"/>
      <c r="AM337" s="3327"/>
      <c r="AN337" s="3327"/>
      <c r="AO337" s="3327"/>
      <c r="AP337" s="3327"/>
      <c r="AQ337" s="3327"/>
      <c r="AR337" s="3327"/>
      <c r="AS337" s="3327"/>
      <c r="AT337" s="3337"/>
      <c r="AU337" s="3338"/>
      <c r="AV337" s="1410">
        <f t="shared" si="207"/>
        <v>0</v>
      </c>
      <c r="AW337" s="1410">
        <f t="shared" si="208"/>
        <v>0</v>
      </c>
      <c r="AX337" s="1410">
        <f t="shared" si="209"/>
        <v>0</v>
      </c>
      <c r="AY337" s="3352">
        <f t="shared" si="184"/>
        <v>0</v>
      </c>
      <c r="AZ337" s="3307">
        <f t="shared" si="185"/>
        <v>0</v>
      </c>
      <c r="BA337" s="3307">
        <f t="shared" si="186"/>
        <v>0</v>
      </c>
      <c r="BB337" s="3307">
        <f t="shared" si="187"/>
        <v>0</v>
      </c>
      <c r="BC337" s="3307">
        <f t="shared" si="188"/>
        <v>0</v>
      </c>
      <c r="BD337" s="3307">
        <f t="shared" si="189"/>
        <v>0</v>
      </c>
      <c r="BE337" s="3307">
        <f t="shared" si="190"/>
        <v>0</v>
      </c>
      <c r="BF337" s="3307">
        <f t="shared" si="191"/>
        <v>0</v>
      </c>
      <c r="BG337" s="3307">
        <f t="shared" si="192"/>
        <v>0</v>
      </c>
      <c r="BH337" s="3307">
        <f t="shared" si="193"/>
        <v>0</v>
      </c>
      <c r="BI337" s="3307">
        <f t="shared" si="194"/>
        <v>0</v>
      </c>
      <c r="BJ337" s="3307">
        <f t="shared" si="195"/>
        <v>0</v>
      </c>
      <c r="BK337" s="3307">
        <f t="shared" si="196"/>
        <v>0</v>
      </c>
      <c r="BL337" s="3307">
        <f t="shared" si="197"/>
        <v>0</v>
      </c>
      <c r="BM337" s="3307">
        <f t="shared" si="198"/>
        <v>0</v>
      </c>
      <c r="BN337" s="3307">
        <f t="shared" si="199"/>
        <v>0</v>
      </c>
      <c r="BO337" s="3307">
        <f t="shared" si="200"/>
        <v>0</v>
      </c>
      <c r="BP337" s="3307">
        <f t="shared" si="201"/>
        <v>0</v>
      </c>
      <c r="BQ337" s="3307">
        <f t="shared" si="202"/>
        <v>0</v>
      </c>
      <c r="BR337" s="3307">
        <f t="shared" si="203"/>
        <v>0</v>
      </c>
      <c r="BS337" s="3307">
        <f t="shared" si="204"/>
        <v>0</v>
      </c>
      <c r="BT337" s="3359">
        <f t="shared" si="205"/>
        <v>0</v>
      </c>
    </row>
    <row r="338" spans="1:72">
      <c r="A338" s="3304"/>
      <c r="B338" s="3305"/>
      <c r="C338" s="3305"/>
      <c r="D338" s="3306"/>
      <c r="E338" s="3307">
        <f t="shared" si="206"/>
        <v>0</v>
      </c>
      <c r="F338" s="3308"/>
      <c r="G338" s="3309">
        <f t="shared" si="181"/>
        <v>0</v>
      </c>
      <c r="H338" s="3310">
        <f t="shared" si="182"/>
        <v>0</v>
      </c>
      <c r="I338" s="3317"/>
      <c r="J338" s="3317"/>
      <c r="K338" s="3317"/>
      <c r="L338" s="3317"/>
      <c r="M338" s="3317"/>
      <c r="N338" s="3317"/>
      <c r="O338" s="3317"/>
      <c r="P338" s="3317"/>
      <c r="Q338" s="3317"/>
      <c r="R338" s="3317"/>
      <c r="S338" s="3317"/>
      <c r="T338" s="3317"/>
      <c r="U338" s="3317"/>
      <c r="V338" s="3317"/>
      <c r="W338" s="3317"/>
      <c r="X338" s="3317"/>
      <c r="Y338" s="3317"/>
      <c r="Z338" s="3317"/>
      <c r="AA338" s="3317"/>
      <c r="AB338" s="3317"/>
      <c r="AC338" s="3307">
        <f t="shared" si="183"/>
        <v>0</v>
      </c>
      <c r="AD338" s="3327"/>
      <c r="AE338" s="3327"/>
      <c r="AF338" s="3327"/>
      <c r="AG338" s="3327"/>
      <c r="AH338" s="3327"/>
      <c r="AI338" s="3327"/>
      <c r="AJ338" s="3327"/>
      <c r="AK338" s="3327"/>
      <c r="AL338" s="3327"/>
      <c r="AM338" s="3327"/>
      <c r="AN338" s="3327"/>
      <c r="AO338" s="3327"/>
      <c r="AP338" s="3327"/>
      <c r="AQ338" s="3327"/>
      <c r="AR338" s="3327"/>
      <c r="AS338" s="3327"/>
      <c r="AT338" s="3337"/>
      <c r="AU338" s="3338"/>
      <c r="AV338" s="1410">
        <f t="shared" si="207"/>
        <v>0</v>
      </c>
      <c r="AW338" s="1410">
        <f t="shared" si="208"/>
        <v>0</v>
      </c>
      <c r="AX338" s="1410">
        <f t="shared" si="209"/>
        <v>0</v>
      </c>
      <c r="AY338" s="3352">
        <f t="shared" si="184"/>
        <v>0</v>
      </c>
      <c r="AZ338" s="3307">
        <f t="shared" si="185"/>
        <v>0</v>
      </c>
      <c r="BA338" s="3307">
        <f t="shared" si="186"/>
        <v>0</v>
      </c>
      <c r="BB338" s="3307">
        <f t="shared" si="187"/>
        <v>0</v>
      </c>
      <c r="BC338" s="3307">
        <f t="shared" si="188"/>
        <v>0</v>
      </c>
      <c r="BD338" s="3307">
        <f t="shared" si="189"/>
        <v>0</v>
      </c>
      <c r="BE338" s="3307">
        <f t="shared" si="190"/>
        <v>0</v>
      </c>
      <c r="BF338" s="3307">
        <f t="shared" si="191"/>
        <v>0</v>
      </c>
      <c r="BG338" s="3307">
        <f t="shared" si="192"/>
        <v>0</v>
      </c>
      <c r="BH338" s="3307">
        <f t="shared" si="193"/>
        <v>0</v>
      </c>
      <c r="BI338" s="3307">
        <f t="shared" si="194"/>
        <v>0</v>
      </c>
      <c r="BJ338" s="3307">
        <f t="shared" si="195"/>
        <v>0</v>
      </c>
      <c r="BK338" s="3307">
        <f t="shared" si="196"/>
        <v>0</v>
      </c>
      <c r="BL338" s="3307">
        <f t="shared" si="197"/>
        <v>0</v>
      </c>
      <c r="BM338" s="3307">
        <f t="shared" si="198"/>
        <v>0</v>
      </c>
      <c r="BN338" s="3307">
        <f t="shared" si="199"/>
        <v>0</v>
      </c>
      <c r="BO338" s="3307">
        <f t="shared" si="200"/>
        <v>0</v>
      </c>
      <c r="BP338" s="3307">
        <f t="shared" si="201"/>
        <v>0</v>
      </c>
      <c r="BQ338" s="3307">
        <f t="shared" si="202"/>
        <v>0</v>
      </c>
      <c r="BR338" s="3307">
        <f t="shared" si="203"/>
        <v>0</v>
      </c>
      <c r="BS338" s="3307">
        <f t="shared" si="204"/>
        <v>0</v>
      </c>
      <c r="BT338" s="3359">
        <f t="shared" si="205"/>
        <v>0</v>
      </c>
    </row>
    <row r="339" spans="1:72">
      <c r="A339" s="3304"/>
      <c r="B339" s="3305"/>
      <c r="C339" s="3305"/>
      <c r="D339" s="3306"/>
      <c r="E339" s="3307">
        <f t="shared" si="206"/>
        <v>0</v>
      </c>
      <c r="F339" s="3308"/>
      <c r="G339" s="3309">
        <f t="shared" si="181"/>
        <v>0</v>
      </c>
      <c r="H339" s="3310">
        <f t="shared" si="182"/>
        <v>0</v>
      </c>
      <c r="I339" s="3317"/>
      <c r="J339" s="3317"/>
      <c r="K339" s="3317"/>
      <c r="L339" s="3317"/>
      <c r="M339" s="3317"/>
      <c r="N339" s="3317"/>
      <c r="O339" s="3317"/>
      <c r="P339" s="3317"/>
      <c r="Q339" s="3317"/>
      <c r="R339" s="3317"/>
      <c r="S339" s="3317"/>
      <c r="T339" s="3317"/>
      <c r="U339" s="3317"/>
      <c r="V339" s="3317"/>
      <c r="W339" s="3317"/>
      <c r="X339" s="3317"/>
      <c r="Y339" s="3317"/>
      <c r="Z339" s="3317"/>
      <c r="AA339" s="3317"/>
      <c r="AB339" s="3317"/>
      <c r="AC339" s="3307">
        <f t="shared" si="183"/>
        <v>0</v>
      </c>
      <c r="AD339" s="3327"/>
      <c r="AE339" s="3327"/>
      <c r="AF339" s="3327"/>
      <c r="AG339" s="3327"/>
      <c r="AH339" s="3327"/>
      <c r="AI339" s="3327"/>
      <c r="AJ339" s="3327"/>
      <c r="AK339" s="3327"/>
      <c r="AL339" s="3327"/>
      <c r="AM339" s="3327"/>
      <c r="AN339" s="3327"/>
      <c r="AO339" s="3327"/>
      <c r="AP339" s="3327"/>
      <c r="AQ339" s="3327"/>
      <c r="AR339" s="3327"/>
      <c r="AS339" s="3327"/>
      <c r="AT339" s="3337"/>
      <c r="AU339" s="3338"/>
      <c r="AV339" s="1410">
        <f t="shared" si="207"/>
        <v>0</v>
      </c>
      <c r="AW339" s="1410">
        <f t="shared" si="208"/>
        <v>0</v>
      </c>
      <c r="AX339" s="1410">
        <f t="shared" si="209"/>
        <v>0</v>
      </c>
      <c r="AY339" s="3352">
        <f t="shared" si="184"/>
        <v>0</v>
      </c>
      <c r="AZ339" s="3307">
        <f t="shared" si="185"/>
        <v>0</v>
      </c>
      <c r="BA339" s="3307">
        <f t="shared" si="186"/>
        <v>0</v>
      </c>
      <c r="BB339" s="3307">
        <f t="shared" si="187"/>
        <v>0</v>
      </c>
      <c r="BC339" s="3307">
        <f t="shared" si="188"/>
        <v>0</v>
      </c>
      <c r="BD339" s="3307">
        <f t="shared" si="189"/>
        <v>0</v>
      </c>
      <c r="BE339" s="3307">
        <f t="shared" si="190"/>
        <v>0</v>
      </c>
      <c r="BF339" s="3307">
        <f t="shared" si="191"/>
        <v>0</v>
      </c>
      <c r="BG339" s="3307">
        <f t="shared" si="192"/>
        <v>0</v>
      </c>
      <c r="BH339" s="3307">
        <f t="shared" si="193"/>
        <v>0</v>
      </c>
      <c r="BI339" s="3307">
        <f t="shared" si="194"/>
        <v>0</v>
      </c>
      <c r="BJ339" s="3307">
        <f t="shared" si="195"/>
        <v>0</v>
      </c>
      <c r="BK339" s="3307">
        <f t="shared" si="196"/>
        <v>0</v>
      </c>
      <c r="BL339" s="3307">
        <f t="shared" si="197"/>
        <v>0</v>
      </c>
      <c r="BM339" s="3307">
        <f t="shared" si="198"/>
        <v>0</v>
      </c>
      <c r="BN339" s="3307">
        <f t="shared" si="199"/>
        <v>0</v>
      </c>
      <c r="BO339" s="3307">
        <f t="shared" si="200"/>
        <v>0</v>
      </c>
      <c r="BP339" s="3307">
        <f t="shared" si="201"/>
        <v>0</v>
      </c>
      <c r="BQ339" s="3307">
        <f t="shared" si="202"/>
        <v>0</v>
      </c>
      <c r="BR339" s="3307">
        <f t="shared" si="203"/>
        <v>0</v>
      </c>
      <c r="BS339" s="3307">
        <f t="shared" si="204"/>
        <v>0</v>
      </c>
      <c r="BT339" s="3359">
        <f t="shared" si="205"/>
        <v>0</v>
      </c>
    </row>
    <row r="340" spans="1:72">
      <c r="A340" s="3304"/>
      <c r="B340" s="3305"/>
      <c r="C340" s="3305"/>
      <c r="D340" s="3306"/>
      <c r="E340" s="3307">
        <f t="shared" si="206"/>
        <v>0</v>
      </c>
      <c r="F340" s="3308"/>
      <c r="G340" s="3309">
        <f t="shared" si="181"/>
        <v>0</v>
      </c>
      <c r="H340" s="3310">
        <f t="shared" si="182"/>
        <v>0</v>
      </c>
      <c r="I340" s="3317"/>
      <c r="J340" s="3317"/>
      <c r="K340" s="3317"/>
      <c r="L340" s="3317"/>
      <c r="M340" s="3317"/>
      <c r="N340" s="3317"/>
      <c r="O340" s="3317"/>
      <c r="P340" s="3317"/>
      <c r="Q340" s="3317"/>
      <c r="R340" s="3317"/>
      <c r="S340" s="3317"/>
      <c r="T340" s="3317"/>
      <c r="U340" s="3317"/>
      <c r="V340" s="3317"/>
      <c r="W340" s="3317"/>
      <c r="X340" s="3317"/>
      <c r="Y340" s="3317"/>
      <c r="Z340" s="3317"/>
      <c r="AA340" s="3317"/>
      <c r="AB340" s="3317"/>
      <c r="AC340" s="3307">
        <f t="shared" si="183"/>
        <v>0</v>
      </c>
      <c r="AD340" s="3327"/>
      <c r="AE340" s="3327"/>
      <c r="AF340" s="3327"/>
      <c r="AG340" s="3327"/>
      <c r="AH340" s="3327"/>
      <c r="AI340" s="3327"/>
      <c r="AJ340" s="3327"/>
      <c r="AK340" s="3327"/>
      <c r="AL340" s="3327"/>
      <c r="AM340" s="3327"/>
      <c r="AN340" s="3327"/>
      <c r="AO340" s="3327"/>
      <c r="AP340" s="3327"/>
      <c r="AQ340" s="3327"/>
      <c r="AR340" s="3327"/>
      <c r="AS340" s="3327"/>
      <c r="AT340" s="3337"/>
      <c r="AU340" s="3338"/>
      <c r="AV340" s="1410">
        <f t="shared" si="207"/>
        <v>0</v>
      </c>
      <c r="AW340" s="1410">
        <f t="shared" si="208"/>
        <v>0</v>
      </c>
      <c r="AX340" s="1410">
        <f t="shared" si="209"/>
        <v>0</v>
      </c>
      <c r="AY340" s="3352">
        <f t="shared" si="184"/>
        <v>0</v>
      </c>
      <c r="AZ340" s="3307">
        <f t="shared" si="185"/>
        <v>0</v>
      </c>
      <c r="BA340" s="3307">
        <f t="shared" si="186"/>
        <v>0</v>
      </c>
      <c r="BB340" s="3307">
        <f t="shared" si="187"/>
        <v>0</v>
      </c>
      <c r="BC340" s="3307">
        <f t="shared" si="188"/>
        <v>0</v>
      </c>
      <c r="BD340" s="3307">
        <f t="shared" si="189"/>
        <v>0</v>
      </c>
      <c r="BE340" s="3307">
        <f t="shared" si="190"/>
        <v>0</v>
      </c>
      <c r="BF340" s="3307">
        <f t="shared" si="191"/>
        <v>0</v>
      </c>
      <c r="BG340" s="3307">
        <f t="shared" si="192"/>
        <v>0</v>
      </c>
      <c r="BH340" s="3307">
        <f t="shared" si="193"/>
        <v>0</v>
      </c>
      <c r="BI340" s="3307">
        <f t="shared" si="194"/>
        <v>0</v>
      </c>
      <c r="BJ340" s="3307">
        <f t="shared" si="195"/>
        <v>0</v>
      </c>
      <c r="BK340" s="3307">
        <f t="shared" si="196"/>
        <v>0</v>
      </c>
      <c r="BL340" s="3307">
        <f t="shared" si="197"/>
        <v>0</v>
      </c>
      <c r="BM340" s="3307">
        <f t="shared" si="198"/>
        <v>0</v>
      </c>
      <c r="BN340" s="3307">
        <f t="shared" si="199"/>
        <v>0</v>
      </c>
      <c r="BO340" s="3307">
        <f t="shared" si="200"/>
        <v>0</v>
      </c>
      <c r="BP340" s="3307">
        <f t="shared" si="201"/>
        <v>0</v>
      </c>
      <c r="BQ340" s="3307">
        <f t="shared" si="202"/>
        <v>0</v>
      </c>
      <c r="BR340" s="3307">
        <f t="shared" si="203"/>
        <v>0</v>
      </c>
      <c r="BS340" s="3307">
        <f t="shared" si="204"/>
        <v>0</v>
      </c>
      <c r="BT340" s="3359">
        <f t="shared" si="205"/>
        <v>0</v>
      </c>
    </row>
    <row r="341" spans="1:72">
      <c r="A341" s="3304"/>
      <c r="B341" s="3305"/>
      <c r="C341" s="3305"/>
      <c r="D341" s="3306"/>
      <c r="E341" s="3307">
        <f t="shared" si="206"/>
        <v>0</v>
      </c>
      <c r="F341" s="3308"/>
      <c r="G341" s="3309">
        <f t="shared" si="181"/>
        <v>0</v>
      </c>
      <c r="H341" s="3310">
        <f t="shared" si="182"/>
        <v>0</v>
      </c>
      <c r="I341" s="3317"/>
      <c r="J341" s="3317"/>
      <c r="K341" s="3317"/>
      <c r="L341" s="3317"/>
      <c r="M341" s="3317"/>
      <c r="N341" s="3317"/>
      <c r="O341" s="3317"/>
      <c r="P341" s="3317"/>
      <c r="Q341" s="3317"/>
      <c r="R341" s="3317"/>
      <c r="S341" s="3317"/>
      <c r="T341" s="3317"/>
      <c r="U341" s="3317"/>
      <c r="V341" s="3317"/>
      <c r="W341" s="3317"/>
      <c r="X341" s="3317"/>
      <c r="Y341" s="3317"/>
      <c r="Z341" s="3317"/>
      <c r="AA341" s="3317"/>
      <c r="AB341" s="3317"/>
      <c r="AC341" s="3307">
        <f t="shared" si="183"/>
        <v>0</v>
      </c>
      <c r="AD341" s="3327"/>
      <c r="AE341" s="3327"/>
      <c r="AF341" s="3327"/>
      <c r="AG341" s="3327"/>
      <c r="AH341" s="3327"/>
      <c r="AI341" s="3327"/>
      <c r="AJ341" s="3327"/>
      <c r="AK341" s="3327"/>
      <c r="AL341" s="3327"/>
      <c r="AM341" s="3327"/>
      <c r="AN341" s="3327"/>
      <c r="AO341" s="3327"/>
      <c r="AP341" s="3327"/>
      <c r="AQ341" s="3327"/>
      <c r="AR341" s="3327"/>
      <c r="AS341" s="3327"/>
      <c r="AT341" s="3337"/>
      <c r="AU341" s="3338"/>
      <c r="AV341" s="1410">
        <f t="shared" si="207"/>
        <v>0</v>
      </c>
      <c r="AW341" s="1410">
        <f t="shared" si="208"/>
        <v>0</v>
      </c>
      <c r="AX341" s="1410">
        <f t="shared" si="209"/>
        <v>0</v>
      </c>
      <c r="AY341" s="3352">
        <f t="shared" si="184"/>
        <v>0</v>
      </c>
      <c r="AZ341" s="3307">
        <f t="shared" si="185"/>
        <v>0</v>
      </c>
      <c r="BA341" s="3307">
        <f t="shared" si="186"/>
        <v>0</v>
      </c>
      <c r="BB341" s="3307">
        <f t="shared" si="187"/>
        <v>0</v>
      </c>
      <c r="BC341" s="3307">
        <f t="shared" si="188"/>
        <v>0</v>
      </c>
      <c r="BD341" s="3307">
        <f t="shared" si="189"/>
        <v>0</v>
      </c>
      <c r="BE341" s="3307">
        <f t="shared" si="190"/>
        <v>0</v>
      </c>
      <c r="BF341" s="3307">
        <f t="shared" si="191"/>
        <v>0</v>
      </c>
      <c r="BG341" s="3307">
        <f t="shared" si="192"/>
        <v>0</v>
      </c>
      <c r="BH341" s="3307">
        <f t="shared" si="193"/>
        <v>0</v>
      </c>
      <c r="BI341" s="3307">
        <f t="shared" si="194"/>
        <v>0</v>
      </c>
      <c r="BJ341" s="3307">
        <f t="shared" si="195"/>
        <v>0</v>
      </c>
      <c r="BK341" s="3307">
        <f t="shared" si="196"/>
        <v>0</v>
      </c>
      <c r="BL341" s="3307">
        <f t="shared" si="197"/>
        <v>0</v>
      </c>
      <c r="BM341" s="3307">
        <f t="shared" si="198"/>
        <v>0</v>
      </c>
      <c r="BN341" s="3307">
        <f t="shared" si="199"/>
        <v>0</v>
      </c>
      <c r="BO341" s="3307">
        <f t="shared" si="200"/>
        <v>0</v>
      </c>
      <c r="BP341" s="3307">
        <f t="shared" si="201"/>
        <v>0</v>
      </c>
      <c r="BQ341" s="3307">
        <f t="shared" si="202"/>
        <v>0</v>
      </c>
      <c r="BR341" s="3307">
        <f t="shared" si="203"/>
        <v>0</v>
      </c>
      <c r="BS341" s="3307">
        <f t="shared" si="204"/>
        <v>0</v>
      </c>
      <c r="BT341" s="3359">
        <f t="shared" si="205"/>
        <v>0</v>
      </c>
    </row>
    <row r="342" spans="1:72">
      <c r="A342" s="3304"/>
      <c r="B342" s="3305"/>
      <c r="C342" s="3305"/>
      <c r="D342" s="3306"/>
      <c r="E342" s="3307">
        <f t="shared" si="206"/>
        <v>0</v>
      </c>
      <c r="F342" s="3308"/>
      <c r="G342" s="3309">
        <f t="shared" si="181"/>
        <v>0</v>
      </c>
      <c r="H342" s="3310">
        <f t="shared" si="182"/>
        <v>0</v>
      </c>
      <c r="I342" s="3317"/>
      <c r="J342" s="3317"/>
      <c r="K342" s="3317"/>
      <c r="L342" s="3317"/>
      <c r="M342" s="3317"/>
      <c r="N342" s="3317"/>
      <c r="O342" s="3317"/>
      <c r="P342" s="3317"/>
      <c r="Q342" s="3317"/>
      <c r="R342" s="3317"/>
      <c r="S342" s="3317"/>
      <c r="T342" s="3317"/>
      <c r="U342" s="3317"/>
      <c r="V342" s="3317"/>
      <c r="W342" s="3317"/>
      <c r="X342" s="3317"/>
      <c r="Y342" s="3317"/>
      <c r="Z342" s="3317"/>
      <c r="AA342" s="3317"/>
      <c r="AB342" s="3317"/>
      <c r="AC342" s="3307">
        <f t="shared" si="183"/>
        <v>0</v>
      </c>
      <c r="AD342" s="3327"/>
      <c r="AE342" s="3327"/>
      <c r="AF342" s="3327"/>
      <c r="AG342" s="3327"/>
      <c r="AH342" s="3327"/>
      <c r="AI342" s="3327"/>
      <c r="AJ342" s="3327"/>
      <c r="AK342" s="3327"/>
      <c r="AL342" s="3327"/>
      <c r="AM342" s="3327"/>
      <c r="AN342" s="3327"/>
      <c r="AO342" s="3327"/>
      <c r="AP342" s="3327"/>
      <c r="AQ342" s="3327"/>
      <c r="AR342" s="3327"/>
      <c r="AS342" s="3327"/>
      <c r="AT342" s="3337"/>
      <c r="AU342" s="3338"/>
      <c r="AV342" s="1410">
        <f t="shared" si="207"/>
        <v>0</v>
      </c>
      <c r="AW342" s="1410">
        <f t="shared" si="208"/>
        <v>0</v>
      </c>
      <c r="AX342" s="1410">
        <f t="shared" si="209"/>
        <v>0</v>
      </c>
      <c r="AY342" s="3352">
        <f t="shared" si="184"/>
        <v>0</v>
      </c>
      <c r="AZ342" s="3307">
        <f t="shared" si="185"/>
        <v>0</v>
      </c>
      <c r="BA342" s="3307">
        <f t="shared" si="186"/>
        <v>0</v>
      </c>
      <c r="BB342" s="3307">
        <f t="shared" si="187"/>
        <v>0</v>
      </c>
      <c r="BC342" s="3307">
        <f t="shared" si="188"/>
        <v>0</v>
      </c>
      <c r="BD342" s="3307">
        <f t="shared" si="189"/>
        <v>0</v>
      </c>
      <c r="BE342" s="3307">
        <f t="shared" si="190"/>
        <v>0</v>
      </c>
      <c r="BF342" s="3307">
        <f t="shared" si="191"/>
        <v>0</v>
      </c>
      <c r="BG342" s="3307">
        <f t="shared" si="192"/>
        <v>0</v>
      </c>
      <c r="BH342" s="3307">
        <f t="shared" si="193"/>
        <v>0</v>
      </c>
      <c r="BI342" s="3307">
        <f t="shared" si="194"/>
        <v>0</v>
      </c>
      <c r="BJ342" s="3307">
        <f t="shared" si="195"/>
        <v>0</v>
      </c>
      <c r="BK342" s="3307">
        <f t="shared" si="196"/>
        <v>0</v>
      </c>
      <c r="BL342" s="3307">
        <f t="shared" si="197"/>
        <v>0</v>
      </c>
      <c r="BM342" s="3307">
        <f t="shared" si="198"/>
        <v>0</v>
      </c>
      <c r="BN342" s="3307">
        <f t="shared" si="199"/>
        <v>0</v>
      </c>
      <c r="BO342" s="3307">
        <f t="shared" si="200"/>
        <v>0</v>
      </c>
      <c r="BP342" s="3307">
        <f t="shared" si="201"/>
        <v>0</v>
      </c>
      <c r="BQ342" s="3307">
        <f t="shared" si="202"/>
        <v>0</v>
      </c>
      <c r="BR342" s="3307">
        <f t="shared" si="203"/>
        <v>0</v>
      </c>
      <c r="BS342" s="3307">
        <f t="shared" si="204"/>
        <v>0</v>
      </c>
      <c r="BT342" s="3359">
        <f t="shared" si="205"/>
        <v>0</v>
      </c>
    </row>
    <row r="343" spans="1:72">
      <c r="A343" s="3304"/>
      <c r="B343" s="3305"/>
      <c r="C343" s="3305"/>
      <c r="D343" s="3306"/>
      <c r="E343" s="3307">
        <f t="shared" si="206"/>
        <v>0</v>
      </c>
      <c r="F343" s="3308"/>
      <c r="G343" s="3309">
        <f t="shared" si="181"/>
        <v>0</v>
      </c>
      <c r="H343" s="3310">
        <f t="shared" si="182"/>
        <v>0</v>
      </c>
      <c r="I343" s="3317"/>
      <c r="J343" s="3317"/>
      <c r="K343" s="3317"/>
      <c r="L343" s="3317"/>
      <c r="M343" s="3317"/>
      <c r="N343" s="3317"/>
      <c r="O343" s="3317"/>
      <c r="P343" s="3317"/>
      <c r="Q343" s="3317"/>
      <c r="R343" s="3317"/>
      <c r="S343" s="3317"/>
      <c r="T343" s="3317"/>
      <c r="U343" s="3317"/>
      <c r="V343" s="3317"/>
      <c r="W343" s="3317"/>
      <c r="X343" s="3317"/>
      <c r="Y343" s="3317"/>
      <c r="Z343" s="3317"/>
      <c r="AA343" s="3317"/>
      <c r="AB343" s="3317"/>
      <c r="AC343" s="3307">
        <f t="shared" si="183"/>
        <v>0</v>
      </c>
      <c r="AD343" s="3327"/>
      <c r="AE343" s="3327"/>
      <c r="AF343" s="3327"/>
      <c r="AG343" s="3327"/>
      <c r="AH343" s="3327"/>
      <c r="AI343" s="3327"/>
      <c r="AJ343" s="3327"/>
      <c r="AK343" s="3327"/>
      <c r="AL343" s="3327"/>
      <c r="AM343" s="3327"/>
      <c r="AN343" s="3327"/>
      <c r="AO343" s="3327"/>
      <c r="AP343" s="3327"/>
      <c r="AQ343" s="3327"/>
      <c r="AR343" s="3327"/>
      <c r="AS343" s="3327"/>
      <c r="AT343" s="3337"/>
      <c r="AU343" s="3338"/>
      <c r="AV343" s="1410">
        <f t="shared" si="207"/>
        <v>0</v>
      </c>
      <c r="AW343" s="1410">
        <f t="shared" si="208"/>
        <v>0</v>
      </c>
      <c r="AX343" s="1410">
        <f t="shared" si="209"/>
        <v>0</v>
      </c>
      <c r="AY343" s="3352">
        <f t="shared" si="184"/>
        <v>0</v>
      </c>
      <c r="AZ343" s="3307">
        <f t="shared" si="185"/>
        <v>0</v>
      </c>
      <c r="BA343" s="3307">
        <f t="shared" si="186"/>
        <v>0</v>
      </c>
      <c r="BB343" s="3307">
        <f t="shared" si="187"/>
        <v>0</v>
      </c>
      <c r="BC343" s="3307">
        <f t="shared" si="188"/>
        <v>0</v>
      </c>
      <c r="BD343" s="3307">
        <f t="shared" si="189"/>
        <v>0</v>
      </c>
      <c r="BE343" s="3307">
        <f t="shared" si="190"/>
        <v>0</v>
      </c>
      <c r="BF343" s="3307">
        <f t="shared" si="191"/>
        <v>0</v>
      </c>
      <c r="BG343" s="3307">
        <f t="shared" si="192"/>
        <v>0</v>
      </c>
      <c r="BH343" s="3307">
        <f t="shared" si="193"/>
        <v>0</v>
      </c>
      <c r="BI343" s="3307">
        <f t="shared" si="194"/>
        <v>0</v>
      </c>
      <c r="BJ343" s="3307">
        <f t="shared" si="195"/>
        <v>0</v>
      </c>
      <c r="BK343" s="3307">
        <f t="shared" si="196"/>
        <v>0</v>
      </c>
      <c r="BL343" s="3307">
        <f t="shared" si="197"/>
        <v>0</v>
      </c>
      <c r="BM343" s="3307">
        <f t="shared" si="198"/>
        <v>0</v>
      </c>
      <c r="BN343" s="3307">
        <f t="shared" si="199"/>
        <v>0</v>
      </c>
      <c r="BO343" s="3307">
        <f t="shared" si="200"/>
        <v>0</v>
      </c>
      <c r="BP343" s="3307">
        <f t="shared" si="201"/>
        <v>0</v>
      </c>
      <c r="BQ343" s="3307">
        <f t="shared" si="202"/>
        <v>0</v>
      </c>
      <c r="BR343" s="3307">
        <f t="shared" si="203"/>
        <v>0</v>
      </c>
      <c r="BS343" s="3307">
        <f t="shared" si="204"/>
        <v>0</v>
      </c>
      <c r="BT343" s="3359">
        <f t="shared" si="205"/>
        <v>0</v>
      </c>
    </row>
    <row r="344" spans="1:72">
      <c r="A344" s="3304"/>
      <c r="B344" s="3305"/>
      <c r="C344" s="3305"/>
      <c r="D344" s="3306"/>
      <c r="E344" s="3307">
        <f t="shared" si="206"/>
        <v>0</v>
      </c>
      <c r="F344" s="3308"/>
      <c r="G344" s="3309">
        <f t="shared" si="181"/>
        <v>0</v>
      </c>
      <c r="H344" s="3310">
        <f t="shared" si="182"/>
        <v>0</v>
      </c>
      <c r="I344" s="3317"/>
      <c r="J344" s="3317"/>
      <c r="K344" s="3317"/>
      <c r="L344" s="3317"/>
      <c r="M344" s="3317"/>
      <c r="N344" s="3317"/>
      <c r="O344" s="3317"/>
      <c r="P344" s="3317"/>
      <c r="Q344" s="3317"/>
      <c r="R344" s="3317"/>
      <c r="S344" s="3317"/>
      <c r="T344" s="3317"/>
      <c r="U344" s="3317"/>
      <c r="V344" s="3317"/>
      <c r="W344" s="3317"/>
      <c r="X344" s="3317"/>
      <c r="Y344" s="3317"/>
      <c r="Z344" s="3317"/>
      <c r="AA344" s="3317"/>
      <c r="AB344" s="3317"/>
      <c r="AC344" s="3307">
        <f t="shared" si="183"/>
        <v>0</v>
      </c>
      <c r="AD344" s="3327"/>
      <c r="AE344" s="3327"/>
      <c r="AF344" s="3327"/>
      <c r="AG344" s="3327"/>
      <c r="AH344" s="3327"/>
      <c r="AI344" s="3327"/>
      <c r="AJ344" s="3327"/>
      <c r="AK344" s="3327"/>
      <c r="AL344" s="3327"/>
      <c r="AM344" s="3327"/>
      <c r="AN344" s="3327"/>
      <c r="AO344" s="3327"/>
      <c r="AP344" s="3327"/>
      <c r="AQ344" s="3327"/>
      <c r="AR344" s="3327"/>
      <c r="AS344" s="3327"/>
      <c r="AT344" s="3337"/>
      <c r="AU344" s="3338"/>
      <c r="AV344" s="1410">
        <f t="shared" si="207"/>
        <v>0</v>
      </c>
      <c r="AW344" s="1410">
        <f t="shared" si="208"/>
        <v>0</v>
      </c>
      <c r="AX344" s="1410">
        <f t="shared" si="209"/>
        <v>0</v>
      </c>
      <c r="AY344" s="3352">
        <f t="shared" si="184"/>
        <v>0</v>
      </c>
      <c r="AZ344" s="3307">
        <f t="shared" si="185"/>
        <v>0</v>
      </c>
      <c r="BA344" s="3307">
        <f t="shared" si="186"/>
        <v>0</v>
      </c>
      <c r="BB344" s="3307">
        <f t="shared" si="187"/>
        <v>0</v>
      </c>
      <c r="BC344" s="3307">
        <f t="shared" si="188"/>
        <v>0</v>
      </c>
      <c r="BD344" s="3307">
        <f t="shared" si="189"/>
        <v>0</v>
      </c>
      <c r="BE344" s="3307">
        <f t="shared" si="190"/>
        <v>0</v>
      </c>
      <c r="BF344" s="3307">
        <f t="shared" si="191"/>
        <v>0</v>
      </c>
      <c r="BG344" s="3307">
        <f t="shared" si="192"/>
        <v>0</v>
      </c>
      <c r="BH344" s="3307">
        <f t="shared" si="193"/>
        <v>0</v>
      </c>
      <c r="BI344" s="3307">
        <f t="shared" si="194"/>
        <v>0</v>
      </c>
      <c r="BJ344" s="3307">
        <f t="shared" si="195"/>
        <v>0</v>
      </c>
      <c r="BK344" s="3307">
        <f t="shared" si="196"/>
        <v>0</v>
      </c>
      <c r="BL344" s="3307">
        <f t="shared" si="197"/>
        <v>0</v>
      </c>
      <c r="BM344" s="3307">
        <f t="shared" si="198"/>
        <v>0</v>
      </c>
      <c r="BN344" s="3307">
        <f t="shared" si="199"/>
        <v>0</v>
      </c>
      <c r="BO344" s="3307">
        <f t="shared" si="200"/>
        <v>0</v>
      </c>
      <c r="BP344" s="3307">
        <f t="shared" si="201"/>
        <v>0</v>
      </c>
      <c r="BQ344" s="3307">
        <f t="shared" si="202"/>
        <v>0</v>
      </c>
      <c r="BR344" s="3307">
        <f t="shared" si="203"/>
        <v>0</v>
      </c>
      <c r="BS344" s="3307">
        <f t="shared" si="204"/>
        <v>0</v>
      </c>
      <c r="BT344" s="3359">
        <f t="shared" si="205"/>
        <v>0</v>
      </c>
    </row>
    <row r="345" spans="1:72">
      <c r="A345" s="3304"/>
      <c r="B345" s="3305"/>
      <c r="C345" s="3305"/>
      <c r="D345" s="3306"/>
      <c r="E345" s="3307">
        <f t="shared" si="206"/>
        <v>0</v>
      </c>
      <c r="F345" s="3308"/>
      <c r="G345" s="3309">
        <f t="shared" si="181"/>
        <v>0</v>
      </c>
      <c r="H345" s="3310">
        <f t="shared" si="182"/>
        <v>0</v>
      </c>
      <c r="I345" s="3317"/>
      <c r="J345" s="3317"/>
      <c r="K345" s="3317"/>
      <c r="L345" s="3317"/>
      <c r="M345" s="3317"/>
      <c r="N345" s="3317"/>
      <c r="O345" s="3317"/>
      <c r="P345" s="3317"/>
      <c r="Q345" s="3317"/>
      <c r="R345" s="3317"/>
      <c r="S345" s="3317"/>
      <c r="T345" s="3317"/>
      <c r="U345" s="3317"/>
      <c r="V345" s="3317"/>
      <c r="W345" s="3317"/>
      <c r="X345" s="3317"/>
      <c r="Y345" s="3317"/>
      <c r="Z345" s="3317"/>
      <c r="AA345" s="3317"/>
      <c r="AB345" s="3317"/>
      <c r="AC345" s="3307">
        <f t="shared" si="183"/>
        <v>0</v>
      </c>
      <c r="AD345" s="3327"/>
      <c r="AE345" s="3327"/>
      <c r="AF345" s="3327"/>
      <c r="AG345" s="3327"/>
      <c r="AH345" s="3327"/>
      <c r="AI345" s="3327"/>
      <c r="AJ345" s="3327"/>
      <c r="AK345" s="3327"/>
      <c r="AL345" s="3327"/>
      <c r="AM345" s="3327"/>
      <c r="AN345" s="3327"/>
      <c r="AO345" s="3327"/>
      <c r="AP345" s="3327"/>
      <c r="AQ345" s="3327"/>
      <c r="AR345" s="3327"/>
      <c r="AS345" s="3327"/>
      <c r="AT345" s="3337"/>
      <c r="AU345" s="3338"/>
      <c r="AV345" s="1410">
        <f t="shared" si="207"/>
        <v>0</v>
      </c>
      <c r="AW345" s="1410">
        <f t="shared" si="208"/>
        <v>0</v>
      </c>
      <c r="AX345" s="1410">
        <f t="shared" si="209"/>
        <v>0</v>
      </c>
      <c r="AY345" s="3352">
        <f t="shared" si="184"/>
        <v>0</v>
      </c>
      <c r="AZ345" s="3307">
        <f t="shared" si="185"/>
        <v>0</v>
      </c>
      <c r="BA345" s="3307">
        <f t="shared" si="186"/>
        <v>0</v>
      </c>
      <c r="BB345" s="3307">
        <f t="shared" si="187"/>
        <v>0</v>
      </c>
      <c r="BC345" s="3307">
        <f t="shared" si="188"/>
        <v>0</v>
      </c>
      <c r="BD345" s="3307">
        <f t="shared" si="189"/>
        <v>0</v>
      </c>
      <c r="BE345" s="3307">
        <f t="shared" si="190"/>
        <v>0</v>
      </c>
      <c r="BF345" s="3307">
        <f t="shared" si="191"/>
        <v>0</v>
      </c>
      <c r="BG345" s="3307">
        <f t="shared" si="192"/>
        <v>0</v>
      </c>
      <c r="BH345" s="3307">
        <f t="shared" si="193"/>
        <v>0</v>
      </c>
      <c r="BI345" s="3307">
        <f t="shared" si="194"/>
        <v>0</v>
      </c>
      <c r="BJ345" s="3307">
        <f t="shared" si="195"/>
        <v>0</v>
      </c>
      <c r="BK345" s="3307">
        <f t="shared" si="196"/>
        <v>0</v>
      </c>
      <c r="BL345" s="3307">
        <f t="shared" si="197"/>
        <v>0</v>
      </c>
      <c r="BM345" s="3307">
        <f t="shared" si="198"/>
        <v>0</v>
      </c>
      <c r="BN345" s="3307">
        <f t="shared" si="199"/>
        <v>0</v>
      </c>
      <c r="BO345" s="3307">
        <f t="shared" si="200"/>
        <v>0</v>
      </c>
      <c r="BP345" s="3307">
        <f t="shared" si="201"/>
        <v>0</v>
      </c>
      <c r="BQ345" s="3307">
        <f t="shared" si="202"/>
        <v>0</v>
      </c>
      <c r="BR345" s="3307">
        <f t="shared" si="203"/>
        <v>0</v>
      </c>
      <c r="BS345" s="3307">
        <f t="shared" si="204"/>
        <v>0</v>
      </c>
      <c r="BT345" s="3359">
        <f t="shared" si="205"/>
        <v>0</v>
      </c>
    </row>
    <row r="346" spans="1:72">
      <c r="A346" s="3304"/>
      <c r="B346" s="3305"/>
      <c r="C346" s="3305"/>
      <c r="D346" s="3306"/>
      <c r="E346" s="3307">
        <f t="shared" si="206"/>
        <v>0</v>
      </c>
      <c r="F346" s="3308"/>
      <c r="G346" s="3309">
        <f t="shared" si="181"/>
        <v>0</v>
      </c>
      <c r="H346" s="3310">
        <f t="shared" si="182"/>
        <v>0</v>
      </c>
      <c r="I346" s="3317"/>
      <c r="J346" s="3317"/>
      <c r="K346" s="3317"/>
      <c r="L346" s="3317"/>
      <c r="M346" s="3317"/>
      <c r="N346" s="3317"/>
      <c r="O346" s="3317"/>
      <c r="P346" s="3317"/>
      <c r="Q346" s="3317"/>
      <c r="R346" s="3317"/>
      <c r="S346" s="3317"/>
      <c r="T346" s="3317"/>
      <c r="U346" s="3317"/>
      <c r="V346" s="3317"/>
      <c r="W346" s="3317"/>
      <c r="X346" s="3317"/>
      <c r="Y346" s="3317"/>
      <c r="Z346" s="3317"/>
      <c r="AA346" s="3317"/>
      <c r="AB346" s="3317"/>
      <c r="AC346" s="3307">
        <f t="shared" si="183"/>
        <v>0</v>
      </c>
      <c r="AD346" s="3327"/>
      <c r="AE346" s="3327"/>
      <c r="AF346" s="3327"/>
      <c r="AG346" s="3327"/>
      <c r="AH346" s="3327"/>
      <c r="AI346" s="3327"/>
      <c r="AJ346" s="3327"/>
      <c r="AK346" s="3327"/>
      <c r="AL346" s="3327"/>
      <c r="AM346" s="3327"/>
      <c r="AN346" s="3327"/>
      <c r="AO346" s="3327"/>
      <c r="AP346" s="3327"/>
      <c r="AQ346" s="3327"/>
      <c r="AR346" s="3327"/>
      <c r="AS346" s="3327"/>
      <c r="AT346" s="3337"/>
      <c r="AU346" s="3338"/>
      <c r="AV346" s="1410">
        <f t="shared" si="207"/>
        <v>0</v>
      </c>
      <c r="AW346" s="1410">
        <f t="shared" si="208"/>
        <v>0</v>
      </c>
      <c r="AX346" s="1410">
        <f t="shared" si="209"/>
        <v>0</v>
      </c>
      <c r="AY346" s="3352">
        <f t="shared" si="184"/>
        <v>0</v>
      </c>
      <c r="AZ346" s="3307">
        <f t="shared" si="185"/>
        <v>0</v>
      </c>
      <c r="BA346" s="3307">
        <f t="shared" si="186"/>
        <v>0</v>
      </c>
      <c r="BB346" s="3307">
        <f t="shared" si="187"/>
        <v>0</v>
      </c>
      <c r="BC346" s="3307">
        <f t="shared" si="188"/>
        <v>0</v>
      </c>
      <c r="BD346" s="3307">
        <f t="shared" si="189"/>
        <v>0</v>
      </c>
      <c r="BE346" s="3307">
        <f t="shared" si="190"/>
        <v>0</v>
      </c>
      <c r="BF346" s="3307">
        <f t="shared" si="191"/>
        <v>0</v>
      </c>
      <c r="BG346" s="3307">
        <f t="shared" si="192"/>
        <v>0</v>
      </c>
      <c r="BH346" s="3307">
        <f t="shared" si="193"/>
        <v>0</v>
      </c>
      <c r="BI346" s="3307">
        <f t="shared" si="194"/>
        <v>0</v>
      </c>
      <c r="BJ346" s="3307">
        <f t="shared" si="195"/>
        <v>0</v>
      </c>
      <c r="BK346" s="3307">
        <f t="shared" si="196"/>
        <v>0</v>
      </c>
      <c r="BL346" s="3307">
        <f t="shared" si="197"/>
        <v>0</v>
      </c>
      <c r="BM346" s="3307">
        <f t="shared" si="198"/>
        <v>0</v>
      </c>
      <c r="BN346" s="3307">
        <f t="shared" si="199"/>
        <v>0</v>
      </c>
      <c r="BO346" s="3307">
        <f t="shared" si="200"/>
        <v>0</v>
      </c>
      <c r="BP346" s="3307">
        <f t="shared" si="201"/>
        <v>0</v>
      </c>
      <c r="BQ346" s="3307">
        <f t="shared" si="202"/>
        <v>0</v>
      </c>
      <c r="BR346" s="3307">
        <f t="shared" si="203"/>
        <v>0</v>
      </c>
      <c r="BS346" s="3307">
        <f t="shared" si="204"/>
        <v>0</v>
      </c>
      <c r="BT346" s="3359">
        <f t="shared" si="205"/>
        <v>0</v>
      </c>
    </row>
    <row r="347" spans="1:72">
      <c r="A347" s="3304"/>
      <c r="B347" s="3305"/>
      <c r="C347" s="3305"/>
      <c r="D347" s="3306"/>
      <c r="E347" s="3307">
        <f t="shared" si="206"/>
        <v>0</v>
      </c>
      <c r="F347" s="3308"/>
      <c r="G347" s="3309">
        <f t="shared" si="181"/>
        <v>0</v>
      </c>
      <c r="H347" s="3310">
        <f t="shared" si="182"/>
        <v>0</v>
      </c>
      <c r="I347" s="3317"/>
      <c r="J347" s="3317"/>
      <c r="K347" s="3317"/>
      <c r="L347" s="3317"/>
      <c r="M347" s="3317"/>
      <c r="N347" s="3317"/>
      <c r="O347" s="3317"/>
      <c r="P347" s="3317"/>
      <c r="Q347" s="3317"/>
      <c r="R347" s="3317"/>
      <c r="S347" s="3317"/>
      <c r="T347" s="3317"/>
      <c r="U347" s="3317"/>
      <c r="V347" s="3317"/>
      <c r="W347" s="3317"/>
      <c r="X347" s="3317"/>
      <c r="Y347" s="3317"/>
      <c r="Z347" s="3317"/>
      <c r="AA347" s="3317"/>
      <c r="AB347" s="3317"/>
      <c r="AC347" s="3307">
        <f t="shared" si="183"/>
        <v>0</v>
      </c>
      <c r="AD347" s="3327"/>
      <c r="AE347" s="3327"/>
      <c r="AF347" s="3327"/>
      <c r="AG347" s="3327"/>
      <c r="AH347" s="3327"/>
      <c r="AI347" s="3327"/>
      <c r="AJ347" s="3327"/>
      <c r="AK347" s="3327"/>
      <c r="AL347" s="3327"/>
      <c r="AM347" s="3327"/>
      <c r="AN347" s="3327"/>
      <c r="AO347" s="3327"/>
      <c r="AP347" s="3327"/>
      <c r="AQ347" s="3327"/>
      <c r="AR347" s="3327"/>
      <c r="AS347" s="3327"/>
      <c r="AT347" s="3337"/>
      <c r="AU347" s="3338"/>
      <c r="AV347" s="1410">
        <f t="shared" si="207"/>
        <v>0</v>
      </c>
      <c r="AW347" s="1410">
        <f t="shared" si="208"/>
        <v>0</v>
      </c>
      <c r="AX347" s="1410">
        <f t="shared" si="209"/>
        <v>0</v>
      </c>
      <c r="AY347" s="3352">
        <f t="shared" si="184"/>
        <v>0</v>
      </c>
      <c r="AZ347" s="3307">
        <f t="shared" si="185"/>
        <v>0</v>
      </c>
      <c r="BA347" s="3307">
        <f t="shared" si="186"/>
        <v>0</v>
      </c>
      <c r="BB347" s="3307">
        <f t="shared" si="187"/>
        <v>0</v>
      </c>
      <c r="BC347" s="3307">
        <f t="shared" si="188"/>
        <v>0</v>
      </c>
      <c r="BD347" s="3307">
        <f t="shared" si="189"/>
        <v>0</v>
      </c>
      <c r="BE347" s="3307">
        <f t="shared" si="190"/>
        <v>0</v>
      </c>
      <c r="BF347" s="3307">
        <f t="shared" si="191"/>
        <v>0</v>
      </c>
      <c r="BG347" s="3307">
        <f t="shared" si="192"/>
        <v>0</v>
      </c>
      <c r="BH347" s="3307">
        <f t="shared" si="193"/>
        <v>0</v>
      </c>
      <c r="BI347" s="3307">
        <f t="shared" si="194"/>
        <v>0</v>
      </c>
      <c r="BJ347" s="3307">
        <f t="shared" si="195"/>
        <v>0</v>
      </c>
      <c r="BK347" s="3307">
        <f t="shared" si="196"/>
        <v>0</v>
      </c>
      <c r="BL347" s="3307">
        <f t="shared" si="197"/>
        <v>0</v>
      </c>
      <c r="BM347" s="3307">
        <f t="shared" si="198"/>
        <v>0</v>
      </c>
      <c r="BN347" s="3307">
        <f t="shared" si="199"/>
        <v>0</v>
      </c>
      <c r="BO347" s="3307">
        <f t="shared" si="200"/>
        <v>0</v>
      </c>
      <c r="BP347" s="3307">
        <f t="shared" si="201"/>
        <v>0</v>
      </c>
      <c r="BQ347" s="3307">
        <f t="shared" si="202"/>
        <v>0</v>
      </c>
      <c r="BR347" s="3307">
        <f t="shared" si="203"/>
        <v>0</v>
      </c>
      <c r="BS347" s="3307">
        <f t="shared" si="204"/>
        <v>0</v>
      </c>
      <c r="BT347" s="3359">
        <f t="shared" si="205"/>
        <v>0</v>
      </c>
    </row>
    <row r="348" spans="1:72">
      <c r="A348" s="3304"/>
      <c r="B348" s="3305"/>
      <c r="C348" s="3305"/>
      <c r="D348" s="3306"/>
      <c r="E348" s="3307">
        <f t="shared" si="206"/>
        <v>0</v>
      </c>
      <c r="F348" s="3308"/>
      <c r="G348" s="3309">
        <f t="shared" si="181"/>
        <v>0</v>
      </c>
      <c r="H348" s="3310">
        <f t="shared" si="182"/>
        <v>0</v>
      </c>
      <c r="I348" s="3317"/>
      <c r="J348" s="3317"/>
      <c r="K348" s="3317"/>
      <c r="L348" s="3317"/>
      <c r="M348" s="3317"/>
      <c r="N348" s="3317"/>
      <c r="O348" s="3317"/>
      <c r="P348" s="3317"/>
      <c r="Q348" s="3317"/>
      <c r="R348" s="3317"/>
      <c r="S348" s="3317"/>
      <c r="T348" s="3317"/>
      <c r="U348" s="3317"/>
      <c r="V348" s="3317"/>
      <c r="W348" s="3317"/>
      <c r="X348" s="3317"/>
      <c r="Y348" s="3317"/>
      <c r="Z348" s="3317"/>
      <c r="AA348" s="3317"/>
      <c r="AB348" s="3317"/>
      <c r="AC348" s="3307">
        <f t="shared" si="183"/>
        <v>0</v>
      </c>
      <c r="AD348" s="3327"/>
      <c r="AE348" s="3327"/>
      <c r="AF348" s="3327"/>
      <c r="AG348" s="3327"/>
      <c r="AH348" s="3327"/>
      <c r="AI348" s="3327"/>
      <c r="AJ348" s="3327"/>
      <c r="AK348" s="3327"/>
      <c r="AL348" s="3327"/>
      <c r="AM348" s="3327"/>
      <c r="AN348" s="3327"/>
      <c r="AO348" s="3327"/>
      <c r="AP348" s="3327"/>
      <c r="AQ348" s="3327"/>
      <c r="AR348" s="3327"/>
      <c r="AS348" s="3327"/>
      <c r="AT348" s="3337"/>
      <c r="AU348" s="3338"/>
      <c r="AV348" s="1410">
        <f t="shared" si="207"/>
        <v>0</v>
      </c>
      <c r="AW348" s="1410">
        <f t="shared" si="208"/>
        <v>0</v>
      </c>
      <c r="AX348" s="1410">
        <f t="shared" si="209"/>
        <v>0</v>
      </c>
      <c r="AY348" s="3352">
        <f t="shared" si="184"/>
        <v>0</v>
      </c>
      <c r="AZ348" s="3307">
        <f t="shared" si="185"/>
        <v>0</v>
      </c>
      <c r="BA348" s="3307">
        <f t="shared" si="186"/>
        <v>0</v>
      </c>
      <c r="BB348" s="3307">
        <f t="shared" si="187"/>
        <v>0</v>
      </c>
      <c r="BC348" s="3307">
        <f t="shared" si="188"/>
        <v>0</v>
      </c>
      <c r="BD348" s="3307">
        <f t="shared" si="189"/>
        <v>0</v>
      </c>
      <c r="BE348" s="3307">
        <f t="shared" si="190"/>
        <v>0</v>
      </c>
      <c r="BF348" s="3307">
        <f t="shared" si="191"/>
        <v>0</v>
      </c>
      <c r="BG348" s="3307">
        <f t="shared" si="192"/>
        <v>0</v>
      </c>
      <c r="BH348" s="3307">
        <f t="shared" si="193"/>
        <v>0</v>
      </c>
      <c r="BI348" s="3307">
        <f t="shared" si="194"/>
        <v>0</v>
      </c>
      <c r="BJ348" s="3307">
        <f t="shared" si="195"/>
        <v>0</v>
      </c>
      <c r="BK348" s="3307">
        <f t="shared" si="196"/>
        <v>0</v>
      </c>
      <c r="BL348" s="3307">
        <f t="shared" si="197"/>
        <v>0</v>
      </c>
      <c r="BM348" s="3307">
        <f t="shared" si="198"/>
        <v>0</v>
      </c>
      <c r="BN348" s="3307">
        <f t="shared" si="199"/>
        <v>0</v>
      </c>
      <c r="BO348" s="3307">
        <f t="shared" si="200"/>
        <v>0</v>
      </c>
      <c r="BP348" s="3307">
        <f t="shared" si="201"/>
        <v>0</v>
      </c>
      <c r="BQ348" s="3307">
        <f t="shared" si="202"/>
        <v>0</v>
      </c>
      <c r="BR348" s="3307">
        <f t="shared" si="203"/>
        <v>0</v>
      </c>
      <c r="BS348" s="3307">
        <f t="shared" si="204"/>
        <v>0</v>
      </c>
      <c r="BT348" s="3359">
        <f t="shared" si="205"/>
        <v>0</v>
      </c>
    </row>
    <row r="349" spans="1:72">
      <c r="A349" s="3304"/>
      <c r="B349" s="3305"/>
      <c r="C349" s="3305"/>
      <c r="D349" s="3306"/>
      <c r="E349" s="3307">
        <f t="shared" si="206"/>
        <v>0</v>
      </c>
      <c r="F349" s="3308"/>
      <c r="G349" s="3309">
        <f t="shared" si="181"/>
        <v>0</v>
      </c>
      <c r="H349" s="3310">
        <f t="shared" si="182"/>
        <v>0</v>
      </c>
      <c r="I349" s="3317"/>
      <c r="J349" s="3317"/>
      <c r="K349" s="3317"/>
      <c r="L349" s="3317"/>
      <c r="M349" s="3317"/>
      <c r="N349" s="3317"/>
      <c r="O349" s="3317"/>
      <c r="P349" s="3317"/>
      <c r="Q349" s="3317"/>
      <c r="R349" s="3317"/>
      <c r="S349" s="3317"/>
      <c r="T349" s="3317"/>
      <c r="U349" s="3317"/>
      <c r="V349" s="3317"/>
      <c r="W349" s="3317"/>
      <c r="X349" s="3317"/>
      <c r="Y349" s="3317"/>
      <c r="Z349" s="3317"/>
      <c r="AA349" s="3317"/>
      <c r="AB349" s="3317"/>
      <c r="AC349" s="3307">
        <f t="shared" si="183"/>
        <v>0</v>
      </c>
      <c r="AD349" s="3327"/>
      <c r="AE349" s="3327"/>
      <c r="AF349" s="3327"/>
      <c r="AG349" s="3327"/>
      <c r="AH349" s="3327"/>
      <c r="AI349" s="3327"/>
      <c r="AJ349" s="3327"/>
      <c r="AK349" s="3327"/>
      <c r="AL349" s="3327"/>
      <c r="AM349" s="3327"/>
      <c r="AN349" s="3327"/>
      <c r="AO349" s="3327"/>
      <c r="AP349" s="3327"/>
      <c r="AQ349" s="3327"/>
      <c r="AR349" s="3327"/>
      <c r="AS349" s="3327"/>
      <c r="AT349" s="3337"/>
      <c r="AU349" s="3338"/>
      <c r="AV349" s="1410">
        <f t="shared" si="207"/>
        <v>0</v>
      </c>
      <c r="AW349" s="1410">
        <f t="shared" si="208"/>
        <v>0</v>
      </c>
      <c r="AX349" s="1410">
        <f t="shared" si="209"/>
        <v>0</v>
      </c>
      <c r="AY349" s="3352">
        <f t="shared" si="184"/>
        <v>0</v>
      </c>
      <c r="AZ349" s="3307">
        <f t="shared" si="185"/>
        <v>0</v>
      </c>
      <c r="BA349" s="3307">
        <f t="shared" si="186"/>
        <v>0</v>
      </c>
      <c r="BB349" s="3307">
        <f t="shared" si="187"/>
        <v>0</v>
      </c>
      <c r="BC349" s="3307">
        <f t="shared" si="188"/>
        <v>0</v>
      </c>
      <c r="BD349" s="3307">
        <f t="shared" si="189"/>
        <v>0</v>
      </c>
      <c r="BE349" s="3307">
        <f t="shared" si="190"/>
        <v>0</v>
      </c>
      <c r="BF349" s="3307">
        <f t="shared" si="191"/>
        <v>0</v>
      </c>
      <c r="BG349" s="3307">
        <f t="shared" si="192"/>
        <v>0</v>
      </c>
      <c r="BH349" s="3307">
        <f t="shared" si="193"/>
        <v>0</v>
      </c>
      <c r="BI349" s="3307">
        <f t="shared" si="194"/>
        <v>0</v>
      </c>
      <c r="BJ349" s="3307">
        <f t="shared" si="195"/>
        <v>0</v>
      </c>
      <c r="BK349" s="3307">
        <f t="shared" si="196"/>
        <v>0</v>
      </c>
      <c r="BL349" s="3307">
        <f t="shared" si="197"/>
        <v>0</v>
      </c>
      <c r="BM349" s="3307">
        <f t="shared" si="198"/>
        <v>0</v>
      </c>
      <c r="BN349" s="3307">
        <f t="shared" si="199"/>
        <v>0</v>
      </c>
      <c r="BO349" s="3307">
        <f t="shared" si="200"/>
        <v>0</v>
      </c>
      <c r="BP349" s="3307">
        <f t="shared" si="201"/>
        <v>0</v>
      </c>
      <c r="BQ349" s="3307">
        <f t="shared" si="202"/>
        <v>0</v>
      </c>
      <c r="BR349" s="3307">
        <f t="shared" si="203"/>
        <v>0</v>
      </c>
      <c r="BS349" s="3307">
        <f t="shared" si="204"/>
        <v>0</v>
      </c>
      <c r="BT349" s="3359">
        <f t="shared" si="205"/>
        <v>0</v>
      </c>
    </row>
    <row r="350" spans="1:72">
      <c r="A350" s="3304"/>
      <c r="B350" s="3305"/>
      <c r="C350" s="3305"/>
      <c r="D350" s="3306"/>
      <c r="E350" s="3307">
        <f t="shared" si="206"/>
        <v>0</v>
      </c>
      <c r="F350" s="3308"/>
      <c r="G350" s="3309">
        <f t="shared" si="181"/>
        <v>0</v>
      </c>
      <c r="H350" s="3310">
        <f t="shared" si="182"/>
        <v>0</v>
      </c>
      <c r="I350" s="3317"/>
      <c r="J350" s="3317"/>
      <c r="K350" s="3317"/>
      <c r="L350" s="3317"/>
      <c r="M350" s="3317"/>
      <c r="N350" s="3317"/>
      <c r="O350" s="3317"/>
      <c r="P350" s="3317"/>
      <c r="Q350" s="3317"/>
      <c r="R350" s="3317"/>
      <c r="S350" s="3317"/>
      <c r="T350" s="3317"/>
      <c r="U350" s="3317"/>
      <c r="V350" s="3317"/>
      <c r="W350" s="3317"/>
      <c r="X350" s="3317"/>
      <c r="Y350" s="3317"/>
      <c r="Z350" s="3317"/>
      <c r="AA350" s="3317"/>
      <c r="AB350" s="3317"/>
      <c r="AC350" s="3307">
        <f t="shared" si="183"/>
        <v>0</v>
      </c>
      <c r="AD350" s="3327"/>
      <c r="AE350" s="3327"/>
      <c r="AF350" s="3327"/>
      <c r="AG350" s="3327"/>
      <c r="AH350" s="3327"/>
      <c r="AI350" s="3327"/>
      <c r="AJ350" s="3327"/>
      <c r="AK350" s="3327"/>
      <c r="AL350" s="3327"/>
      <c r="AM350" s="3327"/>
      <c r="AN350" s="3327"/>
      <c r="AO350" s="3327"/>
      <c r="AP350" s="3327"/>
      <c r="AQ350" s="3327"/>
      <c r="AR350" s="3327"/>
      <c r="AS350" s="3327"/>
      <c r="AT350" s="3337"/>
      <c r="AU350" s="3338"/>
      <c r="AV350" s="1410">
        <f t="shared" si="207"/>
        <v>0</v>
      </c>
      <c r="AW350" s="1410">
        <f t="shared" si="208"/>
        <v>0</v>
      </c>
      <c r="AX350" s="1410">
        <f t="shared" si="209"/>
        <v>0</v>
      </c>
      <c r="AY350" s="3352">
        <f t="shared" si="184"/>
        <v>0</v>
      </c>
      <c r="AZ350" s="3307">
        <f t="shared" si="185"/>
        <v>0</v>
      </c>
      <c r="BA350" s="3307">
        <f t="shared" si="186"/>
        <v>0</v>
      </c>
      <c r="BB350" s="3307">
        <f t="shared" si="187"/>
        <v>0</v>
      </c>
      <c r="BC350" s="3307">
        <f t="shared" si="188"/>
        <v>0</v>
      </c>
      <c r="BD350" s="3307">
        <f t="shared" si="189"/>
        <v>0</v>
      </c>
      <c r="BE350" s="3307">
        <f t="shared" si="190"/>
        <v>0</v>
      </c>
      <c r="BF350" s="3307">
        <f t="shared" si="191"/>
        <v>0</v>
      </c>
      <c r="BG350" s="3307">
        <f t="shared" si="192"/>
        <v>0</v>
      </c>
      <c r="BH350" s="3307">
        <f t="shared" si="193"/>
        <v>0</v>
      </c>
      <c r="BI350" s="3307">
        <f t="shared" si="194"/>
        <v>0</v>
      </c>
      <c r="BJ350" s="3307">
        <f t="shared" si="195"/>
        <v>0</v>
      </c>
      <c r="BK350" s="3307">
        <f t="shared" si="196"/>
        <v>0</v>
      </c>
      <c r="BL350" s="3307">
        <f t="shared" si="197"/>
        <v>0</v>
      </c>
      <c r="BM350" s="3307">
        <f t="shared" si="198"/>
        <v>0</v>
      </c>
      <c r="BN350" s="3307">
        <f t="shared" si="199"/>
        <v>0</v>
      </c>
      <c r="BO350" s="3307">
        <f t="shared" si="200"/>
        <v>0</v>
      </c>
      <c r="BP350" s="3307">
        <f t="shared" si="201"/>
        <v>0</v>
      </c>
      <c r="BQ350" s="3307">
        <f t="shared" si="202"/>
        <v>0</v>
      </c>
      <c r="BR350" s="3307">
        <f t="shared" si="203"/>
        <v>0</v>
      </c>
      <c r="BS350" s="3307">
        <f t="shared" si="204"/>
        <v>0</v>
      </c>
      <c r="BT350" s="3359">
        <f t="shared" si="205"/>
        <v>0</v>
      </c>
    </row>
    <row r="351" spans="1:72">
      <c r="A351" s="3304"/>
      <c r="B351" s="3305"/>
      <c r="C351" s="3305"/>
      <c r="D351" s="3306"/>
      <c r="E351" s="3307">
        <f t="shared" si="206"/>
        <v>0</v>
      </c>
      <c r="F351" s="3308"/>
      <c r="G351" s="3309">
        <f t="shared" si="181"/>
        <v>0</v>
      </c>
      <c r="H351" s="3310">
        <f t="shared" si="182"/>
        <v>0</v>
      </c>
      <c r="I351" s="3317"/>
      <c r="J351" s="3317"/>
      <c r="K351" s="3317"/>
      <c r="L351" s="3317"/>
      <c r="M351" s="3317"/>
      <c r="N351" s="3317"/>
      <c r="O351" s="3317"/>
      <c r="P351" s="3317"/>
      <c r="Q351" s="3317"/>
      <c r="R351" s="3317"/>
      <c r="S351" s="3317"/>
      <c r="T351" s="3317"/>
      <c r="U351" s="3317"/>
      <c r="V351" s="3317"/>
      <c r="W351" s="3317"/>
      <c r="X351" s="3317"/>
      <c r="Y351" s="3317"/>
      <c r="Z351" s="3317"/>
      <c r="AA351" s="3317"/>
      <c r="AB351" s="3317"/>
      <c r="AC351" s="3307">
        <f t="shared" si="183"/>
        <v>0</v>
      </c>
      <c r="AD351" s="3327"/>
      <c r="AE351" s="3327"/>
      <c r="AF351" s="3327"/>
      <c r="AG351" s="3327"/>
      <c r="AH351" s="3327"/>
      <c r="AI351" s="3327"/>
      <c r="AJ351" s="3327"/>
      <c r="AK351" s="3327"/>
      <c r="AL351" s="3327"/>
      <c r="AM351" s="3327"/>
      <c r="AN351" s="3327"/>
      <c r="AO351" s="3327"/>
      <c r="AP351" s="3327"/>
      <c r="AQ351" s="3327"/>
      <c r="AR351" s="3327"/>
      <c r="AS351" s="3327"/>
      <c r="AT351" s="3337"/>
      <c r="AU351" s="3338"/>
      <c r="AV351" s="1410">
        <f t="shared" si="207"/>
        <v>0</v>
      </c>
      <c r="AW351" s="1410">
        <f t="shared" si="208"/>
        <v>0</v>
      </c>
      <c r="AX351" s="1410">
        <f t="shared" si="209"/>
        <v>0</v>
      </c>
      <c r="AY351" s="3352">
        <f t="shared" si="184"/>
        <v>0</v>
      </c>
      <c r="AZ351" s="3307">
        <f t="shared" si="185"/>
        <v>0</v>
      </c>
      <c r="BA351" s="3307">
        <f t="shared" si="186"/>
        <v>0</v>
      </c>
      <c r="BB351" s="3307">
        <f t="shared" si="187"/>
        <v>0</v>
      </c>
      <c r="BC351" s="3307">
        <f t="shared" si="188"/>
        <v>0</v>
      </c>
      <c r="BD351" s="3307">
        <f t="shared" si="189"/>
        <v>0</v>
      </c>
      <c r="BE351" s="3307">
        <f t="shared" si="190"/>
        <v>0</v>
      </c>
      <c r="BF351" s="3307">
        <f t="shared" si="191"/>
        <v>0</v>
      </c>
      <c r="BG351" s="3307">
        <f t="shared" si="192"/>
        <v>0</v>
      </c>
      <c r="BH351" s="3307">
        <f t="shared" si="193"/>
        <v>0</v>
      </c>
      <c r="BI351" s="3307">
        <f t="shared" si="194"/>
        <v>0</v>
      </c>
      <c r="BJ351" s="3307">
        <f t="shared" si="195"/>
        <v>0</v>
      </c>
      <c r="BK351" s="3307">
        <f t="shared" si="196"/>
        <v>0</v>
      </c>
      <c r="BL351" s="3307">
        <f t="shared" si="197"/>
        <v>0</v>
      </c>
      <c r="BM351" s="3307">
        <f t="shared" si="198"/>
        <v>0</v>
      </c>
      <c r="BN351" s="3307">
        <f t="shared" si="199"/>
        <v>0</v>
      </c>
      <c r="BO351" s="3307">
        <f t="shared" si="200"/>
        <v>0</v>
      </c>
      <c r="BP351" s="3307">
        <f t="shared" si="201"/>
        <v>0</v>
      </c>
      <c r="BQ351" s="3307">
        <f t="shared" si="202"/>
        <v>0</v>
      </c>
      <c r="BR351" s="3307">
        <f t="shared" si="203"/>
        <v>0</v>
      </c>
      <c r="BS351" s="3307">
        <f t="shared" si="204"/>
        <v>0</v>
      </c>
      <c r="BT351" s="3359">
        <f t="shared" si="205"/>
        <v>0</v>
      </c>
    </row>
    <row r="352" spans="1:72">
      <c r="A352" s="3304"/>
      <c r="B352" s="3305"/>
      <c r="C352" s="3305"/>
      <c r="D352" s="3306"/>
      <c r="E352" s="3307">
        <f t="shared" si="206"/>
        <v>0</v>
      </c>
      <c r="F352" s="3308"/>
      <c r="G352" s="3309">
        <f t="shared" si="181"/>
        <v>0</v>
      </c>
      <c r="H352" s="3310">
        <f t="shared" si="182"/>
        <v>0</v>
      </c>
      <c r="I352" s="3317"/>
      <c r="J352" s="3317"/>
      <c r="K352" s="3317"/>
      <c r="L352" s="3317"/>
      <c r="M352" s="3317"/>
      <c r="N352" s="3317"/>
      <c r="O352" s="3317"/>
      <c r="P352" s="3317"/>
      <c r="Q352" s="3317"/>
      <c r="R352" s="3317"/>
      <c r="S352" s="3317"/>
      <c r="T352" s="3317"/>
      <c r="U352" s="3317"/>
      <c r="V352" s="3317"/>
      <c r="W352" s="3317"/>
      <c r="X352" s="3317"/>
      <c r="Y352" s="3317"/>
      <c r="Z352" s="3317"/>
      <c r="AA352" s="3317"/>
      <c r="AB352" s="3317"/>
      <c r="AC352" s="3307">
        <f t="shared" si="183"/>
        <v>0</v>
      </c>
      <c r="AD352" s="3327"/>
      <c r="AE352" s="3327"/>
      <c r="AF352" s="3327"/>
      <c r="AG352" s="3327"/>
      <c r="AH352" s="3327"/>
      <c r="AI352" s="3327"/>
      <c r="AJ352" s="3327"/>
      <c r="AK352" s="3327"/>
      <c r="AL352" s="3327"/>
      <c r="AM352" s="3327"/>
      <c r="AN352" s="3327"/>
      <c r="AO352" s="3327"/>
      <c r="AP352" s="3327"/>
      <c r="AQ352" s="3327"/>
      <c r="AR352" s="3327"/>
      <c r="AS352" s="3327"/>
      <c r="AT352" s="3337"/>
      <c r="AU352" s="3338"/>
      <c r="AV352" s="1410">
        <f t="shared" si="207"/>
        <v>0</v>
      </c>
      <c r="AW352" s="1410">
        <f t="shared" si="208"/>
        <v>0</v>
      </c>
      <c r="AX352" s="1410">
        <f t="shared" si="209"/>
        <v>0</v>
      </c>
      <c r="AY352" s="3352">
        <f t="shared" si="184"/>
        <v>0</v>
      </c>
      <c r="AZ352" s="3307">
        <f t="shared" si="185"/>
        <v>0</v>
      </c>
      <c r="BA352" s="3307">
        <f t="shared" si="186"/>
        <v>0</v>
      </c>
      <c r="BB352" s="3307">
        <f t="shared" si="187"/>
        <v>0</v>
      </c>
      <c r="BC352" s="3307">
        <f t="shared" si="188"/>
        <v>0</v>
      </c>
      <c r="BD352" s="3307">
        <f t="shared" si="189"/>
        <v>0</v>
      </c>
      <c r="BE352" s="3307">
        <f t="shared" si="190"/>
        <v>0</v>
      </c>
      <c r="BF352" s="3307">
        <f t="shared" si="191"/>
        <v>0</v>
      </c>
      <c r="BG352" s="3307">
        <f t="shared" si="192"/>
        <v>0</v>
      </c>
      <c r="BH352" s="3307">
        <f t="shared" si="193"/>
        <v>0</v>
      </c>
      <c r="BI352" s="3307">
        <f t="shared" si="194"/>
        <v>0</v>
      </c>
      <c r="BJ352" s="3307">
        <f t="shared" si="195"/>
        <v>0</v>
      </c>
      <c r="BK352" s="3307">
        <f t="shared" si="196"/>
        <v>0</v>
      </c>
      <c r="BL352" s="3307">
        <f t="shared" si="197"/>
        <v>0</v>
      </c>
      <c r="BM352" s="3307">
        <f t="shared" si="198"/>
        <v>0</v>
      </c>
      <c r="BN352" s="3307">
        <f t="shared" si="199"/>
        <v>0</v>
      </c>
      <c r="BO352" s="3307">
        <f t="shared" si="200"/>
        <v>0</v>
      </c>
      <c r="BP352" s="3307">
        <f t="shared" si="201"/>
        <v>0</v>
      </c>
      <c r="BQ352" s="3307">
        <f t="shared" si="202"/>
        <v>0</v>
      </c>
      <c r="BR352" s="3307">
        <f t="shared" si="203"/>
        <v>0</v>
      </c>
      <c r="BS352" s="3307">
        <f t="shared" si="204"/>
        <v>0</v>
      </c>
      <c r="BT352" s="3359">
        <f t="shared" si="205"/>
        <v>0</v>
      </c>
    </row>
    <row r="353" spans="1:72">
      <c r="A353" s="3304"/>
      <c r="B353" s="3305"/>
      <c r="C353" s="3305"/>
      <c r="D353" s="3306"/>
      <c r="E353" s="3307">
        <f t="shared" si="206"/>
        <v>0</v>
      </c>
      <c r="F353" s="3308"/>
      <c r="G353" s="3309">
        <f t="shared" si="181"/>
        <v>0</v>
      </c>
      <c r="H353" s="3310">
        <f t="shared" si="182"/>
        <v>0</v>
      </c>
      <c r="I353" s="3317"/>
      <c r="J353" s="3317"/>
      <c r="K353" s="3317"/>
      <c r="L353" s="3317"/>
      <c r="M353" s="3317"/>
      <c r="N353" s="3317"/>
      <c r="O353" s="3317"/>
      <c r="P353" s="3317"/>
      <c r="Q353" s="3317"/>
      <c r="R353" s="3317"/>
      <c r="S353" s="3317"/>
      <c r="T353" s="3317"/>
      <c r="U353" s="3317"/>
      <c r="V353" s="3317"/>
      <c r="W353" s="3317"/>
      <c r="X353" s="3317"/>
      <c r="Y353" s="3317"/>
      <c r="Z353" s="3317"/>
      <c r="AA353" s="3317"/>
      <c r="AB353" s="3317"/>
      <c r="AC353" s="3307">
        <f t="shared" si="183"/>
        <v>0</v>
      </c>
      <c r="AD353" s="3327"/>
      <c r="AE353" s="3327"/>
      <c r="AF353" s="3327"/>
      <c r="AG353" s="3327"/>
      <c r="AH353" s="3327"/>
      <c r="AI353" s="3327"/>
      <c r="AJ353" s="3327"/>
      <c r="AK353" s="3327"/>
      <c r="AL353" s="3327"/>
      <c r="AM353" s="3327"/>
      <c r="AN353" s="3327"/>
      <c r="AO353" s="3327"/>
      <c r="AP353" s="3327"/>
      <c r="AQ353" s="3327"/>
      <c r="AR353" s="3327"/>
      <c r="AS353" s="3327"/>
      <c r="AT353" s="3337"/>
      <c r="AU353" s="3338"/>
      <c r="AV353" s="1410">
        <f t="shared" si="207"/>
        <v>0</v>
      </c>
      <c r="AW353" s="1410">
        <f t="shared" si="208"/>
        <v>0</v>
      </c>
      <c r="AX353" s="1410">
        <f t="shared" si="209"/>
        <v>0</v>
      </c>
      <c r="AY353" s="3352">
        <f t="shared" si="184"/>
        <v>0</v>
      </c>
      <c r="AZ353" s="3307">
        <f t="shared" si="185"/>
        <v>0</v>
      </c>
      <c r="BA353" s="3307">
        <f t="shared" si="186"/>
        <v>0</v>
      </c>
      <c r="BB353" s="3307">
        <f t="shared" si="187"/>
        <v>0</v>
      </c>
      <c r="BC353" s="3307">
        <f t="shared" si="188"/>
        <v>0</v>
      </c>
      <c r="BD353" s="3307">
        <f t="shared" si="189"/>
        <v>0</v>
      </c>
      <c r="BE353" s="3307">
        <f t="shared" si="190"/>
        <v>0</v>
      </c>
      <c r="BF353" s="3307">
        <f t="shared" si="191"/>
        <v>0</v>
      </c>
      <c r="BG353" s="3307">
        <f t="shared" si="192"/>
        <v>0</v>
      </c>
      <c r="BH353" s="3307">
        <f t="shared" si="193"/>
        <v>0</v>
      </c>
      <c r="BI353" s="3307">
        <f t="shared" si="194"/>
        <v>0</v>
      </c>
      <c r="BJ353" s="3307">
        <f t="shared" si="195"/>
        <v>0</v>
      </c>
      <c r="BK353" s="3307">
        <f t="shared" si="196"/>
        <v>0</v>
      </c>
      <c r="BL353" s="3307">
        <f t="shared" si="197"/>
        <v>0</v>
      </c>
      <c r="BM353" s="3307">
        <f t="shared" si="198"/>
        <v>0</v>
      </c>
      <c r="BN353" s="3307">
        <f t="shared" si="199"/>
        <v>0</v>
      </c>
      <c r="BO353" s="3307">
        <f t="shared" si="200"/>
        <v>0</v>
      </c>
      <c r="BP353" s="3307">
        <f t="shared" si="201"/>
        <v>0</v>
      </c>
      <c r="BQ353" s="3307">
        <f t="shared" si="202"/>
        <v>0</v>
      </c>
      <c r="BR353" s="3307">
        <f t="shared" si="203"/>
        <v>0</v>
      </c>
      <c r="BS353" s="3307">
        <f t="shared" si="204"/>
        <v>0</v>
      </c>
      <c r="BT353" s="3359">
        <f t="shared" si="205"/>
        <v>0</v>
      </c>
    </row>
    <row r="354" spans="1:72">
      <c r="A354" s="3304"/>
      <c r="B354" s="3305"/>
      <c r="C354" s="3305"/>
      <c r="D354" s="3306"/>
      <c r="E354" s="3307">
        <f t="shared" si="206"/>
        <v>0</v>
      </c>
      <c r="F354" s="3308"/>
      <c r="G354" s="3309">
        <f t="shared" si="181"/>
        <v>0</v>
      </c>
      <c r="H354" s="3310">
        <f t="shared" si="182"/>
        <v>0</v>
      </c>
      <c r="I354" s="3317"/>
      <c r="J354" s="3317"/>
      <c r="K354" s="3317"/>
      <c r="L354" s="3317"/>
      <c r="M354" s="3317"/>
      <c r="N354" s="3317"/>
      <c r="O354" s="3317"/>
      <c r="P354" s="3317"/>
      <c r="Q354" s="3317"/>
      <c r="R354" s="3317"/>
      <c r="S354" s="3317"/>
      <c r="T354" s="3317"/>
      <c r="U354" s="3317"/>
      <c r="V354" s="3317"/>
      <c r="W354" s="3317"/>
      <c r="X354" s="3317"/>
      <c r="Y354" s="3317"/>
      <c r="Z354" s="3317"/>
      <c r="AA354" s="3317"/>
      <c r="AB354" s="3317"/>
      <c r="AC354" s="3307">
        <f t="shared" si="183"/>
        <v>0</v>
      </c>
      <c r="AD354" s="3327"/>
      <c r="AE354" s="3327"/>
      <c r="AF354" s="3327"/>
      <c r="AG354" s="3327"/>
      <c r="AH354" s="3327"/>
      <c r="AI354" s="3327"/>
      <c r="AJ354" s="3327"/>
      <c r="AK354" s="3327"/>
      <c r="AL354" s="3327"/>
      <c r="AM354" s="3327"/>
      <c r="AN354" s="3327"/>
      <c r="AO354" s="3327"/>
      <c r="AP354" s="3327"/>
      <c r="AQ354" s="3327"/>
      <c r="AR354" s="3327"/>
      <c r="AS354" s="3327"/>
      <c r="AT354" s="3337"/>
      <c r="AU354" s="3338"/>
      <c r="AV354" s="1410">
        <f t="shared" si="207"/>
        <v>0</v>
      </c>
      <c r="AW354" s="1410">
        <f t="shared" si="208"/>
        <v>0</v>
      </c>
      <c r="AX354" s="1410">
        <f t="shared" si="209"/>
        <v>0</v>
      </c>
      <c r="AY354" s="3352">
        <f t="shared" si="184"/>
        <v>0</v>
      </c>
      <c r="AZ354" s="3307">
        <f t="shared" si="185"/>
        <v>0</v>
      </c>
      <c r="BA354" s="3307">
        <f t="shared" si="186"/>
        <v>0</v>
      </c>
      <c r="BB354" s="3307">
        <f t="shared" si="187"/>
        <v>0</v>
      </c>
      <c r="BC354" s="3307">
        <f t="shared" si="188"/>
        <v>0</v>
      </c>
      <c r="BD354" s="3307">
        <f t="shared" si="189"/>
        <v>0</v>
      </c>
      <c r="BE354" s="3307">
        <f t="shared" si="190"/>
        <v>0</v>
      </c>
      <c r="BF354" s="3307">
        <f t="shared" si="191"/>
        <v>0</v>
      </c>
      <c r="BG354" s="3307">
        <f t="shared" si="192"/>
        <v>0</v>
      </c>
      <c r="BH354" s="3307">
        <f t="shared" si="193"/>
        <v>0</v>
      </c>
      <c r="BI354" s="3307">
        <f t="shared" si="194"/>
        <v>0</v>
      </c>
      <c r="BJ354" s="3307">
        <f t="shared" si="195"/>
        <v>0</v>
      </c>
      <c r="BK354" s="3307">
        <f t="shared" si="196"/>
        <v>0</v>
      </c>
      <c r="BL354" s="3307">
        <f t="shared" si="197"/>
        <v>0</v>
      </c>
      <c r="BM354" s="3307">
        <f t="shared" si="198"/>
        <v>0</v>
      </c>
      <c r="BN354" s="3307">
        <f t="shared" si="199"/>
        <v>0</v>
      </c>
      <c r="BO354" s="3307">
        <f t="shared" si="200"/>
        <v>0</v>
      </c>
      <c r="BP354" s="3307">
        <f t="shared" si="201"/>
        <v>0</v>
      </c>
      <c r="BQ354" s="3307">
        <f t="shared" si="202"/>
        <v>0</v>
      </c>
      <c r="BR354" s="3307">
        <f t="shared" si="203"/>
        <v>0</v>
      </c>
      <c r="BS354" s="3307">
        <f t="shared" si="204"/>
        <v>0</v>
      </c>
      <c r="BT354" s="3359">
        <f t="shared" si="205"/>
        <v>0</v>
      </c>
    </row>
    <row r="355" spans="1:72">
      <c r="A355" s="3304"/>
      <c r="B355" s="3305"/>
      <c r="C355" s="3305"/>
      <c r="D355" s="3306"/>
      <c r="E355" s="3307">
        <f t="shared" si="206"/>
        <v>0</v>
      </c>
      <c r="F355" s="3308"/>
      <c r="G355" s="3309">
        <f t="shared" si="181"/>
        <v>0</v>
      </c>
      <c r="H355" s="3310">
        <f t="shared" si="182"/>
        <v>0</v>
      </c>
      <c r="I355" s="3317"/>
      <c r="J355" s="3317"/>
      <c r="K355" s="3317"/>
      <c r="L355" s="3317"/>
      <c r="M355" s="3317"/>
      <c r="N355" s="3317"/>
      <c r="O355" s="3317"/>
      <c r="P355" s="3317"/>
      <c r="Q355" s="3317"/>
      <c r="R355" s="3317"/>
      <c r="S355" s="3317"/>
      <c r="T355" s="3317"/>
      <c r="U355" s="3317"/>
      <c r="V355" s="3317"/>
      <c r="W355" s="3317"/>
      <c r="X355" s="3317"/>
      <c r="Y355" s="3317"/>
      <c r="Z355" s="3317"/>
      <c r="AA355" s="3317"/>
      <c r="AB355" s="3317"/>
      <c r="AC355" s="3307">
        <f t="shared" si="183"/>
        <v>0</v>
      </c>
      <c r="AD355" s="3327"/>
      <c r="AE355" s="3327"/>
      <c r="AF355" s="3327"/>
      <c r="AG355" s="3327"/>
      <c r="AH355" s="3327"/>
      <c r="AI355" s="3327"/>
      <c r="AJ355" s="3327"/>
      <c r="AK355" s="3327"/>
      <c r="AL355" s="3327"/>
      <c r="AM355" s="3327"/>
      <c r="AN355" s="3327"/>
      <c r="AO355" s="3327"/>
      <c r="AP355" s="3327"/>
      <c r="AQ355" s="3327"/>
      <c r="AR355" s="3327"/>
      <c r="AS355" s="3327"/>
      <c r="AT355" s="3337"/>
      <c r="AU355" s="3338"/>
      <c r="AV355" s="1410">
        <f t="shared" si="207"/>
        <v>0</v>
      </c>
      <c r="AW355" s="1410">
        <f t="shared" si="208"/>
        <v>0</v>
      </c>
      <c r="AX355" s="1410">
        <f t="shared" si="209"/>
        <v>0</v>
      </c>
      <c r="AY355" s="3352">
        <f t="shared" si="184"/>
        <v>0</v>
      </c>
      <c r="AZ355" s="3307">
        <f t="shared" si="185"/>
        <v>0</v>
      </c>
      <c r="BA355" s="3307">
        <f t="shared" si="186"/>
        <v>0</v>
      </c>
      <c r="BB355" s="3307">
        <f t="shared" si="187"/>
        <v>0</v>
      </c>
      <c r="BC355" s="3307">
        <f t="shared" si="188"/>
        <v>0</v>
      </c>
      <c r="BD355" s="3307">
        <f t="shared" si="189"/>
        <v>0</v>
      </c>
      <c r="BE355" s="3307">
        <f t="shared" si="190"/>
        <v>0</v>
      </c>
      <c r="BF355" s="3307">
        <f t="shared" si="191"/>
        <v>0</v>
      </c>
      <c r="BG355" s="3307">
        <f t="shared" si="192"/>
        <v>0</v>
      </c>
      <c r="BH355" s="3307">
        <f t="shared" si="193"/>
        <v>0</v>
      </c>
      <c r="BI355" s="3307">
        <f t="shared" si="194"/>
        <v>0</v>
      </c>
      <c r="BJ355" s="3307">
        <f t="shared" si="195"/>
        <v>0</v>
      </c>
      <c r="BK355" s="3307">
        <f t="shared" si="196"/>
        <v>0</v>
      </c>
      <c r="BL355" s="3307">
        <f t="shared" si="197"/>
        <v>0</v>
      </c>
      <c r="BM355" s="3307">
        <f t="shared" si="198"/>
        <v>0</v>
      </c>
      <c r="BN355" s="3307">
        <f t="shared" si="199"/>
        <v>0</v>
      </c>
      <c r="BO355" s="3307">
        <f t="shared" si="200"/>
        <v>0</v>
      </c>
      <c r="BP355" s="3307">
        <f t="shared" si="201"/>
        <v>0</v>
      </c>
      <c r="BQ355" s="3307">
        <f t="shared" si="202"/>
        <v>0</v>
      </c>
      <c r="BR355" s="3307">
        <f t="shared" si="203"/>
        <v>0</v>
      </c>
      <c r="BS355" s="3307">
        <f t="shared" si="204"/>
        <v>0</v>
      </c>
      <c r="BT355" s="3359">
        <f t="shared" si="205"/>
        <v>0</v>
      </c>
    </row>
    <row r="356" spans="1:72">
      <c r="A356" s="3304"/>
      <c r="B356" s="3305"/>
      <c r="C356" s="3305"/>
      <c r="D356" s="3306"/>
      <c r="E356" s="3307">
        <f t="shared" si="206"/>
        <v>0</v>
      </c>
      <c r="F356" s="3308"/>
      <c r="G356" s="3309">
        <f t="shared" si="181"/>
        <v>0</v>
      </c>
      <c r="H356" s="3310">
        <f t="shared" si="182"/>
        <v>0</v>
      </c>
      <c r="I356" s="3317"/>
      <c r="J356" s="3317"/>
      <c r="K356" s="3317"/>
      <c r="L356" s="3317"/>
      <c r="M356" s="3317"/>
      <c r="N356" s="3317"/>
      <c r="O356" s="3317"/>
      <c r="P356" s="3317"/>
      <c r="Q356" s="3317"/>
      <c r="R356" s="3317"/>
      <c r="S356" s="3317"/>
      <c r="T356" s="3317"/>
      <c r="U356" s="3317"/>
      <c r="V356" s="3317"/>
      <c r="W356" s="3317"/>
      <c r="X356" s="3317"/>
      <c r="Y356" s="3317"/>
      <c r="Z356" s="3317"/>
      <c r="AA356" s="3317"/>
      <c r="AB356" s="3317"/>
      <c r="AC356" s="3307">
        <f t="shared" si="183"/>
        <v>0</v>
      </c>
      <c r="AD356" s="3327"/>
      <c r="AE356" s="3327"/>
      <c r="AF356" s="3327"/>
      <c r="AG356" s="3327"/>
      <c r="AH356" s="3327"/>
      <c r="AI356" s="3327"/>
      <c r="AJ356" s="3327"/>
      <c r="AK356" s="3327"/>
      <c r="AL356" s="3327"/>
      <c r="AM356" s="3327"/>
      <c r="AN356" s="3327"/>
      <c r="AO356" s="3327"/>
      <c r="AP356" s="3327"/>
      <c r="AQ356" s="3327"/>
      <c r="AR356" s="3327"/>
      <c r="AS356" s="3327"/>
      <c r="AT356" s="3337"/>
      <c r="AU356" s="3338"/>
      <c r="AV356" s="1410">
        <f t="shared" si="207"/>
        <v>0</v>
      </c>
      <c r="AW356" s="1410">
        <f t="shared" si="208"/>
        <v>0</v>
      </c>
      <c r="AX356" s="1410">
        <f t="shared" si="209"/>
        <v>0</v>
      </c>
      <c r="AY356" s="3352">
        <f t="shared" si="184"/>
        <v>0</v>
      </c>
      <c r="AZ356" s="3307">
        <f t="shared" si="185"/>
        <v>0</v>
      </c>
      <c r="BA356" s="3307">
        <f t="shared" si="186"/>
        <v>0</v>
      </c>
      <c r="BB356" s="3307">
        <f t="shared" si="187"/>
        <v>0</v>
      </c>
      <c r="BC356" s="3307">
        <f t="shared" si="188"/>
        <v>0</v>
      </c>
      <c r="BD356" s="3307">
        <f t="shared" si="189"/>
        <v>0</v>
      </c>
      <c r="BE356" s="3307">
        <f t="shared" si="190"/>
        <v>0</v>
      </c>
      <c r="BF356" s="3307">
        <f t="shared" si="191"/>
        <v>0</v>
      </c>
      <c r="BG356" s="3307">
        <f t="shared" si="192"/>
        <v>0</v>
      </c>
      <c r="BH356" s="3307">
        <f t="shared" si="193"/>
        <v>0</v>
      </c>
      <c r="BI356" s="3307">
        <f t="shared" si="194"/>
        <v>0</v>
      </c>
      <c r="BJ356" s="3307">
        <f t="shared" si="195"/>
        <v>0</v>
      </c>
      <c r="BK356" s="3307">
        <f t="shared" si="196"/>
        <v>0</v>
      </c>
      <c r="BL356" s="3307">
        <f t="shared" si="197"/>
        <v>0</v>
      </c>
      <c r="BM356" s="3307">
        <f t="shared" si="198"/>
        <v>0</v>
      </c>
      <c r="BN356" s="3307">
        <f t="shared" si="199"/>
        <v>0</v>
      </c>
      <c r="BO356" s="3307">
        <f t="shared" si="200"/>
        <v>0</v>
      </c>
      <c r="BP356" s="3307">
        <f t="shared" si="201"/>
        <v>0</v>
      </c>
      <c r="BQ356" s="3307">
        <f t="shared" si="202"/>
        <v>0</v>
      </c>
      <c r="BR356" s="3307">
        <f t="shared" si="203"/>
        <v>0</v>
      </c>
      <c r="BS356" s="3307">
        <f t="shared" si="204"/>
        <v>0</v>
      </c>
      <c r="BT356" s="3359">
        <f t="shared" si="205"/>
        <v>0</v>
      </c>
    </row>
    <row r="357" spans="1:72">
      <c r="A357" s="3304"/>
      <c r="B357" s="3305"/>
      <c r="C357" s="3305"/>
      <c r="D357" s="3306"/>
      <c r="E357" s="3307">
        <f t="shared" si="206"/>
        <v>0</v>
      </c>
      <c r="F357" s="3308"/>
      <c r="G357" s="3309">
        <f t="shared" si="181"/>
        <v>0</v>
      </c>
      <c r="H357" s="3310">
        <f t="shared" si="182"/>
        <v>0</v>
      </c>
      <c r="I357" s="3317"/>
      <c r="J357" s="3317"/>
      <c r="K357" s="3317"/>
      <c r="L357" s="3317"/>
      <c r="M357" s="3317"/>
      <c r="N357" s="3317"/>
      <c r="O357" s="3317"/>
      <c r="P357" s="3317"/>
      <c r="Q357" s="3317"/>
      <c r="R357" s="3317"/>
      <c r="S357" s="3317"/>
      <c r="T357" s="3317"/>
      <c r="U357" s="3317"/>
      <c r="V357" s="3317"/>
      <c r="W357" s="3317"/>
      <c r="X357" s="3317"/>
      <c r="Y357" s="3317"/>
      <c r="Z357" s="3317"/>
      <c r="AA357" s="3317"/>
      <c r="AB357" s="3317"/>
      <c r="AC357" s="3307">
        <f t="shared" si="183"/>
        <v>0</v>
      </c>
      <c r="AD357" s="3327"/>
      <c r="AE357" s="3327"/>
      <c r="AF357" s="3327"/>
      <c r="AG357" s="3327"/>
      <c r="AH357" s="3327"/>
      <c r="AI357" s="3327"/>
      <c r="AJ357" s="3327"/>
      <c r="AK357" s="3327"/>
      <c r="AL357" s="3327"/>
      <c r="AM357" s="3327"/>
      <c r="AN357" s="3327"/>
      <c r="AO357" s="3327"/>
      <c r="AP357" s="3327"/>
      <c r="AQ357" s="3327"/>
      <c r="AR357" s="3327"/>
      <c r="AS357" s="3327"/>
      <c r="AT357" s="3337"/>
      <c r="AU357" s="3338"/>
      <c r="AV357" s="1410">
        <f t="shared" si="207"/>
        <v>0</v>
      </c>
      <c r="AW357" s="1410">
        <f t="shared" si="208"/>
        <v>0</v>
      </c>
      <c r="AX357" s="1410">
        <f t="shared" si="209"/>
        <v>0</v>
      </c>
      <c r="AY357" s="3352">
        <f t="shared" si="184"/>
        <v>0</v>
      </c>
      <c r="AZ357" s="3307">
        <f t="shared" si="185"/>
        <v>0</v>
      </c>
      <c r="BA357" s="3307">
        <f t="shared" si="186"/>
        <v>0</v>
      </c>
      <c r="BB357" s="3307">
        <f t="shared" si="187"/>
        <v>0</v>
      </c>
      <c r="BC357" s="3307">
        <f t="shared" si="188"/>
        <v>0</v>
      </c>
      <c r="BD357" s="3307">
        <f t="shared" si="189"/>
        <v>0</v>
      </c>
      <c r="BE357" s="3307">
        <f t="shared" si="190"/>
        <v>0</v>
      </c>
      <c r="BF357" s="3307">
        <f t="shared" si="191"/>
        <v>0</v>
      </c>
      <c r="BG357" s="3307">
        <f t="shared" si="192"/>
        <v>0</v>
      </c>
      <c r="BH357" s="3307">
        <f t="shared" si="193"/>
        <v>0</v>
      </c>
      <c r="BI357" s="3307">
        <f t="shared" si="194"/>
        <v>0</v>
      </c>
      <c r="BJ357" s="3307">
        <f t="shared" si="195"/>
        <v>0</v>
      </c>
      <c r="BK357" s="3307">
        <f t="shared" si="196"/>
        <v>0</v>
      </c>
      <c r="BL357" s="3307">
        <f t="shared" si="197"/>
        <v>0</v>
      </c>
      <c r="BM357" s="3307">
        <f t="shared" si="198"/>
        <v>0</v>
      </c>
      <c r="BN357" s="3307">
        <f t="shared" si="199"/>
        <v>0</v>
      </c>
      <c r="BO357" s="3307">
        <f t="shared" si="200"/>
        <v>0</v>
      </c>
      <c r="BP357" s="3307">
        <f t="shared" si="201"/>
        <v>0</v>
      </c>
      <c r="BQ357" s="3307">
        <f t="shared" si="202"/>
        <v>0</v>
      </c>
      <c r="BR357" s="3307">
        <f t="shared" si="203"/>
        <v>0</v>
      </c>
      <c r="BS357" s="3307">
        <f t="shared" si="204"/>
        <v>0</v>
      </c>
      <c r="BT357" s="3359">
        <f t="shared" si="205"/>
        <v>0</v>
      </c>
    </row>
    <row r="358" spans="1:72">
      <c r="A358" s="3304"/>
      <c r="B358" s="3305"/>
      <c r="C358" s="3305"/>
      <c r="D358" s="3306"/>
      <c r="E358" s="3307">
        <f t="shared" si="206"/>
        <v>0</v>
      </c>
      <c r="F358" s="3308"/>
      <c r="G358" s="3309">
        <f t="shared" si="181"/>
        <v>0</v>
      </c>
      <c r="H358" s="3310">
        <f t="shared" si="182"/>
        <v>0</v>
      </c>
      <c r="I358" s="3317"/>
      <c r="J358" s="3317"/>
      <c r="K358" s="3317"/>
      <c r="L358" s="3317"/>
      <c r="M358" s="3317"/>
      <c r="N358" s="3317"/>
      <c r="O358" s="3317"/>
      <c r="P358" s="3317"/>
      <c r="Q358" s="3317"/>
      <c r="R358" s="3317"/>
      <c r="S358" s="3317"/>
      <c r="T358" s="3317"/>
      <c r="U358" s="3317"/>
      <c r="V358" s="3317"/>
      <c r="W358" s="3317"/>
      <c r="X358" s="3317"/>
      <c r="Y358" s="3317"/>
      <c r="Z358" s="3317"/>
      <c r="AA358" s="3317"/>
      <c r="AB358" s="3317"/>
      <c r="AC358" s="3307">
        <f t="shared" si="183"/>
        <v>0</v>
      </c>
      <c r="AD358" s="3327"/>
      <c r="AE358" s="3327"/>
      <c r="AF358" s="3327"/>
      <c r="AG358" s="3327"/>
      <c r="AH358" s="3327"/>
      <c r="AI358" s="3327"/>
      <c r="AJ358" s="3327"/>
      <c r="AK358" s="3327"/>
      <c r="AL358" s="3327"/>
      <c r="AM358" s="3327"/>
      <c r="AN358" s="3327"/>
      <c r="AO358" s="3327"/>
      <c r="AP358" s="3327"/>
      <c r="AQ358" s="3327"/>
      <c r="AR358" s="3327"/>
      <c r="AS358" s="3327"/>
      <c r="AT358" s="3337"/>
      <c r="AU358" s="3338"/>
      <c r="AV358" s="1410">
        <f t="shared" si="207"/>
        <v>0</v>
      </c>
      <c r="AW358" s="1410">
        <f t="shared" si="208"/>
        <v>0</v>
      </c>
      <c r="AX358" s="1410">
        <f t="shared" si="209"/>
        <v>0</v>
      </c>
      <c r="AY358" s="3352">
        <f t="shared" si="184"/>
        <v>0</v>
      </c>
      <c r="AZ358" s="3307">
        <f t="shared" si="185"/>
        <v>0</v>
      </c>
      <c r="BA358" s="3307">
        <f t="shared" si="186"/>
        <v>0</v>
      </c>
      <c r="BB358" s="3307">
        <f t="shared" si="187"/>
        <v>0</v>
      </c>
      <c r="BC358" s="3307">
        <f t="shared" si="188"/>
        <v>0</v>
      </c>
      <c r="BD358" s="3307">
        <f t="shared" si="189"/>
        <v>0</v>
      </c>
      <c r="BE358" s="3307">
        <f t="shared" si="190"/>
        <v>0</v>
      </c>
      <c r="BF358" s="3307">
        <f t="shared" si="191"/>
        <v>0</v>
      </c>
      <c r="BG358" s="3307">
        <f t="shared" si="192"/>
        <v>0</v>
      </c>
      <c r="BH358" s="3307">
        <f t="shared" si="193"/>
        <v>0</v>
      </c>
      <c r="BI358" s="3307">
        <f t="shared" si="194"/>
        <v>0</v>
      </c>
      <c r="BJ358" s="3307">
        <f t="shared" si="195"/>
        <v>0</v>
      </c>
      <c r="BK358" s="3307">
        <f t="shared" si="196"/>
        <v>0</v>
      </c>
      <c r="BL358" s="3307">
        <f t="shared" si="197"/>
        <v>0</v>
      </c>
      <c r="BM358" s="3307">
        <f t="shared" si="198"/>
        <v>0</v>
      </c>
      <c r="BN358" s="3307">
        <f t="shared" si="199"/>
        <v>0</v>
      </c>
      <c r="BO358" s="3307">
        <f t="shared" si="200"/>
        <v>0</v>
      </c>
      <c r="BP358" s="3307">
        <f t="shared" si="201"/>
        <v>0</v>
      </c>
      <c r="BQ358" s="3307">
        <f t="shared" si="202"/>
        <v>0</v>
      </c>
      <c r="BR358" s="3307">
        <f t="shared" si="203"/>
        <v>0</v>
      </c>
      <c r="BS358" s="3307">
        <f t="shared" si="204"/>
        <v>0</v>
      </c>
      <c r="BT358" s="3359">
        <f t="shared" si="205"/>
        <v>0</v>
      </c>
    </row>
    <row r="359" spans="1:72">
      <c r="A359" s="3304"/>
      <c r="B359" s="3305"/>
      <c r="C359" s="3305"/>
      <c r="D359" s="3306"/>
      <c r="E359" s="3307">
        <f t="shared" si="206"/>
        <v>0</v>
      </c>
      <c r="F359" s="3308"/>
      <c r="G359" s="3309">
        <f t="shared" si="181"/>
        <v>0</v>
      </c>
      <c r="H359" s="3310">
        <f t="shared" si="182"/>
        <v>0</v>
      </c>
      <c r="I359" s="3317"/>
      <c r="J359" s="3317"/>
      <c r="K359" s="3317"/>
      <c r="L359" s="3317"/>
      <c r="M359" s="3317"/>
      <c r="N359" s="3317"/>
      <c r="O359" s="3317"/>
      <c r="P359" s="3317"/>
      <c r="Q359" s="3317"/>
      <c r="R359" s="3317"/>
      <c r="S359" s="3317"/>
      <c r="T359" s="3317"/>
      <c r="U359" s="3317"/>
      <c r="V359" s="3317"/>
      <c r="W359" s="3317"/>
      <c r="X359" s="3317"/>
      <c r="Y359" s="3317"/>
      <c r="Z359" s="3317"/>
      <c r="AA359" s="3317"/>
      <c r="AB359" s="3317"/>
      <c r="AC359" s="3307">
        <f t="shared" si="183"/>
        <v>0</v>
      </c>
      <c r="AD359" s="3327"/>
      <c r="AE359" s="3327"/>
      <c r="AF359" s="3327"/>
      <c r="AG359" s="3327"/>
      <c r="AH359" s="3327"/>
      <c r="AI359" s="3327"/>
      <c r="AJ359" s="3327"/>
      <c r="AK359" s="3327"/>
      <c r="AL359" s="3327"/>
      <c r="AM359" s="3327"/>
      <c r="AN359" s="3327"/>
      <c r="AO359" s="3327"/>
      <c r="AP359" s="3327"/>
      <c r="AQ359" s="3327"/>
      <c r="AR359" s="3327"/>
      <c r="AS359" s="3327"/>
      <c r="AT359" s="3337"/>
      <c r="AU359" s="3338"/>
      <c r="AV359" s="1410">
        <f t="shared" si="207"/>
        <v>0</v>
      </c>
      <c r="AW359" s="1410">
        <f t="shared" si="208"/>
        <v>0</v>
      </c>
      <c r="AX359" s="1410">
        <f t="shared" si="209"/>
        <v>0</v>
      </c>
      <c r="AY359" s="3352">
        <f t="shared" si="184"/>
        <v>0</v>
      </c>
      <c r="AZ359" s="3307">
        <f t="shared" si="185"/>
        <v>0</v>
      </c>
      <c r="BA359" s="3307">
        <f t="shared" si="186"/>
        <v>0</v>
      </c>
      <c r="BB359" s="3307">
        <f t="shared" si="187"/>
        <v>0</v>
      </c>
      <c r="BC359" s="3307">
        <f t="shared" si="188"/>
        <v>0</v>
      </c>
      <c r="BD359" s="3307">
        <f t="shared" si="189"/>
        <v>0</v>
      </c>
      <c r="BE359" s="3307">
        <f t="shared" si="190"/>
        <v>0</v>
      </c>
      <c r="BF359" s="3307">
        <f t="shared" si="191"/>
        <v>0</v>
      </c>
      <c r="BG359" s="3307">
        <f t="shared" si="192"/>
        <v>0</v>
      </c>
      <c r="BH359" s="3307">
        <f t="shared" si="193"/>
        <v>0</v>
      </c>
      <c r="BI359" s="3307">
        <f t="shared" si="194"/>
        <v>0</v>
      </c>
      <c r="BJ359" s="3307">
        <f t="shared" si="195"/>
        <v>0</v>
      </c>
      <c r="BK359" s="3307">
        <f t="shared" si="196"/>
        <v>0</v>
      </c>
      <c r="BL359" s="3307">
        <f t="shared" si="197"/>
        <v>0</v>
      </c>
      <c r="BM359" s="3307">
        <f t="shared" si="198"/>
        <v>0</v>
      </c>
      <c r="BN359" s="3307">
        <f t="shared" si="199"/>
        <v>0</v>
      </c>
      <c r="BO359" s="3307">
        <f t="shared" si="200"/>
        <v>0</v>
      </c>
      <c r="BP359" s="3307">
        <f t="shared" si="201"/>
        <v>0</v>
      </c>
      <c r="BQ359" s="3307">
        <f t="shared" si="202"/>
        <v>0</v>
      </c>
      <c r="BR359" s="3307">
        <f t="shared" si="203"/>
        <v>0</v>
      </c>
      <c r="BS359" s="3307">
        <f t="shared" si="204"/>
        <v>0</v>
      </c>
      <c r="BT359" s="3359">
        <f t="shared" si="205"/>
        <v>0</v>
      </c>
    </row>
    <row r="360" spans="1:72">
      <c r="A360" s="3304"/>
      <c r="B360" s="3305"/>
      <c r="C360" s="3305"/>
      <c r="D360" s="3306"/>
      <c r="E360" s="3307">
        <f t="shared" si="206"/>
        <v>0</v>
      </c>
      <c r="F360" s="3308"/>
      <c r="G360" s="3309">
        <f t="shared" si="181"/>
        <v>0</v>
      </c>
      <c r="H360" s="3310">
        <f t="shared" si="182"/>
        <v>0</v>
      </c>
      <c r="I360" s="3317"/>
      <c r="J360" s="3317"/>
      <c r="K360" s="3317"/>
      <c r="L360" s="3317"/>
      <c r="M360" s="3317"/>
      <c r="N360" s="3317"/>
      <c r="O360" s="3317"/>
      <c r="P360" s="3317"/>
      <c r="Q360" s="3317"/>
      <c r="R360" s="3317"/>
      <c r="S360" s="3317"/>
      <c r="T360" s="3317"/>
      <c r="U360" s="3317"/>
      <c r="V360" s="3317"/>
      <c r="W360" s="3317"/>
      <c r="X360" s="3317"/>
      <c r="Y360" s="3317"/>
      <c r="Z360" s="3317"/>
      <c r="AA360" s="3317"/>
      <c r="AB360" s="3317"/>
      <c r="AC360" s="3307">
        <f t="shared" si="183"/>
        <v>0</v>
      </c>
      <c r="AD360" s="3327"/>
      <c r="AE360" s="3327"/>
      <c r="AF360" s="3327"/>
      <c r="AG360" s="3327"/>
      <c r="AH360" s="3327"/>
      <c r="AI360" s="3327"/>
      <c r="AJ360" s="3327"/>
      <c r="AK360" s="3327"/>
      <c r="AL360" s="3327"/>
      <c r="AM360" s="3327"/>
      <c r="AN360" s="3327"/>
      <c r="AO360" s="3327"/>
      <c r="AP360" s="3327"/>
      <c r="AQ360" s="3327"/>
      <c r="AR360" s="3327"/>
      <c r="AS360" s="3327"/>
      <c r="AT360" s="3337"/>
      <c r="AU360" s="3338"/>
      <c r="AV360" s="1410">
        <f t="shared" si="207"/>
        <v>0</v>
      </c>
      <c r="AW360" s="1410">
        <f t="shared" si="208"/>
        <v>0</v>
      </c>
      <c r="AX360" s="1410">
        <f t="shared" si="209"/>
        <v>0</v>
      </c>
      <c r="AY360" s="3352">
        <f t="shared" si="184"/>
        <v>0</v>
      </c>
      <c r="AZ360" s="3307">
        <f t="shared" si="185"/>
        <v>0</v>
      </c>
      <c r="BA360" s="3307">
        <f t="shared" si="186"/>
        <v>0</v>
      </c>
      <c r="BB360" s="3307">
        <f t="shared" si="187"/>
        <v>0</v>
      </c>
      <c r="BC360" s="3307">
        <f t="shared" si="188"/>
        <v>0</v>
      </c>
      <c r="BD360" s="3307">
        <f t="shared" si="189"/>
        <v>0</v>
      </c>
      <c r="BE360" s="3307">
        <f t="shared" si="190"/>
        <v>0</v>
      </c>
      <c r="BF360" s="3307">
        <f t="shared" si="191"/>
        <v>0</v>
      </c>
      <c r="BG360" s="3307">
        <f t="shared" si="192"/>
        <v>0</v>
      </c>
      <c r="BH360" s="3307">
        <f t="shared" si="193"/>
        <v>0</v>
      </c>
      <c r="BI360" s="3307">
        <f t="shared" si="194"/>
        <v>0</v>
      </c>
      <c r="BJ360" s="3307">
        <f t="shared" si="195"/>
        <v>0</v>
      </c>
      <c r="BK360" s="3307">
        <f t="shared" si="196"/>
        <v>0</v>
      </c>
      <c r="BL360" s="3307">
        <f t="shared" si="197"/>
        <v>0</v>
      </c>
      <c r="BM360" s="3307">
        <f t="shared" si="198"/>
        <v>0</v>
      </c>
      <c r="BN360" s="3307">
        <f t="shared" si="199"/>
        <v>0</v>
      </c>
      <c r="BO360" s="3307">
        <f t="shared" si="200"/>
        <v>0</v>
      </c>
      <c r="BP360" s="3307">
        <f t="shared" si="201"/>
        <v>0</v>
      </c>
      <c r="BQ360" s="3307">
        <f t="shared" si="202"/>
        <v>0</v>
      </c>
      <c r="BR360" s="3307">
        <f t="shared" si="203"/>
        <v>0</v>
      </c>
      <c r="BS360" s="3307">
        <f t="shared" si="204"/>
        <v>0</v>
      </c>
      <c r="BT360" s="3359">
        <f t="shared" si="205"/>
        <v>0</v>
      </c>
    </row>
    <row r="361" spans="1:72">
      <c r="A361" s="3304"/>
      <c r="B361" s="3305"/>
      <c r="C361" s="3305"/>
      <c r="D361" s="3306"/>
      <c r="E361" s="3307">
        <f t="shared" si="206"/>
        <v>0</v>
      </c>
      <c r="F361" s="3308"/>
      <c r="G361" s="3309">
        <f t="shared" si="181"/>
        <v>0</v>
      </c>
      <c r="H361" s="3310">
        <f t="shared" si="182"/>
        <v>0</v>
      </c>
      <c r="I361" s="3317"/>
      <c r="J361" s="3317"/>
      <c r="K361" s="3317"/>
      <c r="L361" s="3317"/>
      <c r="M361" s="3317"/>
      <c r="N361" s="3317"/>
      <c r="O361" s="3317"/>
      <c r="P361" s="3317"/>
      <c r="Q361" s="3317"/>
      <c r="R361" s="3317"/>
      <c r="S361" s="3317"/>
      <c r="T361" s="3317"/>
      <c r="U361" s="3317"/>
      <c r="V361" s="3317"/>
      <c r="W361" s="3317"/>
      <c r="X361" s="3317"/>
      <c r="Y361" s="3317"/>
      <c r="Z361" s="3317"/>
      <c r="AA361" s="3317"/>
      <c r="AB361" s="3317"/>
      <c r="AC361" s="3307">
        <f t="shared" si="183"/>
        <v>0</v>
      </c>
      <c r="AD361" s="3327"/>
      <c r="AE361" s="3327"/>
      <c r="AF361" s="3327"/>
      <c r="AG361" s="3327"/>
      <c r="AH361" s="3327"/>
      <c r="AI361" s="3327"/>
      <c r="AJ361" s="3327"/>
      <c r="AK361" s="3327"/>
      <c r="AL361" s="3327"/>
      <c r="AM361" s="3327"/>
      <c r="AN361" s="3327"/>
      <c r="AO361" s="3327"/>
      <c r="AP361" s="3327"/>
      <c r="AQ361" s="3327"/>
      <c r="AR361" s="3327"/>
      <c r="AS361" s="3327"/>
      <c r="AT361" s="3337"/>
      <c r="AU361" s="3338"/>
      <c r="AV361" s="1410">
        <f t="shared" si="207"/>
        <v>0</v>
      </c>
      <c r="AW361" s="1410">
        <f t="shared" si="208"/>
        <v>0</v>
      </c>
      <c r="AX361" s="1410">
        <f t="shared" si="209"/>
        <v>0</v>
      </c>
      <c r="AY361" s="3352">
        <f t="shared" si="184"/>
        <v>0</v>
      </c>
      <c r="AZ361" s="3307">
        <f t="shared" si="185"/>
        <v>0</v>
      </c>
      <c r="BA361" s="3307">
        <f t="shared" si="186"/>
        <v>0</v>
      </c>
      <c r="BB361" s="3307">
        <f t="shared" si="187"/>
        <v>0</v>
      </c>
      <c r="BC361" s="3307">
        <f t="shared" si="188"/>
        <v>0</v>
      </c>
      <c r="BD361" s="3307">
        <f t="shared" si="189"/>
        <v>0</v>
      </c>
      <c r="BE361" s="3307">
        <f t="shared" si="190"/>
        <v>0</v>
      </c>
      <c r="BF361" s="3307">
        <f t="shared" si="191"/>
        <v>0</v>
      </c>
      <c r="BG361" s="3307">
        <f t="shared" si="192"/>
        <v>0</v>
      </c>
      <c r="BH361" s="3307">
        <f t="shared" si="193"/>
        <v>0</v>
      </c>
      <c r="BI361" s="3307">
        <f t="shared" si="194"/>
        <v>0</v>
      </c>
      <c r="BJ361" s="3307">
        <f t="shared" si="195"/>
        <v>0</v>
      </c>
      <c r="BK361" s="3307">
        <f t="shared" si="196"/>
        <v>0</v>
      </c>
      <c r="BL361" s="3307">
        <f t="shared" si="197"/>
        <v>0</v>
      </c>
      <c r="BM361" s="3307">
        <f t="shared" si="198"/>
        <v>0</v>
      </c>
      <c r="BN361" s="3307">
        <f t="shared" si="199"/>
        <v>0</v>
      </c>
      <c r="BO361" s="3307">
        <f t="shared" si="200"/>
        <v>0</v>
      </c>
      <c r="BP361" s="3307">
        <f t="shared" si="201"/>
        <v>0</v>
      </c>
      <c r="BQ361" s="3307">
        <f t="shared" si="202"/>
        <v>0</v>
      </c>
      <c r="BR361" s="3307">
        <f t="shared" si="203"/>
        <v>0</v>
      </c>
      <c r="BS361" s="3307">
        <f t="shared" si="204"/>
        <v>0</v>
      </c>
      <c r="BT361" s="3359">
        <f t="shared" si="205"/>
        <v>0</v>
      </c>
    </row>
    <row r="362" spans="1:72">
      <c r="A362" s="3304"/>
      <c r="B362" s="3305"/>
      <c r="C362" s="3305"/>
      <c r="D362" s="3306"/>
      <c r="E362" s="3307">
        <f t="shared" si="206"/>
        <v>0</v>
      </c>
      <c r="F362" s="3308"/>
      <c r="G362" s="3309">
        <f t="shared" si="181"/>
        <v>0</v>
      </c>
      <c r="H362" s="3310">
        <f t="shared" si="182"/>
        <v>0</v>
      </c>
      <c r="I362" s="3317"/>
      <c r="J362" s="3317"/>
      <c r="K362" s="3317"/>
      <c r="L362" s="3317"/>
      <c r="M362" s="3317"/>
      <c r="N362" s="3317"/>
      <c r="O362" s="3317"/>
      <c r="P362" s="3317"/>
      <c r="Q362" s="3317"/>
      <c r="R362" s="3317"/>
      <c r="S362" s="3317"/>
      <c r="T362" s="3317"/>
      <c r="U362" s="3317"/>
      <c r="V362" s="3317"/>
      <c r="W362" s="3317"/>
      <c r="X362" s="3317"/>
      <c r="Y362" s="3317"/>
      <c r="Z362" s="3317"/>
      <c r="AA362" s="3317"/>
      <c r="AB362" s="3317"/>
      <c r="AC362" s="3307">
        <f t="shared" si="183"/>
        <v>0</v>
      </c>
      <c r="AD362" s="3327"/>
      <c r="AE362" s="3327"/>
      <c r="AF362" s="3327"/>
      <c r="AG362" s="3327"/>
      <c r="AH362" s="3327"/>
      <c r="AI362" s="3327"/>
      <c r="AJ362" s="3327"/>
      <c r="AK362" s="3327"/>
      <c r="AL362" s="3327"/>
      <c r="AM362" s="3327"/>
      <c r="AN362" s="3327"/>
      <c r="AO362" s="3327"/>
      <c r="AP362" s="3327"/>
      <c r="AQ362" s="3327"/>
      <c r="AR362" s="3327"/>
      <c r="AS362" s="3327"/>
      <c r="AT362" s="3337"/>
      <c r="AU362" s="3338"/>
      <c r="AV362" s="1410">
        <f t="shared" si="207"/>
        <v>0</v>
      </c>
      <c r="AW362" s="1410">
        <f t="shared" si="208"/>
        <v>0</v>
      </c>
      <c r="AX362" s="1410">
        <f t="shared" si="209"/>
        <v>0</v>
      </c>
      <c r="AY362" s="3352">
        <f t="shared" si="184"/>
        <v>0</v>
      </c>
      <c r="AZ362" s="3307">
        <f t="shared" si="185"/>
        <v>0</v>
      </c>
      <c r="BA362" s="3307">
        <f t="shared" si="186"/>
        <v>0</v>
      </c>
      <c r="BB362" s="3307">
        <f t="shared" si="187"/>
        <v>0</v>
      </c>
      <c r="BC362" s="3307">
        <f t="shared" si="188"/>
        <v>0</v>
      </c>
      <c r="BD362" s="3307">
        <f t="shared" si="189"/>
        <v>0</v>
      </c>
      <c r="BE362" s="3307">
        <f t="shared" si="190"/>
        <v>0</v>
      </c>
      <c r="BF362" s="3307">
        <f t="shared" si="191"/>
        <v>0</v>
      </c>
      <c r="BG362" s="3307">
        <f t="shared" si="192"/>
        <v>0</v>
      </c>
      <c r="BH362" s="3307">
        <f t="shared" si="193"/>
        <v>0</v>
      </c>
      <c r="BI362" s="3307">
        <f t="shared" si="194"/>
        <v>0</v>
      </c>
      <c r="BJ362" s="3307">
        <f t="shared" si="195"/>
        <v>0</v>
      </c>
      <c r="BK362" s="3307">
        <f t="shared" si="196"/>
        <v>0</v>
      </c>
      <c r="BL362" s="3307">
        <f t="shared" si="197"/>
        <v>0</v>
      </c>
      <c r="BM362" s="3307">
        <f t="shared" si="198"/>
        <v>0</v>
      </c>
      <c r="BN362" s="3307">
        <f t="shared" si="199"/>
        <v>0</v>
      </c>
      <c r="BO362" s="3307">
        <f t="shared" si="200"/>
        <v>0</v>
      </c>
      <c r="BP362" s="3307">
        <f t="shared" si="201"/>
        <v>0</v>
      </c>
      <c r="BQ362" s="3307">
        <f t="shared" si="202"/>
        <v>0</v>
      </c>
      <c r="BR362" s="3307">
        <f t="shared" si="203"/>
        <v>0</v>
      </c>
      <c r="BS362" s="3307">
        <f t="shared" si="204"/>
        <v>0</v>
      </c>
      <c r="BT362" s="3359">
        <f t="shared" si="205"/>
        <v>0</v>
      </c>
    </row>
    <row r="363" spans="1:72">
      <c r="A363" s="3304"/>
      <c r="B363" s="3305"/>
      <c r="C363" s="3305"/>
      <c r="D363" s="3306"/>
      <c r="E363" s="3307">
        <f t="shared" si="206"/>
        <v>0</v>
      </c>
      <c r="F363" s="3308"/>
      <c r="G363" s="3309">
        <f t="shared" si="181"/>
        <v>0</v>
      </c>
      <c r="H363" s="3310">
        <f t="shared" si="182"/>
        <v>0</v>
      </c>
      <c r="I363" s="3317"/>
      <c r="J363" s="3317"/>
      <c r="K363" s="3317"/>
      <c r="L363" s="3317"/>
      <c r="M363" s="3317"/>
      <c r="N363" s="3317"/>
      <c r="O363" s="3317"/>
      <c r="P363" s="3317"/>
      <c r="Q363" s="3317"/>
      <c r="R363" s="3317"/>
      <c r="S363" s="3317"/>
      <c r="T363" s="3317"/>
      <c r="U363" s="3317"/>
      <c r="V363" s="3317"/>
      <c r="W363" s="3317"/>
      <c r="X363" s="3317"/>
      <c r="Y363" s="3317"/>
      <c r="Z363" s="3317"/>
      <c r="AA363" s="3317"/>
      <c r="AB363" s="3317"/>
      <c r="AC363" s="3307">
        <f t="shared" si="183"/>
        <v>0</v>
      </c>
      <c r="AD363" s="3327"/>
      <c r="AE363" s="3327"/>
      <c r="AF363" s="3327"/>
      <c r="AG363" s="3327"/>
      <c r="AH363" s="3327"/>
      <c r="AI363" s="3327"/>
      <c r="AJ363" s="3327"/>
      <c r="AK363" s="3327"/>
      <c r="AL363" s="3327"/>
      <c r="AM363" s="3327"/>
      <c r="AN363" s="3327"/>
      <c r="AO363" s="3327"/>
      <c r="AP363" s="3327"/>
      <c r="AQ363" s="3327"/>
      <c r="AR363" s="3327"/>
      <c r="AS363" s="3327"/>
      <c r="AT363" s="3337"/>
      <c r="AU363" s="3338"/>
      <c r="AV363" s="1410">
        <f t="shared" si="207"/>
        <v>0</v>
      </c>
      <c r="AW363" s="1410">
        <f t="shared" si="208"/>
        <v>0</v>
      </c>
      <c r="AX363" s="1410">
        <f t="shared" si="209"/>
        <v>0</v>
      </c>
      <c r="AY363" s="3352">
        <f t="shared" si="184"/>
        <v>0</v>
      </c>
      <c r="AZ363" s="3307">
        <f t="shared" si="185"/>
        <v>0</v>
      </c>
      <c r="BA363" s="3307">
        <f t="shared" si="186"/>
        <v>0</v>
      </c>
      <c r="BB363" s="3307">
        <f t="shared" si="187"/>
        <v>0</v>
      </c>
      <c r="BC363" s="3307">
        <f t="shared" si="188"/>
        <v>0</v>
      </c>
      <c r="BD363" s="3307">
        <f t="shared" si="189"/>
        <v>0</v>
      </c>
      <c r="BE363" s="3307">
        <f t="shared" si="190"/>
        <v>0</v>
      </c>
      <c r="BF363" s="3307">
        <f t="shared" si="191"/>
        <v>0</v>
      </c>
      <c r="BG363" s="3307">
        <f t="shared" si="192"/>
        <v>0</v>
      </c>
      <c r="BH363" s="3307">
        <f t="shared" si="193"/>
        <v>0</v>
      </c>
      <c r="BI363" s="3307">
        <f t="shared" si="194"/>
        <v>0</v>
      </c>
      <c r="BJ363" s="3307">
        <f t="shared" si="195"/>
        <v>0</v>
      </c>
      <c r="BK363" s="3307">
        <f t="shared" si="196"/>
        <v>0</v>
      </c>
      <c r="BL363" s="3307">
        <f t="shared" si="197"/>
        <v>0</v>
      </c>
      <c r="BM363" s="3307">
        <f t="shared" si="198"/>
        <v>0</v>
      </c>
      <c r="BN363" s="3307">
        <f t="shared" si="199"/>
        <v>0</v>
      </c>
      <c r="BO363" s="3307">
        <f t="shared" si="200"/>
        <v>0</v>
      </c>
      <c r="BP363" s="3307">
        <f t="shared" si="201"/>
        <v>0</v>
      </c>
      <c r="BQ363" s="3307">
        <f t="shared" si="202"/>
        <v>0</v>
      </c>
      <c r="BR363" s="3307">
        <f t="shared" si="203"/>
        <v>0</v>
      </c>
      <c r="BS363" s="3307">
        <f t="shared" si="204"/>
        <v>0</v>
      </c>
      <c r="BT363" s="3359">
        <f t="shared" si="205"/>
        <v>0</v>
      </c>
    </row>
    <row r="364" spans="1:72">
      <c r="A364" s="3304"/>
      <c r="B364" s="3305"/>
      <c r="C364" s="3305"/>
      <c r="D364" s="3306"/>
      <c r="E364" s="3307">
        <f t="shared" si="206"/>
        <v>0</v>
      </c>
      <c r="F364" s="3308"/>
      <c r="G364" s="3309">
        <f t="shared" ref="G364:G397" si="210">H364+AC364+AT364</f>
        <v>0</v>
      </c>
      <c r="H364" s="3310">
        <f t="shared" ref="H364:H397" si="211">SUMIF(I$12:AB$12,"总值",I364:AB364)</f>
        <v>0</v>
      </c>
      <c r="I364" s="3317"/>
      <c r="J364" s="3317"/>
      <c r="K364" s="3317"/>
      <c r="L364" s="3317"/>
      <c r="M364" s="3317"/>
      <c r="N364" s="3317"/>
      <c r="O364" s="3317"/>
      <c r="P364" s="3317"/>
      <c r="Q364" s="3317"/>
      <c r="R364" s="3317"/>
      <c r="S364" s="3317"/>
      <c r="T364" s="3317"/>
      <c r="U364" s="3317"/>
      <c r="V364" s="3317"/>
      <c r="W364" s="3317"/>
      <c r="X364" s="3317"/>
      <c r="Y364" s="3317"/>
      <c r="Z364" s="3317"/>
      <c r="AA364" s="3317"/>
      <c r="AB364" s="3317"/>
      <c r="AC364" s="3307">
        <f t="shared" ref="AC364:AC397" si="212">SUMIF(AD$12:AS$12,"总值",AD364:AS364)</f>
        <v>0</v>
      </c>
      <c r="AD364" s="3327"/>
      <c r="AE364" s="3327"/>
      <c r="AF364" s="3327"/>
      <c r="AG364" s="3327"/>
      <c r="AH364" s="3327"/>
      <c r="AI364" s="3327"/>
      <c r="AJ364" s="3327"/>
      <c r="AK364" s="3327"/>
      <c r="AL364" s="3327"/>
      <c r="AM364" s="3327"/>
      <c r="AN364" s="3327"/>
      <c r="AO364" s="3327"/>
      <c r="AP364" s="3327"/>
      <c r="AQ364" s="3327"/>
      <c r="AR364" s="3327"/>
      <c r="AS364" s="3327"/>
      <c r="AT364" s="3337"/>
      <c r="AU364" s="3338"/>
      <c r="AV364" s="1410">
        <f t="shared" si="207"/>
        <v>0</v>
      </c>
      <c r="AW364" s="1410">
        <f t="shared" si="208"/>
        <v>0</v>
      </c>
      <c r="AX364" s="1410">
        <f t="shared" si="209"/>
        <v>0</v>
      </c>
      <c r="AY364" s="3352">
        <f t="shared" ref="AY364:AY397" si="213">ROUND($AY$6*AZ364/$AZ$5,2)</f>
        <v>0</v>
      </c>
      <c r="AZ364" s="3307">
        <f t="shared" ref="AZ364:AZ397" si="214">BA364+BL364</f>
        <v>0</v>
      </c>
      <c r="BA364" s="3307">
        <f t="shared" ref="BA364:BA397" si="215">SUM(BB364:BK364)</f>
        <v>0</v>
      </c>
      <c r="BB364" s="3307">
        <f t="shared" ref="BB364:BB397" si="216">IF($D364="是",I364-J364,0)</f>
        <v>0</v>
      </c>
      <c r="BC364" s="3307">
        <f t="shared" ref="BC364:BC397" si="217">IF($D364="是",K364-L364,0)</f>
        <v>0</v>
      </c>
      <c r="BD364" s="3307">
        <f t="shared" ref="BD364:BD397" si="218">IF($D364="是",M364-N364,0)</f>
        <v>0</v>
      </c>
      <c r="BE364" s="3307">
        <f t="shared" ref="BE364:BE397" si="219">IF($D364="是",O364-P364,0)</f>
        <v>0</v>
      </c>
      <c r="BF364" s="3307">
        <f t="shared" ref="BF364:BF397" si="220">IF($D364="是",Q364-R364,0)</f>
        <v>0</v>
      </c>
      <c r="BG364" s="3307">
        <f t="shared" ref="BG364:BG397" si="221">IF($D364="是",S364-T364,0)</f>
        <v>0</v>
      </c>
      <c r="BH364" s="3307">
        <f t="shared" ref="BH364:BH397" si="222">IF($D364="是",U364-V364,0)</f>
        <v>0</v>
      </c>
      <c r="BI364" s="3307">
        <f t="shared" ref="BI364:BI397" si="223">IF($D364="是",W364-X364,0)</f>
        <v>0</v>
      </c>
      <c r="BJ364" s="3307">
        <f t="shared" ref="BJ364:BJ397" si="224">IF($D364="是",Y364-Z364,0)</f>
        <v>0</v>
      </c>
      <c r="BK364" s="3307">
        <f t="shared" ref="BK364:BK397" si="225">IF($D364="是",AA364-AB364,0)</f>
        <v>0</v>
      </c>
      <c r="BL364" s="3307">
        <f t="shared" ref="BL364:BL397" si="226">SUM(BM364:BT364)</f>
        <v>0</v>
      </c>
      <c r="BM364" s="3307">
        <f t="shared" ref="BM364:BM397" si="227">IF($D364="是",AD364-AE364,0)</f>
        <v>0</v>
      </c>
      <c r="BN364" s="3307">
        <f t="shared" ref="BN364:BN397" si="228">IF($D364="是",AF364-AG364,0)</f>
        <v>0</v>
      </c>
      <c r="BO364" s="3307">
        <f t="shared" ref="BO364:BO397" si="229">IF($D364="是",AH364-AI364,0)</f>
        <v>0</v>
      </c>
      <c r="BP364" s="3307">
        <f t="shared" ref="BP364:BP397" si="230">IF($D364="是",AJ364-AK364,0)</f>
        <v>0</v>
      </c>
      <c r="BQ364" s="3307">
        <f t="shared" ref="BQ364:BQ397" si="231">IF($D364="是",AL364-AM364,0)</f>
        <v>0</v>
      </c>
      <c r="BR364" s="3307">
        <f t="shared" ref="BR364:BR397" si="232">IF($D364="是",AN364-AO364,0)</f>
        <v>0</v>
      </c>
      <c r="BS364" s="3307">
        <f t="shared" ref="BS364:BS397" si="233">IF($D364="是",AP364-AQ364,0)</f>
        <v>0</v>
      </c>
      <c r="BT364" s="3359">
        <f t="shared" ref="BT364:BT397" si="234">IF($D364="是",AR364-AS364,0)</f>
        <v>0</v>
      </c>
    </row>
    <row r="365" spans="1:72">
      <c r="A365" s="3304"/>
      <c r="B365" s="3305"/>
      <c r="C365" s="3305"/>
      <c r="D365" s="3306"/>
      <c r="E365" s="3307">
        <f t="shared" si="206"/>
        <v>0</v>
      </c>
      <c r="F365" s="3308"/>
      <c r="G365" s="3309">
        <f t="shared" si="210"/>
        <v>0</v>
      </c>
      <c r="H365" s="3310">
        <f t="shared" si="211"/>
        <v>0</v>
      </c>
      <c r="I365" s="3317"/>
      <c r="J365" s="3317"/>
      <c r="K365" s="3317"/>
      <c r="L365" s="3317"/>
      <c r="M365" s="3317"/>
      <c r="N365" s="3317"/>
      <c r="O365" s="3317"/>
      <c r="P365" s="3317"/>
      <c r="Q365" s="3317"/>
      <c r="R365" s="3317"/>
      <c r="S365" s="3317"/>
      <c r="T365" s="3317"/>
      <c r="U365" s="3317"/>
      <c r="V365" s="3317"/>
      <c r="W365" s="3317"/>
      <c r="X365" s="3317"/>
      <c r="Y365" s="3317"/>
      <c r="Z365" s="3317"/>
      <c r="AA365" s="3317"/>
      <c r="AB365" s="3317"/>
      <c r="AC365" s="3307">
        <f t="shared" si="212"/>
        <v>0</v>
      </c>
      <c r="AD365" s="3327"/>
      <c r="AE365" s="3327"/>
      <c r="AF365" s="3327"/>
      <c r="AG365" s="3327"/>
      <c r="AH365" s="3327"/>
      <c r="AI365" s="3327"/>
      <c r="AJ365" s="3327"/>
      <c r="AK365" s="3327"/>
      <c r="AL365" s="3327"/>
      <c r="AM365" s="3327"/>
      <c r="AN365" s="3327"/>
      <c r="AO365" s="3327"/>
      <c r="AP365" s="3327"/>
      <c r="AQ365" s="3327"/>
      <c r="AR365" s="3327"/>
      <c r="AS365" s="3327"/>
      <c r="AT365" s="3337"/>
      <c r="AU365" s="3338"/>
      <c r="AV365" s="1410">
        <f t="shared" si="207"/>
        <v>0</v>
      </c>
      <c r="AW365" s="1410">
        <f t="shared" si="208"/>
        <v>0</v>
      </c>
      <c r="AX365" s="1410">
        <f t="shared" si="209"/>
        <v>0</v>
      </c>
      <c r="AY365" s="3352">
        <f t="shared" si="213"/>
        <v>0</v>
      </c>
      <c r="AZ365" s="3307">
        <f t="shared" si="214"/>
        <v>0</v>
      </c>
      <c r="BA365" s="3307">
        <f t="shared" si="215"/>
        <v>0</v>
      </c>
      <c r="BB365" s="3307">
        <f t="shared" si="216"/>
        <v>0</v>
      </c>
      <c r="BC365" s="3307">
        <f t="shared" si="217"/>
        <v>0</v>
      </c>
      <c r="BD365" s="3307">
        <f t="shared" si="218"/>
        <v>0</v>
      </c>
      <c r="BE365" s="3307">
        <f t="shared" si="219"/>
        <v>0</v>
      </c>
      <c r="BF365" s="3307">
        <f t="shared" si="220"/>
        <v>0</v>
      </c>
      <c r="BG365" s="3307">
        <f t="shared" si="221"/>
        <v>0</v>
      </c>
      <c r="BH365" s="3307">
        <f t="shared" si="222"/>
        <v>0</v>
      </c>
      <c r="BI365" s="3307">
        <f t="shared" si="223"/>
        <v>0</v>
      </c>
      <c r="BJ365" s="3307">
        <f t="shared" si="224"/>
        <v>0</v>
      </c>
      <c r="BK365" s="3307">
        <f t="shared" si="225"/>
        <v>0</v>
      </c>
      <c r="BL365" s="3307">
        <f t="shared" si="226"/>
        <v>0</v>
      </c>
      <c r="BM365" s="3307">
        <f t="shared" si="227"/>
        <v>0</v>
      </c>
      <c r="BN365" s="3307">
        <f t="shared" si="228"/>
        <v>0</v>
      </c>
      <c r="BO365" s="3307">
        <f t="shared" si="229"/>
        <v>0</v>
      </c>
      <c r="BP365" s="3307">
        <f t="shared" si="230"/>
        <v>0</v>
      </c>
      <c r="BQ365" s="3307">
        <f t="shared" si="231"/>
        <v>0</v>
      </c>
      <c r="BR365" s="3307">
        <f t="shared" si="232"/>
        <v>0</v>
      </c>
      <c r="BS365" s="3307">
        <f t="shared" si="233"/>
        <v>0</v>
      </c>
      <c r="BT365" s="3359">
        <f t="shared" si="234"/>
        <v>0</v>
      </c>
    </row>
    <row r="366" spans="1:72">
      <c r="A366" s="3304"/>
      <c r="B366" s="3305"/>
      <c r="C366" s="3305"/>
      <c r="D366" s="3306"/>
      <c r="E366" s="3307">
        <f t="shared" si="206"/>
        <v>0</v>
      </c>
      <c r="F366" s="3308"/>
      <c r="G366" s="3309">
        <f t="shared" si="210"/>
        <v>0</v>
      </c>
      <c r="H366" s="3310">
        <f t="shared" si="211"/>
        <v>0</v>
      </c>
      <c r="I366" s="3317"/>
      <c r="J366" s="3317"/>
      <c r="K366" s="3317"/>
      <c r="L366" s="3317"/>
      <c r="M366" s="3317"/>
      <c r="N366" s="3317"/>
      <c r="O366" s="3317"/>
      <c r="P366" s="3317"/>
      <c r="Q366" s="3317"/>
      <c r="R366" s="3317"/>
      <c r="S366" s="3317"/>
      <c r="T366" s="3317"/>
      <c r="U366" s="3317"/>
      <c r="V366" s="3317"/>
      <c r="W366" s="3317"/>
      <c r="X366" s="3317"/>
      <c r="Y366" s="3317"/>
      <c r="Z366" s="3317"/>
      <c r="AA366" s="3317"/>
      <c r="AB366" s="3317"/>
      <c r="AC366" s="3307">
        <f t="shared" si="212"/>
        <v>0</v>
      </c>
      <c r="AD366" s="3327"/>
      <c r="AE366" s="3327"/>
      <c r="AF366" s="3327"/>
      <c r="AG366" s="3327"/>
      <c r="AH366" s="3327"/>
      <c r="AI366" s="3327"/>
      <c r="AJ366" s="3327"/>
      <c r="AK366" s="3327"/>
      <c r="AL366" s="3327"/>
      <c r="AM366" s="3327"/>
      <c r="AN366" s="3327"/>
      <c r="AO366" s="3327"/>
      <c r="AP366" s="3327"/>
      <c r="AQ366" s="3327"/>
      <c r="AR366" s="3327"/>
      <c r="AS366" s="3327"/>
      <c r="AT366" s="3337"/>
      <c r="AU366" s="3338"/>
      <c r="AV366" s="1410">
        <f t="shared" si="207"/>
        <v>0</v>
      </c>
      <c r="AW366" s="1410">
        <f t="shared" si="208"/>
        <v>0</v>
      </c>
      <c r="AX366" s="1410">
        <f t="shared" si="209"/>
        <v>0</v>
      </c>
      <c r="AY366" s="3352">
        <f t="shared" si="213"/>
        <v>0</v>
      </c>
      <c r="AZ366" s="3307">
        <f t="shared" si="214"/>
        <v>0</v>
      </c>
      <c r="BA366" s="3307">
        <f t="shared" si="215"/>
        <v>0</v>
      </c>
      <c r="BB366" s="3307">
        <f t="shared" si="216"/>
        <v>0</v>
      </c>
      <c r="BC366" s="3307">
        <f t="shared" si="217"/>
        <v>0</v>
      </c>
      <c r="BD366" s="3307">
        <f t="shared" si="218"/>
        <v>0</v>
      </c>
      <c r="BE366" s="3307">
        <f t="shared" si="219"/>
        <v>0</v>
      </c>
      <c r="BF366" s="3307">
        <f t="shared" si="220"/>
        <v>0</v>
      </c>
      <c r="BG366" s="3307">
        <f t="shared" si="221"/>
        <v>0</v>
      </c>
      <c r="BH366" s="3307">
        <f t="shared" si="222"/>
        <v>0</v>
      </c>
      <c r="BI366" s="3307">
        <f t="shared" si="223"/>
        <v>0</v>
      </c>
      <c r="BJ366" s="3307">
        <f t="shared" si="224"/>
        <v>0</v>
      </c>
      <c r="BK366" s="3307">
        <f t="shared" si="225"/>
        <v>0</v>
      </c>
      <c r="BL366" s="3307">
        <f t="shared" si="226"/>
        <v>0</v>
      </c>
      <c r="BM366" s="3307">
        <f t="shared" si="227"/>
        <v>0</v>
      </c>
      <c r="BN366" s="3307">
        <f t="shared" si="228"/>
        <v>0</v>
      </c>
      <c r="BO366" s="3307">
        <f t="shared" si="229"/>
        <v>0</v>
      </c>
      <c r="BP366" s="3307">
        <f t="shared" si="230"/>
        <v>0</v>
      </c>
      <c r="BQ366" s="3307">
        <f t="shared" si="231"/>
        <v>0</v>
      </c>
      <c r="BR366" s="3307">
        <f t="shared" si="232"/>
        <v>0</v>
      </c>
      <c r="BS366" s="3307">
        <f t="shared" si="233"/>
        <v>0</v>
      </c>
      <c r="BT366" s="3359">
        <f t="shared" si="234"/>
        <v>0</v>
      </c>
    </row>
    <row r="367" spans="1:72">
      <c r="A367" s="3304"/>
      <c r="B367" s="3305"/>
      <c r="C367" s="3305"/>
      <c r="D367" s="3306"/>
      <c r="E367" s="3307">
        <f t="shared" ref="E367:E397" si="235">IF($C$3="是",ROUND($A$3*G367/$B$3,2),ROUND($A$3*(G367-AT367)/$B$3,2))</f>
        <v>0</v>
      </c>
      <c r="F367" s="3308"/>
      <c r="G367" s="3309">
        <f t="shared" si="210"/>
        <v>0</v>
      </c>
      <c r="H367" s="3310">
        <f t="shared" si="211"/>
        <v>0</v>
      </c>
      <c r="I367" s="3317"/>
      <c r="J367" s="3317"/>
      <c r="K367" s="3317"/>
      <c r="L367" s="3317"/>
      <c r="M367" s="3317"/>
      <c r="N367" s="3317"/>
      <c r="O367" s="3317"/>
      <c r="P367" s="3317"/>
      <c r="Q367" s="3317"/>
      <c r="R367" s="3317"/>
      <c r="S367" s="3317"/>
      <c r="T367" s="3317"/>
      <c r="U367" s="3317"/>
      <c r="V367" s="3317"/>
      <c r="W367" s="3317"/>
      <c r="X367" s="3317"/>
      <c r="Y367" s="3317"/>
      <c r="Z367" s="3317"/>
      <c r="AA367" s="3317"/>
      <c r="AB367" s="3317"/>
      <c r="AC367" s="3307">
        <f t="shared" si="212"/>
        <v>0</v>
      </c>
      <c r="AD367" s="3327"/>
      <c r="AE367" s="3327"/>
      <c r="AF367" s="3327"/>
      <c r="AG367" s="3327"/>
      <c r="AH367" s="3327"/>
      <c r="AI367" s="3327"/>
      <c r="AJ367" s="3327"/>
      <c r="AK367" s="3327"/>
      <c r="AL367" s="3327"/>
      <c r="AM367" s="3327"/>
      <c r="AN367" s="3327"/>
      <c r="AO367" s="3327"/>
      <c r="AP367" s="3327"/>
      <c r="AQ367" s="3327"/>
      <c r="AR367" s="3327"/>
      <c r="AS367" s="3327"/>
      <c r="AT367" s="3337"/>
      <c r="AU367" s="3338"/>
      <c r="AV367" s="1410">
        <f t="shared" ref="AV367:AV397" si="236">A367</f>
        <v>0</v>
      </c>
      <c r="AW367" s="1410">
        <f t="shared" ref="AW367:AW397" si="237">B367</f>
        <v>0</v>
      </c>
      <c r="AX367" s="1410">
        <f t="shared" ref="AX367:AX397" si="238">C367</f>
        <v>0</v>
      </c>
      <c r="AY367" s="3352">
        <f t="shared" si="213"/>
        <v>0</v>
      </c>
      <c r="AZ367" s="3307">
        <f t="shared" si="214"/>
        <v>0</v>
      </c>
      <c r="BA367" s="3307">
        <f t="shared" si="215"/>
        <v>0</v>
      </c>
      <c r="BB367" s="3307">
        <f t="shared" si="216"/>
        <v>0</v>
      </c>
      <c r="BC367" s="3307">
        <f t="shared" si="217"/>
        <v>0</v>
      </c>
      <c r="BD367" s="3307">
        <f t="shared" si="218"/>
        <v>0</v>
      </c>
      <c r="BE367" s="3307">
        <f t="shared" si="219"/>
        <v>0</v>
      </c>
      <c r="BF367" s="3307">
        <f t="shared" si="220"/>
        <v>0</v>
      </c>
      <c r="BG367" s="3307">
        <f t="shared" si="221"/>
        <v>0</v>
      </c>
      <c r="BH367" s="3307">
        <f t="shared" si="222"/>
        <v>0</v>
      </c>
      <c r="BI367" s="3307">
        <f t="shared" si="223"/>
        <v>0</v>
      </c>
      <c r="BJ367" s="3307">
        <f t="shared" si="224"/>
        <v>0</v>
      </c>
      <c r="BK367" s="3307">
        <f t="shared" si="225"/>
        <v>0</v>
      </c>
      <c r="BL367" s="3307">
        <f t="shared" si="226"/>
        <v>0</v>
      </c>
      <c r="BM367" s="3307">
        <f t="shared" si="227"/>
        <v>0</v>
      </c>
      <c r="BN367" s="3307">
        <f t="shared" si="228"/>
        <v>0</v>
      </c>
      <c r="BO367" s="3307">
        <f t="shared" si="229"/>
        <v>0</v>
      </c>
      <c r="BP367" s="3307">
        <f t="shared" si="230"/>
        <v>0</v>
      </c>
      <c r="BQ367" s="3307">
        <f t="shared" si="231"/>
        <v>0</v>
      </c>
      <c r="BR367" s="3307">
        <f t="shared" si="232"/>
        <v>0</v>
      </c>
      <c r="BS367" s="3307">
        <f t="shared" si="233"/>
        <v>0</v>
      </c>
      <c r="BT367" s="3359">
        <f t="shared" si="234"/>
        <v>0</v>
      </c>
    </row>
    <row r="368" spans="1:72">
      <c r="A368" s="3304"/>
      <c r="B368" s="3305"/>
      <c r="C368" s="3305"/>
      <c r="D368" s="3306"/>
      <c r="E368" s="3307">
        <f t="shared" si="235"/>
        <v>0</v>
      </c>
      <c r="F368" s="3308"/>
      <c r="G368" s="3309">
        <f t="shared" si="210"/>
        <v>0</v>
      </c>
      <c r="H368" s="3310">
        <f t="shared" si="211"/>
        <v>0</v>
      </c>
      <c r="I368" s="3317"/>
      <c r="J368" s="3317"/>
      <c r="K368" s="3317"/>
      <c r="L368" s="3317"/>
      <c r="M368" s="3317"/>
      <c r="N368" s="3317"/>
      <c r="O368" s="3317"/>
      <c r="P368" s="3317"/>
      <c r="Q368" s="3317"/>
      <c r="R368" s="3317"/>
      <c r="S368" s="3317"/>
      <c r="T368" s="3317"/>
      <c r="U368" s="3317"/>
      <c r="V368" s="3317"/>
      <c r="W368" s="3317"/>
      <c r="X368" s="3317"/>
      <c r="Y368" s="3317"/>
      <c r="Z368" s="3317"/>
      <c r="AA368" s="3317"/>
      <c r="AB368" s="3317"/>
      <c r="AC368" s="3307">
        <f t="shared" si="212"/>
        <v>0</v>
      </c>
      <c r="AD368" s="3327"/>
      <c r="AE368" s="3327"/>
      <c r="AF368" s="3327"/>
      <c r="AG368" s="3327"/>
      <c r="AH368" s="3327"/>
      <c r="AI368" s="3327"/>
      <c r="AJ368" s="3327"/>
      <c r="AK368" s="3327"/>
      <c r="AL368" s="3327"/>
      <c r="AM368" s="3327"/>
      <c r="AN368" s="3327"/>
      <c r="AO368" s="3327"/>
      <c r="AP368" s="3327"/>
      <c r="AQ368" s="3327"/>
      <c r="AR368" s="3327"/>
      <c r="AS368" s="3327"/>
      <c r="AT368" s="3337"/>
      <c r="AU368" s="3338"/>
      <c r="AV368" s="1410">
        <f t="shared" si="236"/>
        <v>0</v>
      </c>
      <c r="AW368" s="1410">
        <f t="shared" si="237"/>
        <v>0</v>
      </c>
      <c r="AX368" s="1410">
        <f t="shared" si="238"/>
        <v>0</v>
      </c>
      <c r="AY368" s="3352">
        <f t="shared" si="213"/>
        <v>0</v>
      </c>
      <c r="AZ368" s="3307">
        <f t="shared" si="214"/>
        <v>0</v>
      </c>
      <c r="BA368" s="3307">
        <f t="shared" si="215"/>
        <v>0</v>
      </c>
      <c r="BB368" s="3307">
        <f t="shared" si="216"/>
        <v>0</v>
      </c>
      <c r="BC368" s="3307">
        <f t="shared" si="217"/>
        <v>0</v>
      </c>
      <c r="BD368" s="3307">
        <f t="shared" si="218"/>
        <v>0</v>
      </c>
      <c r="BE368" s="3307">
        <f t="shared" si="219"/>
        <v>0</v>
      </c>
      <c r="BF368" s="3307">
        <f t="shared" si="220"/>
        <v>0</v>
      </c>
      <c r="BG368" s="3307">
        <f t="shared" si="221"/>
        <v>0</v>
      </c>
      <c r="BH368" s="3307">
        <f t="shared" si="222"/>
        <v>0</v>
      </c>
      <c r="BI368" s="3307">
        <f t="shared" si="223"/>
        <v>0</v>
      </c>
      <c r="BJ368" s="3307">
        <f t="shared" si="224"/>
        <v>0</v>
      </c>
      <c r="BK368" s="3307">
        <f t="shared" si="225"/>
        <v>0</v>
      </c>
      <c r="BL368" s="3307">
        <f t="shared" si="226"/>
        <v>0</v>
      </c>
      <c r="BM368" s="3307">
        <f t="shared" si="227"/>
        <v>0</v>
      </c>
      <c r="BN368" s="3307">
        <f t="shared" si="228"/>
        <v>0</v>
      </c>
      <c r="BO368" s="3307">
        <f t="shared" si="229"/>
        <v>0</v>
      </c>
      <c r="BP368" s="3307">
        <f t="shared" si="230"/>
        <v>0</v>
      </c>
      <c r="BQ368" s="3307">
        <f t="shared" si="231"/>
        <v>0</v>
      </c>
      <c r="BR368" s="3307">
        <f t="shared" si="232"/>
        <v>0</v>
      </c>
      <c r="BS368" s="3307">
        <f t="shared" si="233"/>
        <v>0</v>
      </c>
      <c r="BT368" s="3359">
        <f t="shared" si="234"/>
        <v>0</v>
      </c>
    </row>
    <row r="369" spans="1:72">
      <c r="A369" s="3304"/>
      <c r="B369" s="3305"/>
      <c r="C369" s="3305"/>
      <c r="D369" s="3306"/>
      <c r="E369" s="3307">
        <f t="shared" si="235"/>
        <v>0</v>
      </c>
      <c r="F369" s="3308"/>
      <c r="G369" s="3309">
        <f t="shared" si="210"/>
        <v>0</v>
      </c>
      <c r="H369" s="3310">
        <f t="shared" si="211"/>
        <v>0</v>
      </c>
      <c r="I369" s="3317"/>
      <c r="J369" s="3317"/>
      <c r="K369" s="3317"/>
      <c r="L369" s="3317"/>
      <c r="M369" s="3317"/>
      <c r="N369" s="3317"/>
      <c r="O369" s="3317"/>
      <c r="P369" s="3317"/>
      <c r="Q369" s="3317"/>
      <c r="R369" s="3317"/>
      <c r="S369" s="3317"/>
      <c r="T369" s="3317"/>
      <c r="U369" s="3317"/>
      <c r="V369" s="3317"/>
      <c r="W369" s="3317"/>
      <c r="X369" s="3317"/>
      <c r="Y369" s="3317"/>
      <c r="Z369" s="3317"/>
      <c r="AA369" s="3317"/>
      <c r="AB369" s="3317"/>
      <c r="AC369" s="3307">
        <f t="shared" si="212"/>
        <v>0</v>
      </c>
      <c r="AD369" s="3327"/>
      <c r="AE369" s="3327"/>
      <c r="AF369" s="3327"/>
      <c r="AG369" s="3327"/>
      <c r="AH369" s="3327"/>
      <c r="AI369" s="3327"/>
      <c r="AJ369" s="3327"/>
      <c r="AK369" s="3327"/>
      <c r="AL369" s="3327"/>
      <c r="AM369" s="3327"/>
      <c r="AN369" s="3327"/>
      <c r="AO369" s="3327"/>
      <c r="AP369" s="3327"/>
      <c r="AQ369" s="3327"/>
      <c r="AR369" s="3327"/>
      <c r="AS369" s="3327"/>
      <c r="AT369" s="3337"/>
      <c r="AU369" s="3338"/>
      <c r="AV369" s="1410">
        <f t="shared" si="236"/>
        <v>0</v>
      </c>
      <c r="AW369" s="1410">
        <f t="shared" si="237"/>
        <v>0</v>
      </c>
      <c r="AX369" s="1410">
        <f t="shared" si="238"/>
        <v>0</v>
      </c>
      <c r="AY369" s="3352">
        <f t="shared" si="213"/>
        <v>0</v>
      </c>
      <c r="AZ369" s="3307">
        <f t="shared" si="214"/>
        <v>0</v>
      </c>
      <c r="BA369" s="3307">
        <f t="shared" si="215"/>
        <v>0</v>
      </c>
      <c r="BB369" s="3307">
        <f t="shared" si="216"/>
        <v>0</v>
      </c>
      <c r="BC369" s="3307">
        <f t="shared" si="217"/>
        <v>0</v>
      </c>
      <c r="BD369" s="3307">
        <f t="shared" si="218"/>
        <v>0</v>
      </c>
      <c r="BE369" s="3307">
        <f t="shared" si="219"/>
        <v>0</v>
      </c>
      <c r="BF369" s="3307">
        <f t="shared" si="220"/>
        <v>0</v>
      </c>
      <c r="BG369" s="3307">
        <f t="shared" si="221"/>
        <v>0</v>
      </c>
      <c r="BH369" s="3307">
        <f t="shared" si="222"/>
        <v>0</v>
      </c>
      <c r="BI369" s="3307">
        <f t="shared" si="223"/>
        <v>0</v>
      </c>
      <c r="BJ369" s="3307">
        <f t="shared" si="224"/>
        <v>0</v>
      </c>
      <c r="BK369" s="3307">
        <f t="shared" si="225"/>
        <v>0</v>
      </c>
      <c r="BL369" s="3307">
        <f t="shared" si="226"/>
        <v>0</v>
      </c>
      <c r="BM369" s="3307">
        <f t="shared" si="227"/>
        <v>0</v>
      </c>
      <c r="BN369" s="3307">
        <f t="shared" si="228"/>
        <v>0</v>
      </c>
      <c r="BO369" s="3307">
        <f t="shared" si="229"/>
        <v>0</v>
      </c>
      <c r="BP369" s="3307">
        <f t="shared" si="230"/>
        <v>0</v>
      </c>
      <c r="BQ369" s="3307">
        <f t="shared" si="231"/>
        <v>0</v>
      </c>
      <c r="BR369" s="3307">
        <f t="shared" si="232"/>
        <v>0</v>
      </c>
      <c r="BS369" s="3307">
        <f t="shared" si="233"/>
        <v>0</v>
      </c>
      <c r="BT369" s="3359">
        <f t="shared" si="234"/>
        <v>0</v>
      </c>
    </row>
    <row r="370" spans="1:72">
      <c r="A370" s="3304"/>
      <c r="B370" s="3305"/>
      <c r="C370" s="3305"/>
      <c r="D370" s="3306"/>
      <c r="E370" s="3307">
        <f t="shared" si="235"/>
        <v>0</v>
      </c>
      <c r="F370" s="3308"/>
      <c r="G370" s="3309">
        <f t="shared" si="210"/>
        <v>0</v>
      </c>
      <c r="H370" s="3310">
        <f t="shared" si="211"/>
        <v>0</v>
      </c>
      <c r="I370" s="3317"/>
      <c r="J370" s="3317"/>
      <c r="K370" s="3317"/>
      <c r="L370" s="3317"/>
      <c r="M370" s="3317"/>
      <c r="N370" s="3317"/>
      <c r="O370" s="3317"/>
      <c r="P370" s="3317"/>
      <c r="Q370" s="3317"/>
      <c r="R370" s="3317"/>
      <c r="S370" s="3317"/>
      <c r="T370" s="3317"/>
      <c r="U370" s="3317"/>
      <c r="V370" s="3317"/>
      <c r="W370" s="3317"/>
      <c r="X370" s="3317"/>
      <c r="Y370" s="3317"/>
      <c r="Z370" s="3317"/>
      <c r="AA370" s="3317"/>
      <c r="AB370" s="3317"/>
      <c r="AC370" s="3307">
        <f t="shared" si="212"/>
        <v>0</v>
      </c>
      <c r="AD370" s="3327"/>
      <c r="AE370" s="3327"/>
      <c r="AF370" s="3327"/>
      <c r="AG370" s="3327"/>
      <c r="AH370" s="3327"/>
      <c r="AI370" s="3327"/>
      <c r="AJ370" s="3327"/>
      <c r="AK370" s="3327"/>
      <c r="AL370" s="3327"/>
      <c r="AM370" s="3327"/>
      <c r="AN370" s="3327"/>
      <c r="AO370" s="3327"/>
      <c r="AP370" s="3327"/>
      <c r="AQ370" s="3327"/>
      <c r="AR370" s="3327"/>
      <c r="AS370" s="3327"/>
      <c r="AT370" s="3337"/>
      <c r="AU370" s="3338"/>
      <c r="AV370" s="1410">
        <f t="shared" si="236"/>
        <v>0</v>
      </c>
      <c r="AW370" s="1410">
        <f t="shared" si="237"/>
        <v>0</v>
      </c>
      <c r="AX370" s="1410">
        <f t="shared" si="238"/>
        <v>0</v>
      </c>
      <c r="AY370" s="3352">
        <f t="shared" si="213"/>
        <v>0</v>
      </c>
      <c r="AZ370" s="3307">
        <f t="shared" si="214"/>
        <v>0</v>
      </c>
      <c r="BA370" s="3307">
        <f t="shared" si="215"/>
        <v>0</v>
      </c>
      <c r="BB370" s="3307">
        <f t="shared" si="216"/>
        <v>0</v>
      </c>
      <c r="BC370" s="3307">
        <f t="shared" si="217"/>
        <v>0</v>
      </c>
      <c r="BD370" s="3307">
        <f t="shared" si="218"/>
        <v>0</v>
      </c>
      <c r="BE370" s="3307">
        <f t="shared" si="219"/>
        <v>0</v>
      </c>
      <c r="BF370" s="3307">
        <f t="shared" si="220"/>
        <v>0</v>
      </c>
      <c r="BG370" s="3307">
        <f t="shared" si="221"/>
        <v>0</v>
      </c>
      <c r="BH370" s="3307">
        <f t="shared" si="222"/>
        <v>0</v>
      </c>
      <c r="BI370" s="3307">
        <f t="shared" si="223"/>
        <v>0</v>
      </c>
      <c r="BJ370" s="3307">
        <f t="shared" si="224"/>
        <v>0</v>
      </c>
      <c r="BK370" s="3307">
        <f t="shared" si="225"/>
        <v>0</v>
      </c>
      <c r="BL370" s="3307">
        <f t="shared" si="226"/>
        <v>0</v>
      </c>
      <c r="BM370" s="3307">
        <f t="shared" si="227"/>
        <v>0</v>
      </c>
      <c r="BN370" s="3307">
        <f t="shared" si="228"/>
        <v>0</v>
      </c>
      <c r="BO370" s="3307">
        <f t="shared" si="229"/>
        <v>0</v>
      </c>
      <c r="BP370" s="3307">
        <f t="shared" si="230"/>
        <v>0</v>
      </c>
      <c r="BQ370" s="3307">
        <f t="shared" si="231"/>
        <v>0</v>
      </c>
      <c r="BR370" s="3307">
        <f t="shared" si="232"/>
        <v>0</v>
      </c>
      <c r="BS370" s="3307">
        <f t="shared" si="233"/>
        <v>0</v>
      </c>
      <c r="BT370" s="3359">
        <f t="shared" si="234"/>
        <v>0</v>
      </c>
    </row>
    <row r="371" spans="1:72">
      <c r="A371" s="3304"/>
      <c r="B371" s="3305"/>
      <c r="C371" s="3305"/>
      <c r="D371" s="3306"/>
      <c r="E371" s="3307">
        <f t="shared" si="235"/>
        <v>0</v>
      </c>
      <c r="F371" s="3308"/>
      <c r="G371" s="3309">
        <f t="shared" si="210"/>
        <v>0</v>
      </c>
      <c r="H371" s="3310">
        <f t="shared" si="211"/>
        <v>0</v>
      </c>
      <c r="I371" s="3317"/>
      <c r="J371" s="3317"/>
      <c r="K371" s="3317"/>
      <c r="L371" s="3317"/>
      <c r="M371" s="3317"/>
      <c r="N371" s="3317"/>
      <c r="O371" s="3317"/>
      <c r="P371" s="3317"/>
      <c r="Q371" s="3317"/>
      <c r="R371" s="3317"/>
      <c r="S371" s="3317"/>
      <c r="T371" s="3317"/>
      <c r="U371" s="3317"/>
      <c r="V371" s="3317"/>
      <c r="W371" s="3317"/>
      <c r="X371" s="3317"/>
      <c r="Y371" s="3317"/>
      <c r="Z371" s="3317"/>
      <c r="AA371" s="3317"/>
      <c r="AB371" s="3317"/>
      <c r="AC371" s="3307">
        <f t="shared" si="212"/>
        <v>0</v>
      </c>
      <c r="AD371" s="3327"/>
      <c r="AE371" s="3327"/>
      <c r="AF371" s="3327"/>
      <c r="AG371" s="3327"/>
      <c r="AH371" s="3327"/>
      <c r="AI371" s="3327"/>
      <c r="AJ371" s="3327"/>
      <c r="AK371" s="3327"/>
      <c r="AL371" s="3327"/>
      <c r="AM371" s="3327"/>
      <c r="AN371" s="3327"/>
      <c r="AO371" s="3327"/>
      <c r="AP371" s="3327"/>
      <c r="AQ371" s="3327"/>
      <c r="AR371" s="3327"/>
      <c r="AS371" s="3327"/>
      <c r="AT371" s="3337"/>
      <c r="AU371" s="3338"/>
      <c r="AV371" s="1410">
        <f t="shared" si="236"/>
        <v>0</v>
      </c>
      <c r="AW371" s="1410">
        <f t="shared" si="237"/>
        <v>0</v>
      </c>
      <c r="AX371" s="1410">
        <f t="shared" si="238"/>
        <v>0</v>
      </c>
      <c r="AY371" s="3352">
        <f t="shared" si="213"/>
        <v>0</v>
      </c>
      <c r="AZ371" s="3307">
        <f t="shared" si="214"/>
        <v>0</v>
      </c>
      <c r="BA371" s="3307">
        <f t="shared" si="215"/>
        <v>0</v>
      </c>
      <c r="BB371" s="3307">
        <f t="shared" si="216"/>
        <v>0</v>
      </c>
      <c r="BC371" s="3307">
        <f t="shared" si="217"/>
        <v>0</v>
      </c>
      <c r="BD371" s="3307">
        <f t="shared" si="218"/>
        <v>0</v>
      </c>
      <c r="BE371" s="3307">
        <f t="shared" si="219"/>
        <v>0</v>
      </c>
      <c r="BF371" s="3307">
        <f t="shared" si="220"/>
        <v>0</v>
      </c>
      <c r="BG371" s="3307">
        <f t="shared" si="221"/>
        <v>0</v>
      </c>
      <c r="BH371" s="3307">
        <f t="shared" si="222"/>
        <v>0</v>
      </c>
      <c r="BI371" s="3307">
        <f t="shared" si="223"/>
        <v>0</v>
      </c>
      <c r="BJ371" s="3307">
        <f t="shared" si="224"/>
        <v>0</v>
      </c>
      <c r="BK371" s="3307">
        <f t="shared" si="225"/>
        <v>0</v>
      </c>
      <c r="BL371" s="3307">
        <f t="shared" si="226"/>
        <v>0</v>
      </c>
      <c r="BM371" s="3307">
        <f t="shared" si="227"/>
        <v>0</v>
      </c>
      <c r="BN371" s="3307">
        <f t="shared" si="228"/>
        <v>0</v>
      </c>
      <c r="BO371" s="3307">
        <f t="shared" si="229"/>
        <v>0</v>
      </c>
      <c r="BP371" s="3307">
        <f t="shared" si="230"/>
        <v>0</v>
      </c>
      <c r="BQ371" s="3307">
        <f t="shared" si="231"/>
        <v>0</v>
      </c>
      <c r="BR371" s="3307">
        <f t="shared" si="232"/>
        <v>0</v>
      </c>
      <c r="BS371" s="3307">
        <f t="shared" si="233"/>
        <v>0</v>
      </c>
      <c r="BT371" s="3359">
        <f t="shared" si="234"/>
        <v>0</v>
      </c>
    </row>
    <row r="372" spans="1:72">
      <c r="A372" s="3304"/>
      <c r="B372" s="3305"/>
      <c r="C372" s="3305"/>
      <c r="D372" s="3306"/>
      <c r="E372" s="3307">
        <f t="shared" si="235"/>
        <v>0</v>
      </c>
      <c r="F372" s="3308"/>
      <c r="G372" s="3309">
        <f t="shared" si="210"/>
        <v>0</v>
      </c>
      <c r="H372" s="3310">
        <f t="shared" si="211"/>
        <v>0</v>
      </c>
      <c r="I372" s="3317"/>
      <c r="J372" s="3317"/>
      <c r="K372" s="3317"/>
      <c r="L372" s="3317"/>
      <c r="M372" s="3317"/>
      <c r="N372" s="3317"/>
      <c r="O372" s="3317"/>
      <c r="P372" s="3317"/>
      <c r="Q372" s="3317"/>
      <c r="R372" s="3317"/>
      <c r="S372" s="3317"/>
      <c r="T372" s="3317"/>
      <c r="U372" s="3317"/>
      <c r="V372" s="3317"/>
      <c r="W372" s="3317"/>
      <c r="X372" s="3317"/>
      <c r="Y372" s="3317"/>
      <c r="Z372" s="3317"/>
      <c r="AA372" s="3317"/>
      <c r="AB372" s="3317"/>
      <c r="AC372" s="3307">
        <f t="shared" si="212"/>
        <v>0</v>
      </c>
      <c r="AD372" s="3327"/>
      <c r="AE372" s="3327"/>
      <c r="AF372" s="3327"/>
      <c r="AG372" s="3327"/>
      <c r="AH372" s="3327"/>
      <c r="AI372" s="3327"/>
      <c r="AJ372" s="3327"/>
      <c r="AK372" s="3327"/>
      <c r="AL372" s="3327"/>
      <c r="AM372" s="3327"/>
      <c r="AN372" s="3327"/>
      <c r="AO372" s="3327"/>
      <c r="AP372" s="3327"/>
      <c r="AQ372" s="3327"/>
      <c r="AR372" s="3327"/>
      <c r="AS372" s="3327"/>
      <c r="AT372" s="3337"/>
      <c r="AU372" s="3338"/>
      <c r="AV372" s="1410">
        <f t="shared" si="236"/>
        <v>0</v>
      </c>
      <c r="AW372" s="1410">
        <f t="shared" si="237"/>
        <v>0</v>
      </c>
      <c r="AX372" s="1410">
        <f t="shared" si="238"/>
        <v>0</v>
      </c>
      <c r="AY372" s="3352">
        <f t="shared" si="213"/>
        <v>0</v>
      </c>
      <c r="AZ372" s="3307">
        <f t="shared" si="214"/>
        <v>0</v>
      </c>
      <c r="BA372" s="3307">
        <f t="shared" si="215"/>
        <v>0</v>
      </c>
      <c r="BB372" s="3307">
        <f t="shared" si="216"/>
        <v>0</v>
      </c>
      <c r="BC372" s="3307">
        <f t="shared" si="217"/>
        <v>0</v>
      </c>
      <c r="BD372" s="3307">
        <f t="shared" si="218"/>
        <v>0</v>
      </c>
      <c r="BE372" s="3307">
        <f t="shared" si="219"/>
        <v>0</v>
      </c>
      <c r="BF372" s="3307">
        <f t="shared" si="220"/>
        <v>0</v>
      </c>
      <c r="BG372" s="3307">
        <f t="shared" si="221"/>
        <v>0</v>
      </c>
      <c r="BH372" s="3307">
        <f t="shared" si="222"/>
        <v>0</v>
      </c>
      <c r="BI372" s="3307">
        <f t="shared" si="223"/>
        <v>0</v>
      </c>
      <c r="BJ372" s="3307">
        <f t="shared" si="224"/>
        <v>0</v>
      </c>
      <c r="BK372" s="3307">
        <f t="shared" si="225"/>
        <v>0</v>
      </c>
      <c r="BL372" s="3307">
        <f t="shared" si="226"/>
        <v>0</v>
      </c>
      <c r="BM372" s="3307">
        <f t="shared" si="227"/>
        <v>0</v>
      </c>
      <c r="BN372" s="3307">
        <f t="shared" si="228"/>
        <v>0</v>
      </c>
      <c r="BO372" s="3307">
        <f t="shared" si="229"/>
        <v>0</v>
      </c>
      <c r="BP372" s="3307">
        <f t="shared" si="230"/>
        <v>0</v>
      </c>
      <c r="BQ372" s="3307">
        <f t="shared" si="231"/>
        <v>0</v>
      </c>
      <c r="BR372" s="3307">
        <f t="shared" si="232"/>
        <v>0</v>
      </c>
      <c r="BS372" s="3307">
        <f t="shared" si="233"/>
        <v>0</v>
      </c>
      <c r="BT372" s="3359">
        <f t="shared" si="234"/>
        <v>0</v>
      </c>
    </row>
    <row r="373" spans="1:72">
      <c r="A373" s="3304"/>
      <c r="B373" s="3305"/>
      <c r="C373" s="3305"/>
      <c r="D373" s="3306"/>
      <c r="E373" s="3307">
        <f t="shared" si="235"/>
        <v>0</v>
      </c>
      <c r="F373" s="3308"/>
      <c r="G373" s="3309">
        <f t="shared" si="210"/>
        <v>0</v>
      </c>
      <c r="H373" s="3310">
        <f t="shared" si="211"/>
        <v>0</v>
      </c>
      <c r="I373" s="3317"/>
      <c r="J373" s="3317"/>
      <c r="K373" s="3317"/>
      <c r="L373" s="3317"/>
      <c r="M373" s="3317"/>
      <c r="N373" s="3317"/>
      <c r="O373" s="3317"/>
      <c r="P373" s="3317"/>
      <c r="Q373" s="3317"/>
      <c r="R373" s="3317"/>
      <c r="S373" s="3317"/>
      <c r="T373" s="3317"/>
      <c r="U373" s="3317"/>
      <c r="V373" s="3317"/>
      <c r="W373" s="3317"/>
      <c r="X373" s="3317"/>
      <c r="Y373" s="3317"/>
      <c r="Z373" s="3317"/>
      <c r="AA373" s="3317"/>
      <c r="AB373" s="3317"/>
      <c r="AC373" s="3307">
        <f t="shared" si="212"/>
        <v>0</v>
      </c>
      <c r="AD373" s="3327"/>
      <c r="AE373" s="3327"/>
      <c r="AF373" s="3327"/>
      <c r="AG373" s="3327"/>
      <c r="AH373" s="3327"/>
      <c r="AI373" s="3327"/>
      <c r="AJ373" s="3327"/>
      <c r="AK373" s="3327"/>
      <c r="AL373" s="3327"/>
      <c r="AM373" s="3327"/>
      <c r="AN373" s="3327"/>
      <c r="AO373" s="3327"/>
      <c r="AP373" s="3327"/>
      <c r="AQ373" s="3327"/>
      <c r="AR373" s="3327"/>
      <c r="AS373" s="3327"/>
      <c r="AT373" s="3337"/>
      <c r="AU373" s="3338"/>
      <c r="AV373" s="1410">
        <f t="shared" si="236"/>
        <v>0</v>
      </c>
      <c r="AW373" s="1410">
        <f t="shared" si="237"/>
        <v>0</v>
      </c>
      <c r="AX373" s="1410">
        <f t="shared" si="238"/>
        <v>0</v>
      </c>
      <c r="AY373" s="3352">
        <f t="shared" si="213"/>
        <v>0</v>
      </c>
      <c r="AZ373" s="3307">
        <f t="shared" si="214"/>
        <v>0</v>
      </c>
      <c r="BA373" s="3307">
        <f t="shared" si="215"/>
        <v>0</v>
      </c>
      <c r="BB373" s="3307">
        <f t="shared" si="216"/>
        <v>0</v>
      </c>
      <c r="BC373" s="3307">
        <f t="shared" si="217"/>
        <v>0</v>
      </c>
      <c r="BD373" s="3307">
        <f t="shared" si="218"/>
        <v>0</v>
      </c>
      <c r="BE373" s="3307">
        <f t="shared" si="219"/>
        <v>0</v>
      </c>
      <c r="BF373" s="3307">
        <f t="shared" si="220"/>
        <v>0</v>
      </c>
      <c r="BG373" s="3307">
        <f t="shared" si="221"/>
        <v>0</v>
      </c>
      <c r="BH373" s="3307">
        <f t="shared" si="222"/>
        <v>0</v>
      </c>
      <c r="BI373" s="3307">
        <f t="shared" si="223"/>
        <v>0</v>
      </c>
      <c r="BJ373" s="3307">
        <f t="shared" si="224"/>
        <v>0</v>
      </c>
      <c r="BK373" s="3307">
        <f t="shared" si="225"/>
        <v>0</v>
      </c>
      <c r="BL373" s="3307">
        <f t="shared" si="226"/>
        <v>0</v>
      </c>
      <c r="BM373" s="3307">
        <f t="shared" si="227"/>
        <v>0</v>
      </c>
      <c r="BN373" s="3307">
        <f t="shared" si="228"/>
        <v>0</v>
      </c>
      <c r="BO373" s="3307">
        <f t="shared" si="229"/>
        <v>0</v>
      </c>
      <c r="BP373" s="3307">
        <f t="shared" si="230"/>
        <v>0</v>
      </c>
      <c r="BQ373" s="3307">
        <f t="shared" si="231"/>
        <v>0</v>
      </c>
      <c r="BR373" s="3307">
        <f t="shared" si="232"/>
        <v>0</v>
      </c>
      <c r="BS373" s="3307">
        <f t="shared" si="233"/>
        <v>0</v>
      </c>
      <c r="BT373" s="3359">
        <f t="shared" si="234"/>
        <v>0</v>
      </c>
    </row>
    <row r="374" spans="1:72">
      <c r="A374" s="3304"/>
      <c r="B374" s="3305"/>
      <c r="C374" s="3305"/>
      <c r="D374" s="3306"/>
      <c r="E374" s="3307">
        <f t="shared" si="235"/>
        <v>0</v>
      </c>
      <c r="F374" s="3308"/>
      <c r="G374" s="3309">
        <f t="shared" si="210"/>
        <v>0</v>
      </c>
      <c r="H374" s="3310">
        <f t="shared" si="211"/>
        <v>0</v>
      </c>
      <c r="I374" s="3317"/>
      <c r="J374" s="3317"/>
      <c r="K374" s="3317"/>
      <c r="L374" s="3317"/>
      <c r="M374" s="3317"/>
      <c r="N374" s="3317"/>
      <c r="O374" s="3317"/>
      <c r="P374" s="3317"/>
      <c r="Q374" s="3317"/>
      <c r="R374" s="3317"/>
      <c r="S374" s="3317"/>
      <c r="T374" s="3317"/>
      <c r="U374" s="3317"/>
      <c r="V374" s="3317"/>
      <c r="W374" s="3317"/>
      <c r="X374" s="3317"/>
      <c r="Y374" s="3317"/>
      <c r="Z374" s="3317"/>
      <c r="AA374" s="3317"/>
      <c r="AB374" s="3317"/>
      <c r="AC374" s="3307">
        <f t="shared" si="212"/>
        <v>0</v>
      </c>
      <c r="AD374" s="3327"/>
      <c r="AE374" s="3327"/>
      <c r="AF374" s="3327"/>
      <c r="AG374" s="3327"/>
      <c r="AH374" s="3327"/>
      <c r="AI374" s="3327"/>
      <c r="AJ374" s="3327"/>
      <c r="AK374" s="3327"/>
      <c r="AL374" s="3327"/>
      <c r="AM374" s="3327"/>
      <c r="AN374" s="3327"/>
      <c r="AO374" s="3327"/>
      <c r="AP374" s="3327"/>
      <c r="AQ374" s="3327"/>
      <c r="AR374" s="3327"/>
      <c r="AS374" s="3327"/>
      <c r="AT374" s="3337"/>
      <c r="AU374" s="3338"/>
      <c r="AV374" s="1410">
        <f t="shared" si="236"/>
        <v>0</v>
      </c>
      <c r="AW374" s="1410">
        <f t="shared" si="237"/>
        <v>0</v>
      </c>
      <c r="AX374" s="1410">
        <f t="shared" si="238"/>
        <v>0</v>
      </c>
      <c r="AY374" s="3352">
        <f t="shared" si="213"/>
        <v>0</v>
      </c>
      <c r="AZ374" s="3307">
        <f t="shared" si="214"/>
        <v>0</v>
      </c>
      <c r="BA374" s="3307">
        <f t="shared" si="215"/>
        <v>0</v>
      </c>
      <c r="BB374" s="3307">
        <f t="shared" si="216"/>
        <v>0</v>
      </c>
      <c r="BC374" s="3307">
        <f t="shared" si="217"/>
        <v>0</v>
      </c>
      <c r="BD374" s="3307">
        <f t="shared" si="218"/>
        <v>0</v>
      </c>
      <c r="BE374" s="3307">
        <f t="shared" si="219"/>
        <v>0</v>
      </c>
      <c r="BF374" s="3307">
        <f t="shared" si="220"/>
        <v>0</v>
      </c>
      <c r="BG374" s="3307">
        <f t="shared" si="221"/>
        <v>0</v>
      </c>
      <c r="BH374" s="3307">
        <f t="shared" si="222"/>
        <v>0</v>
      </c>
      <c r="BI374" s="3307">
        <f t="shared" si="223"/>
        <v>0</v>
      </c>
      <c r="BJ374" s="3307">
        <f t="shared" si="224"/>
        <v>0</v>
      </c>
      <c r="BK374" s="3307">
        <f t="shared" si="225"/>
        <v>0</v>
      </c>
      <c r="BL374" s="3307">
        <f t="shared" si="226"/>
        <v>0</v>
      </c>
      <c r="BM374" s="3307">
        <f t="shared" si="227"/>
        <v>0</v>
      </c>
      <c r="BN374" s="3307">
        <f t="shared" si="228"/>
        <v>0</v>
      </c>
      <c r="BO374" s="3307">
        <f t="shared" si="229"/>
        <v>0</v>
      </c>
      <c r="BP374" s="3307">
        <f t="shared" si="230"/>
        <v>0</v>
      </c>
      <c r="BQ374" s="3307">
        <f t="shared" si="231"/>
        <v>0</v>
      </c>
      <c r="BR374" s="3307">
        <f t="shared" si="232"/>
        <v>0</v>
      </c>
      <c r="BS374" s="3307">
        <f t="shared" si="233"/>
        <v>0</v>
      </c>
      <c r="BT374" s="3359">
        <f t="shared" si="234"/>
        <v>0</v>
      </c>
    </row>
    <row r="375" spans="1:72">
      <c r="A375" s="3304"/>
      <c r="B375" s="3305"/>
      <c r="C375" s="3305"/>
      <c r="D375" s="3306"/>
      <c r="E375" s="3307">
        <f t="shared" si="235"/>
        <v>0</v>
      </c>
      <c r="F375" s="3308"/>
      <c r="G375" s="3309">
        <f t="shared" si="210"/>
        <v>0</v>
      </c>
      <c r="H375" s="3310">
        <f t="shared" si="211"/>
        <v>0</v>
      </c>
      <c r="I375" s="3317"/>
      <c r="J375" s="3317"/>
      <c r="K375" s="3317"/>
      <c r="L375" s="3317"/>
      <c r="M375" s="3317"/>
      <c r="N375" s="3317"/>
      <c r="O375" s="3317"/>
      <c r="P375" s="3317"/>
      <c r="Q375" s="3317"/>
      <c r="R375" s="3317"/>
      <c r="S375" s="3317"/>
      <c r="T375" s="3317"/>
      <c r="U375" s="3317"/>
      <c r="V375" s="3317"/>
      <c r="W375" s="3317"/>
      <c r="X375" s="3317"/>
      <c r="Y375" s="3317"/>
      <c r="Z375" s="3317"/>
      <c r="AA375" s="3317"/>
      <c r="AB375" s="3317"/>
      <c r="AC375" s="3307">
        <f t="shared" si="212"/>
        <v>0</v>
      </c>
      <c r="AD375" s="3327"/>
      <c r="AE375" s="3327"/>
      <c r="AF375" s="3327"/>
      <c r="AG375" s="3327"/>
      <c r="AH375" s="3327"/>
      <c r="AI375" s="3327"/>
      <c r="AJ375" s="3327"/>
      <c r="AK375" s="3327"/>
      <c r="AL375" s="3327"/>
      <c r="AM375" s="3327"/>
      <c r="AN375" s="3327"/>
      <c r="AO375" s="3327"/>
      <c r="AP375" s="3327"/>
      <c r="AQ375" s="3327"/>
      <c r="AR375" s="3327"/>
      <c r="AS375" s="3327"/>
      <c r="AT375" s="3337"/>
      <c r="AU375" s="3338"/>
      <c r="AV375" s="1410">
        <f t="shared" si="236"/>
        <v>0</v>
      </c>
      <c r="AW375" s="1410">
        <f t="shared" si="237"/>
        <v>0</v>
      </c>
      <c r="AX375" s="1410">
        <f t="shared" si="238"/>
        <v>0</v>
      </c>
      <c r="AY375" s="3352">
        <f t="shared" si="213"/>
        <v>0</v>
      </c>
      <c r="AZ375" s="3307">
        <f t="shared" si="214"/>
        <v>0</v>
      </c>
      <c r="BA375" s="3307">
        <f t="shared" si="215"/>
        <v>0</v>
      </c>
      <c r="BB375" s="3307">
        <f t="shared" si="216"/>
        <v>0</v>
      </c>
      <c r="BC375" s="3307">
        <f t="shared" si="217"/>
        <v>0</v>
      </c>
      <c r="BD375" s="3307">
        <f t="shared" si="218"/>
        <v>0</v>
      </c>
      <c r="BE375" s="3307">
        <f t="shared" si="219"/>
        <v>0</v>
      </c>
      <c r="BF375" s="3307">
        <f t="shared" si="220"/>
        <v>0</v>
      </c>
      <c r="BG375" s="3307">
        <f t="shared" si="221"/>
        <v>0</v>
      </c>
      <c r="BH375" s="3307">
        <f t="shared" si="222"/>
        <v>0</v>
      </c>
      <c r="BI375" s="3307">
        <f t="shared" si="223"/>
        <v>0</v>
      </c>
      <c r="BJ375" s="3307">
        <f t="shared" si="224"/>
        <v>0</v>
      </c>
      <c r="BK375" s="3307">
        <f t="shared" si="225"/>
        <v>0</v>
      </c>
      <c r="BL375" s="3307">
        <f t="shared" si="226"/>
        <v>0</v>
      </c>
      <c r="BM375" s="3307">
        <f t="shared" si="227"/>
        <v>0</v>
      </c>
      <c r="BN375" s="3307">
        <f t="shared" si="228"/>
        <v>0</v>
      </c>
      <c r="BO375" s="3307">
        <f t="shared" si="229"/>
        <v>0</v>
      </c>
      <c r="BP375" s="3307">
        <f t="shared" si="230"/>
        <v>0</v>
      </c>
      <c r="BQ375" s="3307">
        <f t="shared" si="231"/>
        <v>0</v>
      </c>
      <c r="BR375" s="3307">
        <f t="shared" si="232"/>
        <v>0</v>
      </c>
      <c r="BS375" s="3307">
        <f t="shared" si="233"/>
        <v>0</v>
      </c>
      <c r="BT375" s="3359">
        <f t="shared" si="234"/>
        <v>0</v>
      </c>
    </row>
    <row r="376" spans="1:72">
      <c r="A376" s="3304"/>
      <c r="B376" s="3305"/>
      <c r="C376" s="3305"/>
      <c r="D376" s="3306"/>
      <c r="E376" s="3307">
        <f t="shared" si="235"/>
        <v>0</v>
      </c>
      <c r="F376" s="3308"/>
      <c r="G376" s="3309">
        <f t="shared" si="210"/>
        <v>0</v>
      </c>
      <c r="H376" s="3310">
        <f t="shared" si="211"/>
        <v>0</v>
      </c>
      <c r="I376" s="3317"/>
      <c r="J376" s="3317"/>
      <c r="K376" s="3317"/>
      <c r="L376" s="3317"/>
      <c r="M376" s="3317"/>
      <c r="N376" s="3317"/>
      <c r="O376" s="3317"/>
      <c r="P376" s="3317"/>
      <c r="Q376" s="3317"/>
      <c r="R376" s="3317"/>
      <c r="S376" s="3317"/>
      <c r="T376" s="3317"/>
      <c r="U376" s="3317"/>
      <c r="V376" s="3317"/>
      <c r="W376" s="3317"/>
      <c r="X376" s="3317"/>
      <c r="Y376" s="3317"/>
      <c r="Z376" s="3317"/>
      <c r="AA376" s="3317"/>
      <c r="AB376" s="3317"/>
      <c r="AC376" s="3307">
        <f t="shared" si="212"/>
        <v>0</v>
      </c>
      <c r="AD376" s="3327"/>
      <c r="AE376" s="3327"/>
      <c r="AF376" s="3327"/>
      <c r="AG376" s="3327"/>
      <c r="AH376" s="3327"/>
      <c r="AI376" s="3327"/>
      <c r="AJ376" s="3327"/>
      <c r="AK376" s="3327"/>
      <c r="AL376" s="3327"/>
      <c r="AM376" s="3327"/>
      <c r="AN376" s="3327"/>
      <c r="AO376" s="3327"/>
      <c r="AP376" s="3327"/>
      <c r="AQ376" s="3327"/>
      <c r="AR376" s="3327"/>
      <c r="AS376" s="3327"/>
      <c r="AT376" s="3337"/>
      <c r="AU376" s="3338"/>
      <c r="AV376" s="1410">
        <f t="shared" si="236"/>
        <v>0</v>
      </c>
      <c r="AW376" s="1410">
        <f t="shared" si="237"/>
        <v>0</v>
      </c>
      <c r="AX376" s="1410">
        <f t="shared" si="238"/>
        <v>0</v>
      </c>
      <c r="AY376" s="3352">
        <f t="shared" si="213"/>
        <v>0</v>
      </c>
      <c r="AZ376" s="3307">
        <f t="shared" si="214"/>
        <v>0</v>
      </c>
      <c r="BA376" s="3307">
        <f t="shared" si="215"/>
        <v>0</v>
      </c>
      <c r="BB376" s="3307">
        <f t="shared" si="216"/>
        <v>0</v>
      </c>
      <c r="BC376" s="3307">
        <f t="shared" si="217"/>
        <v>0</v>
      </c>
      <c r="BD376" s="3307">
        <f t="shared" si="218"/>
        <v>0</v>
      </c>
      <c r="BE376" s="3307">
        <f t="shared" si="219"/>
        <v>0</v>
      </c>
      <c r="BF376" s="3307">
        <f t="shared" si="220"/>
        <v>0</v>
      </c>
      <c r="BG376" s="3307">
        <f t="shared" si="221"/>
        <v>0</v>
      </c>
      <c r="BH376" s="3307">
        <f t="shared" si="222"/>
        <v>0</v>
      </c>
      <c r="BI376" s="3307">
        <f t="shared" si="223"/>
        <v>0</v>
      </c>
      <c r="BJ376" s="3307">
        <f t="shared" si="224"/>
        <v>0</v>
      </c>
      <c r="BK376" s="3307">
        <f t="shared" si="225"/>
        <v>0</v>
      </c>
      <c r="BL376" s="3307">
        <f t="shared" si="226"/>
        <v>0</v>
      </c>
      <c r="BM376" s="3307">
        <f t="shared" si="227"/>
        <v>0</v>
      </c>
      <c r="BN376" s="3307">
        <f t="shared" si="228"/>
        <v>0</v>
      </c>
      <c r="BO376" s="3307">
        <f t="shared" si="229"/>
        <v>0</v>
      </c>
      <c r="BP376" s="3307">
        <f t="shared" si="230"/>
        <v>0</v>
      </c>
      <c r="BQ376" s="3307">
        <f t="shared" si="231"/>
        <v>0</v>
      </c>
      <c r="BR376" s="3307">
        <f t="shared" si="232"/>
        <v>0</v>
      </c>
      <c r="BS376" s="3307">
        <f t="shared" si="233"/>
        <v>0</v>
      </c>
      <c r="BT376" s="3359">
        <f t="shared" si="234"/>
        <v>0</v>
      </c>
    </row>
    <row r="377" spans="1:72">
      <c r="A377" s="3304"/>
      <c r="B377" s="3305"/>
      <c r="C377" s="3305"/>
      <c r="D377" s="3306"/>
      <c r="E377" s="3307">
        <f t="shared" si="235"/>
        <v>0</v>
      </c>
      <c r="F377" s="3308"/>
      <c r="G377" s="3309">
        <f t="shared" si="210"/>
        <v>0</v>
      </c>
      <c r="H377" s="3310">
        <f t="shared" si="211"/>
        <v>0</v>
      </c>
      <c r="I377" s="3317"/>
      <c r="J377" s="3317"/>
      <c r="K377" s="3317"/>
      <c r="L377" s="3317"/>
      <c r="M377" s="3317"/>
      <c r="N377" s="3317"/>
      <c r="O377" s="3317"/>
      <c r="P377" s="3317"/>
      <c r="Q377" s="3317"/>
      <c r="R377" s="3317"/>
      <c r="S377" s="3317"/>
      <c r="T377" s="3317"/>
      <c r="U377" s="3317"/>
      <c r="V377" s="3317"/>
      <c r="W377" s="3317"/>
      <c r="X377" s="3317"/>
      <c r="Y377" s="3317"/>
      <c r="Z377" s="3317"/>
      <c r="AA377" s="3317"/>
      <c r="AB377" s="3317"/>
      <c r="AC377" s="3307">
        <f t="shared" si="212"/>
        <v>0</v>
      </c>
      <c r="AD377" s="3327"/>
      <c r="AE377" s="3327"/>
      <c r="AF377" s="3327"/>
      <c r="AG377" s="3327"/>
      <c r="AH377" s="3327"/>
      <c r="AI377" s="3327"/>
      <c r="AJ377" s="3327"/>
      <c r="AK377" s="3327"/>
      <c r="AL377" s="3327"/>
      <c r="AM377" s="3327"/>
      <c r="AN377" s="3327"/>
      <c r="AO377" s="3327"/>
      <c r="AP377" s="3327"/>
      <c r="AQ377" s="3327"/>
      <c r="AR377" s="3327"/>
      <c r="AS377" s="3327"/>
      <c r="AT377" s="3337"/>
      <c r="AU377" s="3338"/>
      <c r="AV377" s="1410">
        <f t="shared" si="236"/>
        <v>0</v>
      </c>
      <c r="AW377" s="1410">
        <f t="shared" si="237"/>
        <v>0</v>
      </c>
      <c r="AX377" s="1410">
        <f t="shared" si="238"/>
        <v>0</v>
      </c>
      <c r="AY377" s="3352">
        <f t="shared" si="213"/>
        <v>0</v>
      </c>
      <c r="AZ377" s="3307">
        <f t="shared" si="214"/>
        <v>0</v>
      </c>
      <c r="BA377" s="3307">
        <f t="shared" si="215"/>
        <v>0</v>
      </c>
      <c r="BB377" s="3307">
        <f t="shared" si="216"/>
        <v>0</v>
      </c>
      <c r="BC377" s="3307">
        <f t="shared" si="217"/>
        <v>0</v>
      </c>
      <c r="BD377" s="3307">
        <f t="shared" si="218"/>
        <v>0</v>
      </c>
      <c r="BE377" s="3307">
        <f t="shared" si="219"/>
        <v>0</v>
      </c>
      <c r="BF377" s="3307">
        <f t="shared" si="220"/>
        <v>0</v>
      </c>
      <c r="BG377" s="3307">
        <f t="shared" si="221"/>
        <v>0</v>
      </c>
      <c r="BH377" s="3307">
        <f t="shared" si="222"/>
        <v>0</v>
      </c>
      <c r="BI377" s="3307">
        <f t="shared" si="223"/>
        <v>0</v>
      </c>
      <c r="BJ377" s="3307">
        <f t="shared" si="224"/>
        <v>0</v>
      </c>
      <c r="BK377" s="3307">
        <f t="shared" si="225"/>
        <v>0</v>
      </c>
      <c r="BL377" s="3307">
        <f t="shared" si="226"/>
        <v>0</v>
      </c>
      <c r="BM377" s="3307">
        <f t="shared" si="227"/>
        <v>0</v>
      </c>
      <c r="BN377" s="3307">
        <f t="shared" si="228"/>
        <v>0</v>
      </c>
      <c r="BO377" s="3307">
        <f t="shared" si="229"/>
        <v>0</v>
      </c>
      <c r="BP377" s="3307">
        <f t="shared" si="230"/>
        <v>0</v>
      </c>
      <c r="BQ377" s="3307">
        <f t="shared" si="231"/>
        <v>0</v>
      </c>
      <c r="BR377" s="3307">
        <f t="shared" si="232"/>
        <v>0</v>
      </c>
      <c r="BS377" s="3307">
        <f t="shared" si="233"/>
        <v>0</v>
      </c>
      <c r="BT377" s="3359">
        <f t="shared" si="234"/>
        <v>0</v>
      </c>
    </row>
    <row r="378" spans="1:72">
      <c r="A378" s="3304"/>
      <c r="B378" s="3305"/>
      <c r="C378" s="3305"/>
      <c r="D378" s="3306"/>
      <c r="E378" s="3307">
        <f t="shared" si="235"/>
        <v>0</v>
      </c>
      <c r="F378" s="3308"/>
      <c r="G378" s="3309">
        <f t="shared" si="210"/>
        <v>0</v>
      </c>
      <c r="H378" s="3310">
        <f t="shared" si="211"/>
        <v>0</v>
      </c>
      <c r="I378" s="3317"/>
      <c r="J378" s="3317"/>
      <c r="K378" s="3317"/>
      <c r="L378" s="3317"/>
      <c r="M378" s="3317"/>
      <c r="N378" s="3317"/>
      <c r="O378" s="3317"/>
      <c r="P378" s="3317"/>
      <c r="Q378" s="3317"/>
      <c r="R378" s="3317"/>
      <c r="S378" s="3317"/>
      <c r="T378" s="3317"/>
      <c r="U378" s="3317"/>
      <c r="V378" s="3317"/>
      <c r="W378" s="3317"/>
      <c r="X378" s="3317"/>
      <c r="Y378" s="3317"/>
      <c r="Z378" s="3317"/>
      <c r="AA378" s="3317"/>
      <c r="AB378" s="3317"/>
      <c r="AC378" s="3307">
        <f t="shared" si="212"/>
        <v>0</v>
      </c>
      <c r="AD378" s="3327"/>
      <c r="AE378" s="3327"/>
      <c r="AF378" s="3327"/>
      <c r="AG378" s="3327"/>
      <c r="AH378" s="3327"/>
      <c r="AI378" s="3327"/>
      <c r="AJ378" s="3327"/>
      <c r="AK378" s="3327"/>
      <c r="AL378" s="3327"/>
      <c r="AM378" s="3327"/>
      <c r="AN378" s="3327"/>
      <c r="AO378" s="3327"/>
      <c r="AP378" s="3327"/>
      <c r="AQ378" s="3327"/>
      <c r="AR378" s="3327"/>
      <c r="AS378" s="3327"/>
      <c r="AT378" s="3337"/>
      <c r="AU378" s="3338"/>
      <c r="AV378" s="1410">
        <f t="shared" si="236"/>
        <v>0</v>
      </c>
      <c r="AW378" s="1410">
        <f t="shared" si="237"/>
        <v>0</v>
      </c>
      <c r="AX378" s="1410">
        <f t="shared" si="238"/>
        <v>0</v>
      </c>
      <c r="AY378" s="3352">
        <f t="shared" si="213"/>
        <v>0</v>
      </c>
      <c r="AZ378" s="3307">
        <f t="shared" si="214"/>
        <v>0</v>
      </c>
      <c r="BA378" s="3307">
        <f t="shared" si="215"/>
        <v>0</v>
      </c>
      <c r="BB378" s="3307">
        <f t="shared" si="216"/>
        <v>0</v>
      </c>
      <c r="BC378" s="3307">
        <f t="shared" si="217"/>
        <v>0</v>
      </c>
      <c r="BD378" s="3307">
        <f t="shared" si="218"/>
        <v>0</v>
      </c>
      <c r="BE378" s="3307">
        <f t="shared" si="219"/>
        <v>0</v>
      </c>
      <c r="BF378" s="3307">
        <f t="shared" si="220"/>
        <v>0</v>
      </c>
      <c r="BG378" s="3307">
        <f t="shared" si="221"/>
        <v>0</v>
      </c>
      <c r="BH378" s="3307">
        <f t="shared" si="222"/>
        <v>0</v>
      </c>
      <c r="BI378" s="3307">
        <f t="shared" si="223"/>
        <v>0</v>
      </c>
      <c r="BJ378" s="3307">
        <f t="shared" si="224"/>
        <v>0</v>
      </c>
      <c r="BK378" s="3307">
        <f t="shared" si="225"/>
        <v>0</v>
      </c>
      <c r="BL378" s="3307">
        <f t="shared" si="226"/>
        <v>0</v>
      </c>
      <c r="BM378" s="3307">
        <f t="shared" si="227"/>
        <v>0</v>
      </c>
      <c r="BN378" s="3307">
        <f t="shared" si="228"/>
        <v>0</v>
      </c>
      <c r="BO378" s="3307">
        <f t="shared" si="229"/>
        <v>0</v>
      </c>
      <c r="BP378" s="3307">
        <f t="shared" si="230"/>
        <v>0</v>
      </c>
      <c r="BQ378" s="3307">
        <f t="shared" si="231"/>
        <v>0</v>
      </c>
      <c r="BR378" s="3307">
        <f t="shared" si="232"/>
        <v>0</v>
      </c>
      <c r="BS378" s="3307">
        <f t="shared" si="233"/>
        <v>0</v>
      </c>
      <c r="BT378" s="3359">
        <f t="shared" si="234"/>
        <v>0</v>
      </c>
    </row>
    <row r="379" spans="1:72">
      <c r="A379" s="3304"/>
      <c r="B379" s="3305"/>
      <c r="C379" s="3305"/>
      <c r="D379" s="3306"/>
      <c r="E379" s="3307">
        <f t="shared" si="235"/>
        <v>0</v>
      </c>
      <c r="F379" s="3308"/>
      <c r="G379" s="3309">
        <f t="shared" si="210"/>
        <v>0</v>
      </c>
      <c r="H379" s="3310">
        <f t="shared" si="211"/>
        <v>0</v>
      </c>
      <c r="I379" s="3317"/>
      <c r="J379" s="3317"/>
      <c r="K379" s="3317"/>
      <c r="L379" s="3317"/>
      <c r="M379" s="3317"/>
      <c r="N379" s="3317"/>
      <c r="O379" s="3317"/>
      <c r="P379" s="3317"/>
      <c r="Q379" s="3317"/>
      <c r="R379" s="3317"/>
      <c r="S379" s="3317"/>
      <c r="T379" s="3317"/>
      <c r="U379" s="3317"/>
      <c r="V379" s="3317"/>
      <c r="W379" s="3317"/>
      <c r="X379" s="3317"/>
      <c r="Y379" s="3317"/>
      <c r="Z379" s="3317"/>
      <c r="AA379" s="3317"/>
      <c r="AB379" s="3317"/>
      <c r="AC379" s="3307">
        <f t="shared" si="212"/>
        <v>0</v>
      </c>
      <c r="AD379" s="3327"/>
      <c r="AE379" s="3327"/>
      <c r="AF379" s="3327"/>
      <c r="AG379" s="3327"/>
      <c r="AH379" s="3327"/>
      <c r="AI379" s="3327"/>
      <c r="AJ379" s="3327"/>
      <c r="AK379" s="3327"/>
      <c r="AL379" s="3327"/>
      <c r="AM379" s="3327"/>
      <c r="AN379" s="3327"/>
      <c r="AO379" s="3327"/>
      <c r="AP379" s="3327"/>
      <c r="AQ379" s="3327"/>
      <c r="AR379" s="3327"/>
      <c r="AS379" s="3327"/>
      <c r="AT379" s="3337"/>
      <c r="AU379" s="3338"/>
      <c r="AV379" s="1410">
        <f t="shared" si="236"/>
        <v>0</v>
      </c>
      <c r="AW379" s="1410">
        <f t="shared" si="237"/>
        <v>0</v>
      </c>
      <c r="AX379" s="1410">
        <f t="shared" si="238"/>
        <v>0</v>
      </c>
      <c r="AY379" s="3352">
        <f t="shared" si="213"/>
        <v>0</v>
      </c>
      <c r="AZ379" s="3307">
        <f t="shared" si="214"/>
        <v>0</v>
      </c>
      <c r="BA379" s="3307">
        <f t="shared" si="215"/>
        <v>0</v>
      </c>
      <c r="BB379" s="3307">
        <f t="shared" si="216"/>
        <v>0</v>
      </c>
      <c r="BC379" s="3307">
        <f t="shared" si="217"/>
        <v>0</v>
      </c>
      <c r="BD379" s="3307">
        <f t="shared" si="218"/>
        <v>0</v>
      </c>
      <c r="BE379" s="3307">
        <f t="shared" si="219"/>
        <v>0</v>
      </c>
      <c r="BF379" s="3307">
        <f t="shared" si="220"/>
        <v>0</v>
      </c>
      <c r="BG379" s="3307">
        <f t="shared" si="221"/>
        <v>0</v>
      </c>
      <c r="BH379" s="3307">
        <f t="shared" si="222"/>
        <v>0</v>
      </c>
      <c r="BI379" s="3307">
        <f t="shared" si="223"/>
        <v>0</v>
      </c>
      <c r="BJ379" s="3307">
        <f t="shared" si="224"/>
        <v>0</v>
      </c>
      <c r="BK379" s="3307">
        <f t="shared" si="225"/>
        <v>0</v>
      </c>
      <c r="BL379" s="3307">
        <f t="shared" si="226"/>
        <v>0</v>
      </c>
      <c r="BM379" s="3307">
        <f t="shared" si="227"/>
        <v>0</v>
      </c>
      <c r="BN379" s="3307">
        <f t="shared" si="228"/>
        <v>0</v>
      </c>
      <c r="BO379" s="3307">
        <f t="shared" si="229"/>
        <v>0</v>
      </c>
      <c r="BP379" s="3307">
        <f t="shared" si="230"/>
        <v>0</v>
      </c>
      <c r="BQ379" s="3307">
        <f t="shared" si="231"/>
        <v>0</v>
      </c>
      <c r="BR379" s="3307">
        <f t="shared" si="232"/>
        <v>0</v>
      </c>
      <c r="BS379" s="3307">
        <f t="shared" si="233"/>
        <v>0</v>
      </c>
      <c r="BT379" s="3359">
        <f t="shared" si="234"/>
        <v>0</v>
      </c>
    </row>
    <row r="380" spans="1:72">
      <c r="A380" s="3304"/>
      <c r="B380" s="3305"/>
      <c r="C380" s="3305"/>
      <c r="D380" s="3306"/>
      <c r="E380" s="3307">
        <f t="shared" si="235"/>
        <v>0</v>
      </c>
      <c r="F380" s="3308"/>
      <c r="G380" s="3309">
        <f t="shared" si="210"/>
        <v>0</v>
      </c>
      <c r="H380" s="3310">
        <f t="shared" si="211"/>
        <v>0</v>
      </c>
      <c r="I380" s="3317"/>
      <c r="J380" s="3317"/>
      <c r="K380" s="3317"/>
      <c r="L380" s="3317"/>
      <c r="M380" s="3317"/>
      <c r="N380" s="3317"/>
      <c r="O380" s="3317"/>
      <c r="P380" s="3317"/>
      <c r="Q380" s="3317"/>
      <c r="R380" s="3317"/>
      <c r="S380" s="3317"/>
      <c r="T380" s="3317"/>
      <c r="U380" s="3317"/>
      <c r="V380" s="3317"/>
      <c r="W380" s="3317"/>
      <c r="X380" s="3317"/>
      <c r="Y380" s="3317"/>
      <c r="Z380" s="3317"/>
      <c r="AA380" s="3317"/>
      <c r="AB380" s="3317"/>
      <c r="AC380" s="3307">
        <f t="shared" si="212"/>
        <v>0</v>
      </c>
      <c r="AD380" s="3327"/>
      <c r="AE380" s="3327"/>
      <c r="AF380" s="3327"/>
      <c r="AG380" s="3327"/>
      <c r="AH380" s="3327"/>
      <c r="AI380" s="3327"/>
      <c r="AJ380" s="3327"/>
      <c r="AK380" s="3327"/>
      <c r="AL380" s="3327"/>
      <c r="AM380" s="3327"/>
      <c r="AN380" s="3327"/>
      <c r="AO380" s="3327"/>
      <c r="AP380" s="3327"/>
      <c r="AQ380" s="3327"/>
      <c r="AR380" s="3327"/>
      <c r="AS380" s="3327"/>
      <c r="AT380" s="3337"/>
      <c r="AU380" s="3338"/>
      <c r="AV380" s="1410">
        <f t="shared" si="236"/>
        <v>0</v>
      </c>
      <c r="AW380" s="1410">
        <f t="shared" si="237"/>
        <v>0</v>
      </c>
      <c r="AX380" s="1410">
        <f t="shared" si="238"/>
        <v>0</v>
      </c>
      <c r="AY380" s="3352">
        <f t="shared" si="213"/>
        <v>0</v>
      </c>
      <c r="AZ380" s="3307">
        <f t="shared" si="214"/>
        <v>0</v>
      </c>
      <c r="BA380" s="3307">
        <f t="shared" si="215"/>
        <v>0</v>
      </c>
      <c r="BB380" s="3307">
        <f t="shared" si="216"/>
        <v>0</v>
      </c>
      <c r="BC380" s="3307">
        <f t="shared" si="217"/>
        <v>0</v>
      </c>
      <c r="BD380" s="3307">
        <f t="shared" si="218"/>
        <v>0</v>
      </c>
      <c r="BE380" s="3307">
        <f t="shared" si="219"/>
        <v>0</v>
      </c>
      <c r="BF380" s="3307">
        <f t="shared" si="220"/>
        <v>0</v>
      </c>
      <c r="BG380" s="3307">
        <f t="shared" si="221"/>
        <v>0</v>
      </c>
      <c r="BH380" s="3307">
        <f t="shared" si="222"/>
        <v>0</v>
      </c>
      <c r="BI380" s="3307">
        <f t="shared" si="223"/>
        <v>0</v>
      </c>
      <c r="BJ380" s="3307">
        <f t="shared" si="224"/>
        <v>0</v>
      </c>
      <c r="BK380" s="3307">
        <f t="shared" si="225"/>
        <v>0</v>
      </c>
      <c r="BL380" s="3307">
        <f t="shared" si="226"/>
        <v>0</v>
      </c>
      <c r="BM380" s="3307">
        <f t="shared" si="227"/>
        <v>0</v>
      </c>
      <c r="BN380" s="3307">
        <f t="shared" si="228"/>
        <v>0</v>
      </c>
      <c r="BO380" s="3307">
        <f t="shared" si="229"/>
        <v>0</v>
      </c>
      <c r="BP380" s="3307">
        <f t="shared" si="230"/>
        <v>0</v>
      </c>
      <c r="BQ380" s="3307">
        <f t="shared" si="231"/>
        <v>0</v>
      </c>
      <c r="BR380" s="3307">
        <f t="shared" si="232"/>
        <v>0</v>
      </c>
      <c r="BS380" s="3307">
        <f t="shared" si="233"/>
        <v>0</v>
      </c>
      <c r="BT380" s="3359">
        <f t="shared" si="234"/>
        <v>0</v>
      </c>
    </row>
    <row r="381" spans="1:72">
      <c r="A381" s="3304"/>
      <c r="B381" s="3305"/>
      <c r="C381" s="3305"/>
      <c r="D381" s="3306"/>
      <c r="E381" s="3307">
        <f t="shared" si="235"/>
        <v>0</v>
      </c>
      <c r="F381" s="3308"/>
      <c r="G381" s="3309">
        <f t="shared" si="210"/>
        <v>0</v>
      </c>
      <c r="H381" s="3310">
        <f t="shared" si="211"/>
        <v>0</v>
      </c>
      <c r="I381" s="3317"/>
      <c r="J381" s="3317"/>
      <c r="K381" s="3317"/>
      <c r="L381" s="3317"/>
      <c r="M381" s="3317"/>
      <c r="N381" s="3317"/>
      <c r="O381" s="3317"/>
      <c r="P381" s="3317"/>
      <c r="Q381" s="3317"/>
      <c r="R381" s="3317"/>
      <c r="S381" s="3317"/>
      <c r="T381" s="3317"/>
      <c r="U381" s="3317"/>
      <c r="V381" s="3317"/>
      <c r="W381" s="3317"/>
      <c r="X381" s="3317"/>
      <c r="Y381" s="3317"/>
      <c r="Z381" s="3317"/>
      <c r="AA381" s="3317"/>
      <c r="AB381" s="3317"/>
      <c r="AC381" s="3307">
        <f t="shared" si="212"/>
        <v>0</v>
      </c>
      <c r="AD381" s="3327"/>
      <c r="AE381" s="3327"/>
      <c r="AF381" s="3327"/>
      <c r="AG381" s="3327"/>
      <c r="AH381" s="3327"/>
      <c r="AI381" s="3327"/>
      <c r="AJ381" s="3327"/>
      <c r="AK381" s="3327"/>
      <c r="AL381" s="3327"/>
      <c r="AM381" s="3327"/>
      <c r="AN381" s="3327"/>
      <c r="AO381" s="3327"/>
      <c r="AP381" s="3327"/>
      <c r="AQ381" s="3327"/>
      <c r="AR381" s="3327"/>
      <c r="AS381" s="3327"/>
      <c r="AT381" s="3337"/>
      <c r="AU381" s="3338"/>
      <c r="AV381" s="1410">
        <f t="shared" si="236"/>
        <v>0</v>
      </c>
      <c r="AW381" s="1410">
        <f t="shared" si="237"/>
        <v>0</v>
      </c>
      <c r="AX381" s="1410">
        <f t="shared" si="238"/>
        <v>0</v>
      </c>
      <c r="AY381" s="3352">
        <f t="shared" si="213"/>
        <v>0</v>
      </c>
      <c r="AZ381" s="3307">
        <f t="shared" si="214"/>
        <v>0</v>
      </c>
      <c r="BA381" s="3307">
        <f t="shared" si="215"/>
        <v>0</v>
      </c>
      <c r="BB381" s="3307">
        <f t="shared" si="216"/>
        <v>0</v>
      </c>
      <c r="BC381" s="3307">
        <f t="shared" si="217"/>
        <v>0</v>
      </c>
      <c r="BD381" s="3307">
        <f t="shared" si="218"/>
        <v>0</v>
      </c>
      <c r="BE381" s="3307">
        <f t="shared" si="219"/>
        <v>0</v>
      </c>
      <c r="BF381" s="3307">
        <f t="shared" si="220"/>
        <v>0</v>
      </c>
      <c r="BG381" s="3307">
        <f t="shared" si="221"/>
        <v>0</v>
      </c>
      <c r="BH381" s="3307">
        <f t="shared" si="222"/>
        <v>0</v>
      </c>
      <c r="BI381" s="3307">
        <f t="shared" si="223"/>
        <v>0</v>
      </c>
      <c r="BJ381" s="3307">
        <f t="shared" si="224"/>
        <v>0</v>
      </c>
      <c r="BK381" s="3307">
        <f t="shared" si="225"/>
        <v>0</v>
      </c>
      <c r="BL381" s="3307">
        <f t="shared" si="226"/>
        <v>0</v>
      </c>
      <c r="BM381" s="3307">
        <f t="shared" si="227"/>
        <v>0</v>
      </c>
      <c r="BN381" s="3307">
        <f t="shared" si="228"/>
        <v>0</v>
      </c>
      <c r="BO381" s="3307">
        <f t="shared" si="229"/>
        <v>0</v>
      </c>
      <c r="BP381" s="3307">
        <f t="shared" si="230"/>
        <v>0</v>
      </c>
      <c r="BQ381" s="3307">
        <f t="shared" si="231"/>
        <v>0</v>
      </c>
      <c r="BR381" s="3307">
        <f t="shared" si="232"/>
        <v>0</v>
      </c>
      <c r="BS381" s="3307">
        <f t="shared" si="233"/>
        <v>0</v>
      </c>
      <c r="BT381" s="3359">
        <f t="shared" si="234"/>
        <v>0</v>
      </c>
    </row>
    <row r="382" spans="1:72">
      <c r="A382" s="3304"/>
      <c r="B382" s="3305"/>
      <c r="C382" s="3305"/>
      <c r="D382" s="3306"/>
      <c r="E382" s="3307">
        <f t="shared" si="235"/>
        <v>0</v>
      </c>
      <c r="F382" s="3308"/>
      <c r="G382" s="3309">
        <f t="shared" si="210"/>
        <v>0</v>
      </c>
      <c r="H382" s="3310">
        <f t="shared" si="211"/>
        <v>0</v>
      </c>
      <c r="I382" s="3317"/>
      <c r="J382" s="3317"/>
      <c r="K382" s="3317"/>
      <c r="L382" s="3317"/>
      <c r="M382" s="3317"/>
      <c r="N382" s="3317"/>
      <c r="O382" s="3317"/>
      <c r="P382" s="3317"/>
      <c r="Q382" s="3317"/>
      <c r="R382" s="3317"/>
      <c r="S382" s="3317"/>
      <c r="T382" s="3317"/>
      <c r="U382" s="3317"/>
      <c r="V382" s="3317"/>
      <c r="W382" s="3317"/>
      <c r="X382" s="3317"/>
      <c r="Y382" s="3317"/>
      <c r="Z382" s="3317"/>
      <c r="AA382" s="3317"/>
      <c r="AB382" s="3317"/>
      <c r="AC382" s="3307">
        <f t="shared" si="212"/>
        <v>0</v>
      </c>
      <c r="AD382" s="3327"/>
      <c r="AE382" s="3327"/>
      <c r="AF382" s="3327"/>
      <c r="AG382" s="3327"/>
      <c r="AH382" s="3327"/>
      <c r="AI382" s="3327"/>
      <c r="AJ382" s="3327"/>
      <c r="AK382" s="3327"/>
      <c r="AL382" s="3327"/>
      <c r="AM382" s="3327"/>
      <c r="AN382" s="3327"/>
      <c r="AO382" s="3327"/>
      <c r="AP382" s="3327"/>
      <c r="AQ382" s="3327"/>
      <c r="AR382" s="3327"/>
      <c r="AS382" s="3327"/>
      <c r="AT382" s="3337"/>
      <c r="AU382" s="3338"/>
      <c r="AV382" s="1410">
        <f t="shared" si="236"/>
        <v>0</v>
      </c>
      <c r="AW382" s="1410">
        <f t="shared" si="237"/>
        <v>0</v>
      </c>
      <c r="AX382" s="1410">
        <f t="shared" si="238"/>
        <v>0</v>
      </c>
      <c r="AY382" s="3352">
        <f t="shared" si="213"/>
        <v>0</v>
      </c>
      <c r="AZ382" s="3307">
        <f t="shared" si="214"/>
        <v>0</v>
      </c>
      <c r="BA382" s="3307">
        <f t="shared" si="215"/>
        <v>0</v>
      </c>
      <c r="BB382" s="3307">
        <f t="shared" si="216"/>
        <v>0</v>
      </c>
      <c r="BC382" s="3307">
        <f t="shared" si="217"/>
        <v>0</v>
      </c>
      <c r="BD382" s="3307">
        <f t="shared" si="218"/>
        <v>0</v>
      </c>
      <c r="BE382" s="3307">
        <f t="shared" si="219"/>
        <v>0</v>
      </c>
      <c r="BF382" s="3307">
        <f t="shared" si="220"/>
        <v>0</v>
      </c>
      <c r="BG382" s="3307">
        <f t="shared" si="221"/>
        <v>0</v>
      </c>
      <c r="BH382" s="3307">
        <f t="shared" si="222"/>
        <v>0</v>
      </c>
      <c r="BI382" s="3307">
        <f t="shared" si="223"/>
        <v>0</v>
      </c>
      <c r="BJ382" s="3307">
        <f t="shared" si="224"/>
        <v>0</v>
      </c>
      <c r="BK382" s="3307">
        <f t="shared" si="225"/>
        <v>0</v>
      </c>
      <c r="BL382" s="3307">
        <f t="shared" si="226"/>
        <v>0</v>
      </c>
      <c r="BM382" s="3307">
        <f t="shared" si="227"/>
        <v>0</v>
      </c>
      <c r="BN382" s="3307">
        <f t="shared" si="228"/>
        <v>0</v>
      </c>
      <c r="BO382" s="3307">
        <f t="shared" si="229"/>
        <v>0</v>
      </c>
      <c r="BP382" s="3307">
        <f t="shared" si="230"/>
        <v>0</v>
      </c>
      <c r="BQ382" s="3307">
        <f t="shared" si="231"/>
        <v>0</v>
      </c>
      <c r="BR382" s="3307">
        <f t="shared" si="232"/>
        <v>0</v>
      </c>
      <c r="BS382" s="3307">
        <f t="shared" si="233"/>
        <v>0</v>
      </c>
      <c r="BT382" s="3359">
        <f t="shared" si="234"/>
        <v>0</v>
      </c>
    </row>
    <row r="383" spans="1:72">
      <c r="A383" s="3304"/>
      <c r="B383" s="3305"/>
      <c r="C383" s="3305"/>
      <c r="D383" s="3306"/>
      <c r="E383" s="3307">
        <f t="shared" si="235"/>
        <v>0</v>
      </c>
      <c r="F383" s="3308"/>
      <c r="G383" s="3309">
        <f t="shared" si="210"/>
        <v>0</v>
      </c>
      <c r="H383" s="3310">
        <f t="shared" si="211"/>
        <v>0</v>
      </c>
      <c r="I383" s="3317"/>
      <c r="J383" s="3317"/>
      <c r="K383" s="3317"/>
      <c r="L383" s="3317"/>
      <c r="M383" s="3317"/>
      <c r="N383" s="3317"/>
      <c r="O383" s="3317"/>
      <c r="P383" s="3317"/>
      <c r="Q383" s="3317"/>
      <c r="R383" s="3317"/>
      <c r="S383" s="3317"/>
      <c r="T383" s="3317"/>
      <c r="U383" s="3317"/>
      <c r="V383" s="3317"/>
      <c r="W383" s="3317"/>
      <c r="X383" s="3317"/>
      <c r="Y383" s="3317"/>
      <c r="Z383" s="3317"/>
      <c r="AA383" s="3317"/>
      <c r="AB383" s="3317"/>
      <c r="AC383" s="3307">
        <f t="shared" si="212"/>
        <v>0</v>
      </c>
      <c r="AD383" s="3327"/>
      <c r="AE383" s="3327"/>
      <c r="AF383" s="3327"/>
      <c r="AG383" s="3327"/>
      <c r="AH383" s="3327"/>
      <c r="AI383" s="3327"/>
      <c r="AJ383" s="3327"/>
      <c r="AK383" s="3327"/>
      <c r="AL383" s="3327"/>
      <c r="AM383" s="3327"/>
      <c r="AN383" s="3327"/>
      <c r="AO383" s="3327"/>
      <c r="AP383" s="3327"/>
      <c r="AQ383" s="3327"/>
      <c r="AR383" s="3327"/>
      <c r="AS383" s="3327"/>
      <c r="AT383" s="3337"/>
      <c r="AU383" s="3338"/>
      <c r="AV383" s="1410">
        <f t="shared" si="236"/>
        <v>0</v>
      </c>
      <c r="AW383" s="1410">
        <f t="shared" si="237"/>
        <v>0</v>
      </c>
      <c r="AX383" s="1410">
        <f t="shared" si="238"/>
        <v>0</v>
      </c>
      <c r="AY383" s="3352">
        <f t="shared" si="213"/>
        <v>0</v>
      </c>
      <c r="AZ383" s="3307">
        <f t="shared" si="214"/>
        <v>0</v>
      </c>
      <c r="BA383" s="3307">
        <f t="shared" si="215"/>
        <v>0</v>
      </c>
      <c r="BB383" s="3307">
        <f t="shared" si="216"/>
        <v>0</v>
      </c>
      <c r="BC383" s="3307">
        <f t="shared" si="217"/>
        <v>0</v>
      </c>
      <c r="BD383" s="3307">
        <f t="shared" si="218"/>
        <v>0</v>
      </c>
      <c r="BE383" s="3307">
        <f t="shared" si="219"/>
        <v>0</v>
      </c>
      <c r="BF383" s="3307">
        <f t="shared" si="220"/>
        <v>0</v>
      </c>
      <c r="BG383" s="3307">
        <f t="shared" si="221"/>
        <v>0</v>
      </c>
      <c r="BH383" s="3307">
        <f t="shared" si="222"/>
        <v>0</v>
      </c>
      <c r="BI383" s="3307">
        <f t="shared" si="223"/>
        <v>0</v>
      </c>
      <c r="BJ383" s="3307">
        <f t="shared" si="224"/>
        <v>0</v>
      </c>
      <c r="BK383" s="3307">
        <f t="shared" si="225"/>
        <v>0</v>
      </c>
      <c r="BL383" s="3307">
        <f t="shared" si="226"/>
        <v>0</v>
      </c>
      <c r="BM383" s="3307">
        <f t="shared" si="227"/>
        <v>0</v>
      </c>
      <c r="BN383" s="3307">
        <f t="shared" si="228"/>
        <v>0</v>
      </c>
      <c r="BO383" s="3307">
        <f t="shared" si="229"/>
        <v>0</v>
      </c>
      <c r="BP383" s="3307">
        <f t="shared" si="230"/>
        <v>0</v>
      </c>
      <c r="BQ383" s="3307">
        <f t="shared" si="231"/>
        <v>0</v>
      </c>
      <c r="BR383" s="3307">
        <f t="shared" si="232"/>
        <v>0</v>
      </c>
      <c r="BS383" s="3307">
        <f t="shared" si="233"/>
        <v>0</v>
      </c>
      <c r="BT383" s="3359">
        <f t="shared" si="234"/>
        <v>0</v>
      </c>
    </row>
    <row r="384" spans="1:72">
      <c r="A384" s="3304"/>
      <c r="B384" s="3305"/>
      <c r="C384" s="3305"/>
      <c r="D384" s="3306"/>
      <c r="E384" s="3307">
        <f t="shared" si="235"/>
        <v>0</v>
      </c>
      <c r="F384" s="3308"/>
      <c r="G384" s="3309">
        <f t="shared" si="210"/>
        <v>0</v>
      </c>
      <c r="H384" s="3310">
        <f t="shared" si="211"/>
        <v>0</v>
      </c>
      <c r="I384" s="3317"/>
      <c r="J384" s="3317"/>
      <c r="K384" s="3317"/>
      <c r="L384" s="3317"/>
      <c r="M384" s="3317"/>
      <c r="N384" s="3317"/>
      <c r="O384" s="3317"/>
      <c r="P384" s="3317"/>
      <c r="Q384" s="3317"/>
      <c r="R384" s="3317"/>
      <c r="S384" s="3317"/>
      <c r="T384" s="3317"/>
      <c r="U384" s="3317"/>
      <c r="V384" s="3317"/>
      <c r="W384" s="3317"/>
      <c r="X384" s="3317"/>
      <c r="Y384" s="3317"/>
      <c r="Z384" s="3317"/>
      <c r="AA384" s="3317"/>
      <c r="AB384" s="3317"/>
      <c r="AC384" s="3307">
        <f t="shared" si="212"/>
        <v>0</v>
      </c>
      <c r="AD384" s="3327"/>
      <c r="AE384" s="3327"/>
      <c r="AF384" s="3327"/>
      <c r="AG384" s="3327"/>
      <c r="AH384" s="3327"/>
      <c r="AI384" s="3327"/>
      <c r="AJ384" s="3327"/>
      <c r="AK384" s="3327"/>
      <c r="AL384" s="3327"/>
      <c r="AM384" s="3327"/>
      <c r="AN384" s="3327"/>
      <c r="AO384" s="3327"/>
      <c r="AP384" s="3327"/>
      <c r="AQ384" s="3327"/>
      <c r="AR384" s="3327"/>
      <c r="AS384" s="3327"/>
      <c r="AT384" s="3337"/>
      <c r="AU384" s="3338"/>
      <c r="AV384" s="1410">
        <f t="shared" si="236"/>
        <v>0</v>
      </c>
      <c r="AW384" s="1410">
        <f t="shared" si="237"/>
        <v>0</v>
      </c>
      <c r="AX384" s="1410">
        <f t="shared" si="238"/>
        <v>0</v>
      </c>
      <c r="AY384" s="3352">
        <f t="shared" si="213"/>
        <v>0</v>
      </c>
      <c r="AZ384" s="3307">
        <f t="shared" si="214"/>
        <v>0</v>
      </c>
      <c r="BA384" s="3307">
        <f t="shared" si="215"/>
        <v>0</v>
      </c>
      <c r="BB384" s="3307">
        <f t="shared" si="216"/>
        <v>0</v>
      </c>
      <c r="BC384" s="3307">
        <f t="shared" si="217"/>
        <v>0</v>
      </c>
      <c r="BD384" s="3307">
        <f t="shared" si="218"/>
        <v>0</v>
      </c>
      <c r="BE384" s="3307">
        <f t="shared" si="219"/>
        <v>0</v>
      </c>
      <c r="BF384" s="3307">
        <f t="shared" si="220"/>
        <v>0</v>
      </c>
      <c r="BG384" s="3307">
        <f t="shared" si="221"/>
        <v>0</v>
      </c>
      <c r="BH384" s="3307">
        <f t="shared" si="222"/>
        <v>0</v>
      </c>
      <c r="BI384" s="3307">
        <f t="shared" si="223"/>
        <v>0</v>
      </c>
      <c r="BJ384" s="3307">
        <f t="shared" si="224"/>
        <v>0</v>
      </c>
      <c r="BK384" s="3307">
        <f t="shared" si="225"/>
        <v>0</v>
      </c>
      <c r="BL384" s="3307">
        <f t="shared" si="226"/>
        <v>0</v>
      </c>
      <c r="BM384" s="3307">
        <f t="shared" si="227"/>
        <v>0</v>
      </c>
      <c r="BN384" s="3307">
        <f t="shared" si="228"/>
        <v>0</v>
      </c>
      <c r="BO384" s="3307">
        <f t="shared" si="229"/>
        <v>0</v>
      </c>
      <c r="BP384" s="3307">
        <f t="shared" si="230"/>
        <v>0</v>
      </c>
      <c r="BQ384" s="3307">
        <f t="shared" si="231"/>
        <v>0</v>
      </c>
      <c r="BR384" s="3307">
        <f t="shared" si="232"/>
        <v>0</v>
      </c>
      <c r="BS384" s="3307">
        <f t="shared" si="233"/>
        <v>0</v>
      </c>
      <c r="BT384" s="3359">
        <f t="shared" si="234"/>
        <v>0</v>
      </c>
    </row>
    <row r="385" spans="1:72">
      <c r="A385" s="3304"/>
      <c r="B385" s="3305"/>
      <c r="C385" s="3305"/>
      <c r="D385" s="3306"/>
      <c r="E385" s="3307">
        <f t="shared" si="235"/>
        <v>0</v>
      </c>
      <c r="F385" s="3308"/>
      <c r="G385" s="3309">
        <f t="shared" si="210"/>
        <v>0</v>
      </c>
      <c r="H385" s="3310">
        <f t="shared" si="211"/>
        <v>0</v>
      </c>
      <c r="I385" s="3317"/>
      <c r="J385" s="3317"/>
      <c r="K385" s="3317"/>
      <c r="L385" s="3317"/>
      <c r="M385" s="3317"/>
      <c r="N385" s="3317"/>
      <c r="O385" s="3317"/>
      <c r="P385" s="3317"/>
      <c r="Q385" s="3317"/>
      <c r="R385" s="3317"/>
      <c r="S385" s="3317"/>
      <c r="T385" s="3317"/>
      <c r="U385" s="3317"/>
      <c r="V385" s="3317"/>
      <c r="W385" s="3317"/>
      <c r="X385" s="3317"/>
      <c r="Y385" s="3317"/>
      <c r="Z385" s="3317"/>
      <c r="AA385" s="3317"/>
      <c r="AB385" s="3317"/>
      <c r="AC385" s="3307">
        <f t="shared" si="212"/>
        <v>0</v>
      </c>
      <c r="AD385" s="3327"/>
      <c r="AE385" s="3327"/>
      <c r="AF385" s="3327"/>
      <c r="AG385" s="3327"/>
      <c r="AH385" s="3327"/>
      <c r="AI385" s="3327"/>
      <c r="AJ385" s="3327"/>
      <c r="AK385" s="3327"/>
      <c r="AL385" s="3327"/>
      <c r="AM385" s="3327"/>
      <c r="AN385" s="3327"/>
      <c r="AO385" s="3327"/>
      <c r="AP385" s="3327"/>
      <c r="AQ385" s="3327"/>
      <c r="AR385" s="3327"/>
      <c r="AS385" s="3327"/>
      <c r="AT385" s="3337"/>
      <c r="AU385" s="3338"/>
      <c r="AV385" s="1410">
        <f t="shared" si="236"/>
        <v>0</v>
      </c>
      <c r="AW385" s="1410">
        <f t="shared" si="237"/>
        <v>0</v>
      </c>
      <c r="AX385" s="1410">
        <f t="shared" si="238"/>
        <v>0</v>
      </c>
      <c r="AY385" s="3352">
        <f t="shared" si="213"/>
        <v>0</v>
      </c>
      <c r="AZ385" s="3307">
        <f t="shared" si="214"/>
        <v>0</v>
      </c>
      <c r="BA385" s="3307">
        <f t="shared" si="215"/>
        <v>0</v>
      </c>
      <c r="BB385" s="3307">
        <f t="shared" si="216"/>
        <v>0</v>
      </c>
      <c r="BC385" s="3307">
        <f t="shared" si="217"/>
        <v>0</v>
      </c>
      <c r="BD385" s="3307">
        <f t="shared" si="218"/>
        <v>0</v>
      </c>
      <c r="BE385" s="3307">
        <f t="shared" si="219"/>
        <v>0</v>
      </c>
      <c r="BF385" s="3307">
        <f t="shared" si="220"/>
        <v>0</v>
      </c>
      <c r="BG385" s="3307">
        <f t="shared" si="221"/>
        <v>0</v>
      </c>
      <c r="BH385" s="3307">
        <f t="shared" si="222"/>
        <v>0</v>
      </c>
      <c r="BI385" s="3307">
        <f t="shared" si="223"/>
        <v>0</v>
      </c>
      <c r="BJ385" s="3307">
        <f t="shared" si="224"/>
        <v>0</v>
      </c>
      <c r="BK385" s="3307">
        <f t="shared" si="225"/>
        <v>0</v>
      </c>
      <c r="BL385" s="3307">
        <f t="shared" si="226"/>
        <v>0</v>
      </c>
      <c r="BM385" s="3307">
        <f t="shared" si="227"/>
        <v>0</v>
      </c>
      <c r="BN385" s="3307">
        <f t="shared" si="228"/>
        <v>0</v>
      </c>
      <c r="BO385" s="3307">
        <f t="shared" si="229"/>
        <v>0</v>
      </c>
      <c r="BP385" s="3307">
        <f t="shared" si="230"/>
        <v>0</v>
      </c>
      <c r="BQ385" s="3307">
        <f t="shared" si="231"/>
        <v>0</v>
      </c>
      <c r="BR385" s="3307">
        <f t="shared" si="232"/>
        <v>0</v>
      </c>
      <c r="BS385" s="3307">
        <f t="shared" si="233"/>
        <v>0</v>
      </c>
      <c r="BT385" s="3359">
        <f t="shared" si="234"/>
        <v>0</v>
      </c>
    </row>
    <row r="386" spans="1:72">
      <c r="A386" s="3304"/>
      <c r="B386" s="3305"/>
      <c r="C386" s="3305"/>
      <c r="D386" s="3306"/>
      <c r="E386" s="3307">
        <f t="shared" si="235"/>
        <v>0</v>
      </c>
      <c r="F386" s="3308"/>
      <c r="G386" s="3309">
        <f t="shared" si="210"/>
        <v>0</v>
      </c>
      <c r="H386" s="3310">
        <f t="shared" si="211"/>
        <v>0</v>
      </c>
      <c r="I386" s="3317"/>
      <c r="J386" s="3317"/>
      <c r="K386" s="3317"/>
      <c r="L386" s="3317"/>
      <c r="M386" s="3317"/>
      <c r="N386" s="3317"/>
      <c r="O386" s="3317"/>
      <c r="P386" s="3317"/>
      <c r="Q386" s="3317"/>
      <c r="R386" s="3317"/>
      <c r="S386" s="3317"/>
      <c r="T386" s="3317"/>
      <c r="U386" s="3317"/>
      <c r="V386" s="3317"/>
      <c r="W386" s="3317"/>
      <c r="X386" s="3317"/>
      <c r="Y386" s="3317"/>
      <c r="Z386" s="3317"/>
      <c r="AA386" s="3317"/>
      <c r="AB386" s="3317"/>
      <c r="AC386" s="3307">
        <f t="shared" si="212"/>
        <v>0</v>
      </c>
      <c r="AD386" s="3327"/>
      <c r="AE386" s="3327"/>
      <c r="AF386" s="3327"/>
      <c r="AG386" s="3327"/>
      <c r="AH386" s="3327"/>
      <c r="AI386" s="3327"/>
      <c r="AJ386" s="3327"/>
      <c r="AK386" s="3327"/>
      <c r="AL386" s="3327"/>
      <c r="AM386" s="3327"/>
      <c r="AN386" s="3327"/>
      <c r="AO386" s="3327"/>
      <c r="AP386" s="3327"/>
      <c r="AQ386" s="3327"/>
      <c r="AR386" s="3327"/>
      <c r="AS386" s="3327"/>
      <c r="AT386" s="3337"/>
      <c r="AU386" s="3338"/>
      <c r="AV386" s="1410">
        <f t="shared" si="236"/>
        <v>0</v>
      </c>
      <c r="AW386" s="1410">
        <f t="shared" si="237"/>
        <v>0</v>
      </c>
      <c r="AX386" s="1410">
        <f t="shared" si="238"/>
        <v>0</v>
      </c>
      <c r="AY386" s="3352">
        <f t="shared" si="213"/>
        <v>0</v>
      </c>
      <c r="AZ386" s="3307">
        <f t="shared" si="214"/>
        <v>0</v>
      </c>
      <c r="BA386" s="3307">
        <f t="shared" si="215"/>
        <v>0</v>
      </c>
      <c r="BB386" s="3307">
        <f t="shared" si="216"/>
        <v>0</v>
      </c>
      <c r="BC386" s="3307">
        <f t="shared" si="217"/>
        <v>0</v>
      </c>
      <c r="BD386" s="3307">
        <f t="shared" si="218"/>
        <v>0</v>
      </c>
      <c r="BE386" s="3307">
        <f t="shared" si="219"/>
        <v>0</v>
      </c>
      <c r="BF386" s="3307">
        <f t="shared" si="220"/>
        <v>0</v>
      </c>
      <c r="BG386" s="3307">
        <f t="shared" si="221"/>
        <v>0</v>
      </c>
      <c r="BH386" s="3307">
        <f t="shared" si="222"/>
        <v>0</v>
      </c>
      <c r="BI386" s="3307">
        <f t="shared" si="223"/>
        <v>0</v>
      </c>
      <c r="BJ386" s="3307">
        <f t="shared" si="224"/>
        <v>0</v>
      </c>
      <c r="BK386" s="3307">
        <f t="shared" si="225"/>
        <v>0</v>
      </c>
      <c r="BL386" s="3307">
        <f t="shared" si="226"/>
        <v>0</v>
      </c>
      <c r="BM386" s="3307">
        <f t="shared" si="227"/>
        <v>0</v>
      </c>
      <c r="BN386" s="3307">
        <f t="shared" si="228"/>
        <v>0</v>
      </c>
      <c r="BO386" s="3307">
        <f t="shared" si="229"/>
        <v>0</v>
      </c>
      <c r="BP386" s="3307">
        <f t="shared" si="230"/>
        <v>0</v>
      </c>
      <c r="BQ386" s="3307">
        <f t="shared" si="231"/>
        <v>0</v>
      </c>
      <c r="BR386" s="3307">
        <f t="shared" si="232"/>
        <v>0</v>
      </c>
      <c r="BS386" s="3307">
        <f t="shared" si="233"/>
        <v>0</v>
      </c>
      <c r="BT386" s="3359">
        <f t="shared" si="234"/>
        <v>0</v>
      </c>
    </row>
    <row r="387" spans="1:72">
      <c r="A387" s="3304"/>
      <c r="B387" s="3305"/>
      <c r="C387" s="3305"/>
      <c r="D387" s="3306"/>
      <c r="E387" s="3307">
        <f t="shared" si="235"/>
        <v>0</v>
      </c>
      <c r="F387" s="3308"/>
      <c r="G387" s="3309">
        <f t="shared" si="210"/>
        <v>0</v>
      </c>
      <c r="H387" s="3310">
        <f t="shared" si="211"/>
        <v>0</v>
      </c>
      <c r="I387" s="3317"/>
      <c r="J387" s="3317"/>
      <c r="K387" s="3317"/>
      <c r="L387" s="3317"/>
      <c r="M387" s="3317"/>
      <c r="N387" s="3317"/>
      <c r="O387" s="3317"/>
      <c r="P387" s="3317"/>
      <c r="Q387" s="3317"/>
      <c r="R387" s="3317"/>
      <c r="S387" s="3317"/>
      <c r="T387" s="3317"/>
      <c r="U387" s="3317"/>
      <c r="V387" s="3317"/>
      <c r="W387" s="3317"/>
      <c r="X387" s="3317"/>
      <c r="Y387" s="3317"/>
      <c r="Z387" s="3317"/>
      <c r="AA387" s="3317"/>
      <c r="AB387" s="3317"/>
      <c r="AC387" s="3307">
        <f t="shared" si="212"/>
        <v>0</v>
      </c>
      <c r="AD387" s="3327"/>
      <c r="AE387" s="3327"/>
      <c r="AF387" s="3327"/>
      <c r="AG387" s="3327"/>
      <c r="AH387" s="3327"/>
      <c r="AI387" s="3327"/>
      <c r="AJ387" s="3327"/>
      <c r="AK387" s="3327"/>
      <c r="AL387" s="3327"/>
      <c r="AM387" s="3327"/>
      <c r="AN387" s="3327"/>
      <c r="AO387" s="3327"/>
      <c r="AP387" s="3327"/>
      <c r="AQ387" s="3327"/>
      <c r="AR387" s="3327"/>
      <c r="AS387" s="3327"/>
      <c r="AT387" s="3337"/>
      <c r="AU387" s="3338"/>
      <c r="AV387" s="1410">
        <f t="shared" si="236"/>
        <v>0</v>
      </c>
      <c r="AW387" s="1410">
        <f t="shared" si="237"/>
        <v>0</v>
      </c>
      <c r="AX387" s="1410">
        <f t="shared" si="238"/>
        <v>0</v>
      </c>
      <c r="AY387" s="3352">
        <f t="shared" si="213"/>
        <v>0</v>
      </c>
      <c r="AZ387" s="3307">
        <f t="shared" si="214"/>
        <v>0</v>
      </c>
      <c r="BA387" s="3307">
        <f t="shared" si="215"/>
        <v>0</v>
      </c>
      <c r="BB387" s="3307">
        <f t="shared" si="216"/>
        <v>0</v>
      </c>
      <c r="BC387" s="3307">
        <f t="shared" si="217"/>
        <v>0</v>
      </c>
      <c r="BD387" s="3307">
        <f t="shared" si="218"/>
        <v>0</v>
      </c>
      <c r="BE387" s="3307">
        <f t="shared" si="219"/>
        <v>0</v>
      </c>
      <c r="BF387" s="3307">
        <f t="shared" si="220"/>
        <v>0</v>
      </c>
      <c r="BG387" s="3307">
        <f t="shared" si="221"/>
        <v>0</v>
      </c>
      <c r="BH387" s="3307">
        <f t="shared" si="222"/>
        <v>0</v>
      </c>
      <c r="BI387" s="3307">
        <f t="shared" si="223"/>
        <v>0</v>
      </c>
      <c r="BJ387" s="3307">
        <f t="shared" si="224"/>
        <v>0</v>
      </c>
      <c r="BK387" s="3307">
        <f t="shared" si="225"/>
        <v>0</v>
      </c>
      <c r="BL387" s="3307">
        <f t="shared" si="226"/>
        <v>0</v>
      </c>
      <c r="BM387" s="3307">
        <f t="shared" si="227"/>
        <v>0</v>
      </c>
      <c r="BN387" s="3307">
        <f t="shared" si="228"/>
        <v>0</v>
      </c>
      <c r="BO387" s="3307">
        <f t="shared" si="229"/>
        <v>0</v>
      </c>
      <c r="BP387" s="3307">
        <f t="shared" si="230"/>
        <v>0</v>
      </c>
      <c r="BQ387" s="3307">
        <f t="shared" si="231"/>
        <v>0</v>
      </c>
      <c r="BR387" s="3307">
        <f t="shared" si="232"/>
        <v>0</v>
      </c>
      <c r="BS387" s="3307">
        <f t="shared" si="233"/>
        <v>0</v>
      </c>
      <c r="BT387" s="3359">
        <f t="shared" si="234"/>
        <v>0</v>
      </c>
    </row>
    <row r="388" spans="1:72">
      <c r="A388" s="3304"/>
      <c r="B388" s="3305"/>
      <c r="C388" s="3305"/>
      <c r="D388" s="3306"/>
      <c r="E388" s="3307">
        <f t="shared" si="235"/>
        <v>0</v>
      </c>
      <c r="F388" s="3308"/>
      <c r="G388" s="3309">
        <f t="shared" si="210"/>
        <v>0</v>
      </c>
      <c r="H388" s="3310">
        <f t="shared" si="211"/>
        <v>0</v>
      </c>
      <c r="I388" s="3317"/>
      <c r="J388" s="3317"/>
      <c r="K388" s="3317"/>
      <c r="L388" s="3317"/>
      <c r="M388" s="3317"/>
      <c r="N388" s="3317"/>
      <c r="O388" s="3317"/>
      <c r="P388" s="3317"/>
      <c r="Q388" s="3317"/>
      <c r="R388" s="3317"/>
      <c r="S388" s="3317"/>
      <c r="T388" s="3317"/>
      <c r="U388" s="3317"/>
      <c r="V388" s="3317"/>
      <c r="W388" s="3317"/>
      <c r="X388" s="3317"/>
      <c r="Y388" s="3317"/>
      <c r="Z388" s="3317"/>
      <c r="AA388" s="3317"/>
      <c r="AB388" s="3317"/>
      <c r="AC388" s="3307">
        <f t="shared" si="212"/>
        <v>0</v>
      </c>
      <c r="AD388" s="3327"/>
      <c r="AE388" s="3327"/>
      <c r="AF388" s="3327"/>
      <c r="AG388" s="3327"/>
      <c r="AH388" s="3327"/>
      <c r="AI388" s="3327"/>
      <c r="AJ388" s="3327"/>
      <c r="AK388" s="3327"/>
      <c r="AL388" s="3327"/>
      <c r="AM388" s="3327"/>
      <c r="AN388" s="3327"/>
      <c r="AO388" s="3327"/>
      <c r="AP388" s="3327"/>
      <c r="AQ388" s="3327"/>
      <c r="AR388" s="3327"/>
      <c r="AS388" s="3327"/>
      <c r="AT388" s="3337"/>
      <c r="AU388" s="3338"/>
      <c r="AV388" s="1410">
        <f t="shared" si="236"/>
        <v>0</v>
      </c>
      <c r="AW388" s="1410">
        <f t="shared" si="237"/>
        <v>0</v>
      </c>
      <c r="AX388" s="1410">
        <f t="shared" si="238"/>
        <v>0</v>
      </c>
      <c r="AY388" s="3352">
        <f t="shared" si="213"/>
        <v>0</v>
      </c>
      <c r="AZ388" s="3307">
        <f t="shared" si="214"/>
        <v>0</v>
      </c>
      <c r="BA388" s="3307">
        <f t="shared" si="215"/>
        <v>0</v>
      </c>
      <c r="BB388" s="3307">
        <f t="shared" si="216"/>
        <v>0</v>
      </c>
      <c r="BC388" s="3307">
        <f t="shared" si="217"/>
        <v>0</v>
      </c>
      <c r="BD388" s="3307">
        <f t="shared" si="218"/>
        <v>0</v>
      </c>
      <c r="BE388" s="3307">
        <f t="shared" si="219"/>
        <v>0</v>
      </c>
      <c r="BF388" s="3307">
        <f t="shared" si="220"/>
        <v>0</v>
      </c>
      <c r="BG388" s="3307">
        <f t="shared" si="221"/>
        <v>0</v>
      </c>
      <c r="BH388" s="3307">
        <f t="shared" si="222"/>
        <v>0</v>
      </c>
      <c r="BI388" s="3307">
        <f t="shared" si="223"/>
        <v>0</v>
      </c>
      <c r="BJ388" s="3307">
        <f t="shared" si="224"/>
        <v>0</v>
      </c>
      <c r="BK388" s="3307">
        <f t="shared" si="225"/>
        <v>0</v>
      </c>
      <c r="BL388" s="3307">
        <f t="shared" si="226"/>
        <v>0</v>
      </c>
      <c r="BM388" s="3307">
        <f t="shared" si="227"/>
        <v>0</v>
      </c>
      <c r="BN388" s="3307">
        <f t="shared" si="228"/>
        <v>0</v>
      </c>
      <c r="BO388" s="3307">
        <f t="shared" si="229"/>
        <v>0</v>
      </c>
      <c r="BP388" s="3307">
        <f t="shared" si="230"/>
        <v>0</v>
      </c>
      <c r="BQ388" s="3307">
        <f t="shared" si="231"/>
        <v>0</v>
      </c>
      <c r="BR388" s="3307">
        <f t="shared" si="232"/>
        <v>0</v>
      </c>
      <c r="BS388" s="3307">
        <f t="shared" si="233"/>
        <v>0</v>
      </c>
      <c r="BT388" s="3359">
        <f t="shared" si="234"/>
        <v>0</v>
      </c>
    </row>
    <row r="389" spans="1:72">
      <c r="A389" s="3304"/>
      <c r="B389" s="3305"/>
      <c r="C389" s="3305"/>
      <c r="D389" s="3306"/>
      <c r="E389" s="3307">
        <f t="shared" si="235"/>
        <v>0</v>
      </c>
      <c r="F389" s="3308"/>
      <c r="G389" s="3309">
        <f t="shared" si="210"/>
        <v>0</v>
      </c>
      <c r="H389" s="3310">
        <f t="shared" si="211"/>
        <v>0</v>
      </c>
      <c r="I389" s="3317"/>
      <c r="J389" s="3317"/>
      <c r="K389" s="3317"/>
      <c r="L389" s="3317"/>
      <c r="M389" s="3317"/>
      <c r="N389" s="3317"/>
      <c r="O389" s="3317"/>
      <c r="P389" s="3317"/>
      <c r="Q389" s="3317"/>
      <c r="R389" s="3317"/>
      <c r="S389" s="3317"/>
      <c r="T389" s="3317"/>
      <c r="U389" s="3317"/>
      <c r="V389" s="3317"/>
      <c r="W389" s="3317"/>
      <c r="X389" s="3317"/>
      <c r="Y389" s="3317"/>
      <c r="Z389" s="3317"/>
      <c r="AA389" s="3317"/>
      <c r="AB389" s="3317"/>
      <c r="AC389" s="3307">
        <f t="shared" si="212"/>
        <v>0</v>
      </c>
      <c r="AD389" s="3327"/>
      <c r="AE389" s="3327"/>
      <c r="AF389" s="3327"/>
      <c r="AG389" s="3327"/>
      <c r="AH389" s="3327"/>
      <c r="AI389" s="3327"/>
      <c r="AJ389" s="3327"/>
      <c r="AK389" s="3327"/>
      <c r="AL389" s="3327"/>
      <c r="AM389" s="3327"/>
      <c r="AN389" s="3327"/>
      <c r="AO389" s="3327"/>
      <c r="AP389" s="3327"/>
      <c r="AQ389" s="3327"/>
      <c r="AR389" s="3327"/>
      <c r="AS389" s="3327"/>
      <c r="AT389" s="3337"/>
      <c r="AU389" s="3338"/>
      <c r="AV389" s="1410">
        <f t="shared" si="236"/>
        <v>0</v>
      </c>
      <c r="AW389" s="1410">
        <f t="shared" si="237"/>
        <v>0</v>
      </c>
      <c r="AX389" s="1410">
        <f t="shared" si="238"/>
        <v>0</v>
      </c>
      <c r="AY389" s="3352">
        <f t="shared" si="213"/>
        <v>0</v>
      </c>
      <c r="AZ389" s="3307">
        <f t="shared" si="214"/>
        <v>0</v>
      </c>
      <c r="BA389" s="3307">
        <f t="shared" si="215"/>
        <v>0</v>
      </c>
      <c r="BB389" s="3307">
        <f t="shared" si="216"/>
        <v>0</v>
      </c>
      <c r="BC389" s="3307">
        <f t="shared" si="217"/>
        <v>0</v>
      </c>
      <c r="BD389" s="3307">
        <f t="shared" si="218"/>
        <v>0</v>
      </c>
      <c r="BE389" s="3307">
        <f t="shared" si="219"/>
        <v>0</v>
      </c>
      <c r="BF389" s="3307">
        <f t="shared" si="220"/>
        <v>0</v>
      </c>
      <c r="BG389" s="3307">
        <f t="shared" si="221"/>
        <v>0</v>
      </c>
      <c r="BH389" s="3307">
        <f t="shared" si="222"/>
        <v>0</v>
      </c>
      <c r="BI389" s="3307">
        <f t="shared" si="223"/>
        <v>0</v>
      </c>
      <c r="BJ389" s="3307">
        <f t="shared" si="224"/>
        <v>0</v>
      </c>
      <c r="BK389" s="3307">
        <f t="shared" si="225"/>
        <v>0</v>
      </c>
      <c r="BL389" s="3307">
        <f t="shared" si="226"/>
        <v>0</v>
      </c>
      <c r="BM389" s="3307">
        <f t="shared" si="227"/>
        <v>0</v>
      </c>
      <c r="BN389" s="3307">
        <f t="shared" si="228"/>
        <v>0</v>
      </c>
      <c r="BO389" s="3307">
        <f t="shared" si="229"/>
        <v>0</v>
      </c>
      <c r="BP389" s="3307">
        <f t="shared" si="230"/>
        <v>0</v>
      </c>
      <c r="BQ389" s="3307">
        <f t="shared" si="231"/>
        <v>0</v>
      </c>
      <c r="BR389" s="3307">
        <f t="shared" si="232"/>
        <v>0</v>
      </c>
      <c r="BS389" s="3307">
        <f t="shared" si="233"/>
        <v>0</v>
      </c>
      <c r="BT389" s="3359">
        <f t="shared" si="234"/>
        <v>0</v>
      </c>
    </row>
    <row r="390" spans="1:72">
      <c r="A390" s="3304"/>
      <c r="B390" s="3305"/>
      <c r="C390" s="3305"/>
      <c r="D390" s="3306"/>
      <c r="E390" s="3307">
        <f t="shared" si="235"/>
        <v>0</v>
      </c>
      <c r="F390" s="3308"/>
      <c r="G390" s="3309">
        <f t="shared" si="210"/>
        <v>0</v>
      </c>
      <c r="H390" s="3310">
        <f t="shared" si="211"/>
        <v>0</v>
      </c>
      <c r="I390" s="3317"/>
      <c r="J390" s="3317"/>
      <c r="K390" s="3317"/>
      <c r="L390" s="3317"/>
      <c r="M390" s="3317"/>
      <c r="N390" s="3317"/>
      <c r="O390" s="3317"/>
      <c r="P390" s="3317"/>
      <c r="Q390" s="3317"/>
      <c r="R390" s="3317"/>
      <c r="S390" s="3317"/>
      <c r="T390" s="3317"/>
      <c r="U390" s="3317"/>
      <c r="V390" s="3317"/>
      <c r="W390" s="3317"/>
      <c r="X390" s="3317"/>
      <c r="Y390" s="3317"/>
      <c r="Z390" s="3317"/>
      <c r="AA390" s="3317"/>
      <c r="AB390" s="3317"/>
      <c r="AC390" s="3307">
        <f t="shared" si="212"/>
        <v>0</v>
      </c>
      <c r="AD390" s="3327"/>
      <c r="AE390" s="3327"/>
      <c r="AF390" s="3327"/>
      <c r="AG390" s="3327"/>
      <c r="AH390" s="3327"/>
      <c r="AI390" s="3327"/>
      <c r="AJ390" s="3327"/>
      <c r="AK390" s="3327"/>
      <c r="AL390" s="3327"/>
      <c r="AM390" s="3327"/>
      <c r="AN390" s="3327"/>
      <c r="AO390" s="3327"/>
      <c r="AP390" s="3327"/>
      <c r="AQ390" s="3327"/>
      <c r="AR390" s="3327"/>
      <c r="AS390" s="3327"/>
      <c r="AT390" s="3337"/>
      <c r="AU390" s="3338"/>
      <c r="AV390" s="1410">
        <f t="shared" si="236"/>
        <v>0</v>
      </c>
      <c r="AW390" s="1410">
        <f t="shared" si="237"/>
        <v>0</v>
      </c>
      <c r="AX390" s="1410">
        <f t="shared" si="238"/>
        <v>0</v>
      </c>
      <c r="AY390" s="3352">
        <f t="shared" si="213"/>
        <v>0</v>
      </c>
      <c r="AZ390" s="3307">
        <f t="shared" si="214"/>
        <v>0</v>
      </c>
      <c r="BA390" s="3307">
        <f t="shared" si="215"/>
        <v>0</v>
      </c>
      <c r="BB390" s="3307">
        <f t="shared" si="216"/>
        <v>0</v>
      </c>
      <c r="BC390" s="3307">
        <f t="shared" si="217"/>
        <v>0</v>
      </c>
      <c r="BD390" s="3307">
        <f t="shared" si="218"/>
        <v>0</v>
      </c>
      <c r="BE390" s="3307">
        <f t="shared" si="219"/>
        <v>0</v>
      </c>
      <c r="BF390" s="3307">
        <f t="shared" si="220"/>
        <v>0</v>
      </c>
      <c r="BG390" s="3307">
        <f t="shared" si="221"/>
        <v>0</v>
      </c>
      <c r="BH390" s="3307">
        <f t="shared" si="222"/>
        <v>0</v>
      </c>
      <c r="BI390" s="3307">
        <f t="shared" si="223"/>
        <v>0</v>
      </c>
      <c r="BJ390" s="3307">
        <f t="shared" si="224"/>
        <v>0</v>
      </c>
      <c r="BK390" s="3307">
        <f t="shared" si="225"/>
        <v>0</v>
      </c>
      <c r="BL390" s="3307">
        <f t="shared" si="226"/>
        <v>0</v>
      </c>
      <c r="BM390" s="3307">
        <f t="shared" si="227"/>
        <v>0</v>
      </c>
      <c r="BN390" s="3307">
        <f t="shared" si="228"/>
        <v>0</v>
      </c>
      <c r="BO390" s="3307">
        <f t="shared" si="229"/>
        <v>0</v>
      </c>
      <c r="BP390" s="3307">
        <f t="shared" si="230"/>
        <v>0</v>
      </c>
      <c r="BQ390" s="3307">
        <f t="shared" si="231"/>
        <v>0</v>
      </c>
      <c r="BR390" s="3307">
        <f t="shared" si="232"/>
        <v>0</v>
      </c>
      <c r="BS390" s="3307">
        <f t="shared" si="233"/>
        <v>0</v>
      </c>
      <c r="BT390" s="3359">
        <f t="shared" si="234"/>
        <v>0</v>
      </c>
    </row>
    <row r="391" spans="1:72">
      <c r="A391" s="3304"/>
      <c r="B391" s="3305"/>
      <c r="C391" s="3305"/>
      <c r="D391" s="3306"/>
      <c r="E391" s="3307">
        <f t="shared" si="235"/>
        <v>0</v>
      </c>
      <c r="F391" s="3308"/>
      <c r="G391" s="3309">
        <f t="shared" si="210"/>
        <v>0</v>
      </c>
      <c r="H391" s="3310">
        <f t="shared" si="211"/>
        <v>0</v>
      </c>
      <c r="I391" s="3317"/>
      <c r="J391" s="3317"/>
      <c r="K391" s="3317"/>
      <c r="L391" s="3317"/>
      <c r="M391" s="3317"/>
      <c r="N391" s="3317"/>
      <c r="O391" s="3317"/>
      <c r="P391" s="3317"/>
      <c r="Q391" s="3317"/>
      <c r="R391" s="3317"/>
      <c r="S391" s="3317"/>
      <c r="T391" s="3317"/>
      <c r="U391" s="3317"/>
      <c r="V391" s="3317"/>
      <c r="W391" s="3317"/>
      <c r="X391" s="3317"/>
      <c r="Y391" s="3317"/>
      <c r="Z391" s="3317"/>
      <c r="AA391" s="3317"/>
      <c r="AB391" s="3317"/>
      <c r="AC391" s="3307">
        <f t="shared" si="212"/>
        <v>0</v>
      </c>
      <c r="AD391" s="3327"/>
      <c r="AE391" s="3327"/>
      <c r="AF391" s="3327"/>
      <c r="AG391" s="3327"/>
      <c r="AH391" s="3327"/>
      <c r="AI391" s="3327"/>
      <c r="AJ391" s="3327"/>
      <c r="AK391" s="3327"/>
      <c r="AL391" s="3327"/>
      <c r="AM391" s="3327"/>
      <c r="AN391" s="3327"/>
      <c r="AO391" s="3327"/>
      <c r="AP391" s="3327"/>
      <c r="AQ391" s="3327"/>
      <c r="AR391" s="3327"/>
      <c r="AS391" s="3327"/>
      <c r="AT391" s="3337"/>
      <c r="AU391" s="3338"/>
      <c r="AV391" s="1410">
        <f t="shared" si="236"/>
        <v>0</v>
      </c>
      <c r="AW391" s="1410">
        <f t="shared" si="237"/>
        <v>0</v>
      </c>
      <c r="AX391" s="1410">
        <f t="shared" si="238"/>
        <v>0</v>
      </c>
      <c r="AY391" s="3352">
        <f t="shared" si="213"/>
        <v>0</v>
      </c>
      <c r="AZ391" s="3307">
        <f t="shared" si="214"/>
        <v>0</v>
      </c>
      <c r="BA391" s="3307">
        <f t="shared" si="215"/>
        <v>0</v>
      </c>
      <c r="BB391" s="3307">
        <f t="shared" si="216"/>
        <v>0</v>
      </c>
      <c r="BC391" s="3307">
        <f t="shared" si="217"/>
        <v>0</v>
      </c>
      <c r="BD391" s="3307">
        <f t="shared" si="218"/>
        <v>0</v>
      </c>
      <c r="BE391" s="3307">
        <f t="shared" si="219"/>
        <v>0</v>
      </c>
      <c r="BF391" s="3307">
        <f t="shared" si="220"/>
        <v>0</v>
      </c>
      <c r="BG391" s="3307">
        <f t="shared" si="221"/>
        <v>0</v>
      </c>
      <c r="BH391" s="3307">
        <f t="shared" si="222"/>
        <v>0</v>
      </c>
      <c r="BI391" s="3307">
        <f t="shared" si="223"/>
        <v>0</v>
      </c>
      <c r="BJ391" s="3307">
        <f t="shared" si="224"/>
        <v>0</v>
      </c>
      <c r="BK391" s="3307">
        <f t="shared" si="225"/>
        <v>0</v>
      </c>
      <c r="BL391" s="3307">
        <f t="shared" si="226"/>
        <v>0</v>
      </c>
      <c r="BM391" s="3307">
        <f t="shared" si="227"/>
        <v>0</v>
      </c>
      <c r="BN391" s="3307">
        <f t="shared" si="228"/>
        <v>0</v>
      </c>
      <c r="BO391" s="3307">
        <f t="shared" si="229"/>
        <v>0</v>
      </c>
      <c r="BP391" s="3307">
        <f t="shared" si="230"/>
        <v>0</v>
      </c>
      <c r="BQ391" s="3307">
        <f t="shared" si="231"/>
        <v>0</v>
      </c>
      <c r="BR391" s="3307">
        <f t="shared" si="232"/>
        <v>0</v>
      </c>
      <c r="BS391" s="3307">
        <f t="shared" si="233"/>
        <v>0</v>
      </c>
      <c r="BT391" s="3359">
        <f t="shared" si="234"/>
        <v>0</v>
      </c>
    </row>
    <row r="392" spans="1:72">
      <c r="A392" s="3304"/>
      <c r="B392" s="3305"/>
      <c r="C392" s="3305"/>
      <c r="D392" s="3306"/>
      <c r="E392" s="3307">
        <f t="shared" si="235"/>
        <v>0</v>
      </c>
      <c r="F392" s="3308"/>
      <c r="G392" s="3309">
        <f t="shared" si="210"/>
        <v>0</v>
      </c>
      <c r="H392" s="3310">
        <f t="shared" si="211"/>
        <v>0</v>
      </c>
      <c r="I392" s="3317"/>
      <c r="J392" s="3317"/>
      <c r="K392" s="3317"/>
      <c r="L392" s="3317"/>
      <c r="M392" s="3317"/>
      <c r="N392" s="3317"/>
      <c r="O392" s="3317"/>
      <c r="P392" s="3317"/>
      <c r="Q392" s="3317"/>
      <c r="R392" s="3317"/>
      <c r="S392" s="3317"/>
      <c r="T392" s="3317"/>
      <c r="U392" s="3317"/>
      <c r="V392" s="3317"/>
      <c r="W392" s="3317"/>
      <c r="X392" s="3317"/>
      <c r="Y392" s="3317"/>
      <c r="Z392" s="3317"/>
      <c r="AA392" s="3317"/>
      <c r="AB392" s="3317"/>
      <c r="AC392" s="3307">
        <f t="shared" si="212"/>
        <v>0</v>
      </c>
      <c r="AD392" s="3327"/>
      <c r="AE392" s="3327"/>
      <c r="AF392" s="3327"/>
      <c r="AG392" s="3327"/>
      <c r="AH392" s="3327"/>
      <c r="AI392" s="3327"/>
      <c r="AJ392" s="3327"/>
      <c r="AK392" s="3327"/>
      <c r="AL392" s="3327"/>
      <c r="AM392" s="3327"/>
      <c r="AN392" s="3327"/>
      <c r="AO392" s="3327"/>
      <c r="AP392" s="3327"/>
      <c r="AQ392" s="3327"/>
      <c r="AR392" s="3327"/>
      <c r="AS392" s="3327"/>
      <c r="AT392" s="3337"/>
      <c r="AU392" s="3338"/>
      <c r="AV392" s="1410">
        <f t="shared" si="236"/>
        <v>0</v>
      </c>
      <c r="AW392" s="1410">
        <f t="shared" si="237"/>
        <v>0</v>
      </c>
      <c r="AX392" s="1410">
        <f t="shared" si="238"/>
        <v>0</v>
      </c>
      <c r="AY392" s="3352">
        <f t="shared" si="213"/>
        <v>0</v>
      </c>
      <c r="AZ392" s="3307">
        <f t="shared" si="214"/>
        <v>0</v>
      </c>
      <c r="BA392" s="3307">
        <f t="shared" si="215"/>
        <v>0</v>
      </c>
      <c r="BB392" s="3307">
        <f t="shared" si="216"/>
        <v>0</v>
      </c>
      <c r="BC392" s="3307">
        <f t="shared" si="217"/>
        <v>0</v>
      </c>
      <c r="BD392" s="3307">
        <f t="shared" si="218"/>
        <v>0</v>
      </c>
      <c r="BE392" s="3307">
        <f t="shared" si="219"/>
        <v>0</v>
      </c>
      <c r="BF392" s="3307">
        <f t="shared" si="220"/>
        <v>0</v>
      </c>
      <c r="BG392" s="3307">
        <f t="shared" si="221"/>
        <v>0</v>
      </c>
      <c r="BH392" s="3307">
        <f t="shared" si="222"/>
        <v>0</v>
      </c>
      <c r="BI392" s="3307">
        <f t="shared" si="223"/>
        <v>0</v>
      </c>
      <c r="BJ392" s="3307">
        <f t="shared" si="224"/>
        <v>0</v>
      </c>
      <c r="BK392" s="3307">
        <f t="shared" si="225"/>
        <v>0</v>
      </c>
      <c r="BL392" s="3307">
        <f t="shared" si="226"/>
        <v>0</v>
      </c>
      <c r="BM392" s="3307">
        <f t="shared" si="227"/>
        <v>0</v>
      </c>
      <c r="BN392" s="3307">
        <f t="shared" si="228"/>
        <v>0</v>
      </c>
      <c r="BO392" s="3307">
        <f t="shared" si="229"/>
        <v>0</v>
      </c>
      <c r="BP392" s="3307">
        <f t="shared" si="230"/>
        <v>0</v>
      </c>
      <c r="BQ392" s="3307">
        <f t="shared" si="231"/>
        <v>0</v>
      </c>
      <c r="BR392" s="3307">
        <f t="shared" si="232"/>
        <v>0</v>
      </c>
      <c r="BS392" s="3307">
        <f t="shared" si="233"/>
        <v>0</v>
      </c>
      <c r="BT392" s="3359">
        <f t="shared" si="234"/>
        <v>0</v>
      </c>
    </row>
    <row r="393" spans="1:72">
      <c r="A393" s="3304"/>
      <c r="B393" s="3305"/>
      <c r="C393" s="3305"/>
      <c r="D393" s="3306"/>
      <c r="E393" s="3307">
        <f t="shared" si="235"/>
        <v>0</v>
      </c>
      <c r="F393" s="3308"/>
      <c r="G393" s="3309">
        <f t="shared" si="210"/>
        <v>0</v>
      </c>
      <c r="H393" s="3310">
        <f t="shared" si="211"/>
        <v>0</v>
      </c>
      <c r="I393" s="3317"/>
      <c r="J393" s="3317"/>
      <c r="K393" s="3317"/>
      <c r="L393" s="3317"/>
      <c r="M393" s="3317"/>
      <c r="N393" s="3317"/>
      <c r="O393" s="3317"/>
      <c r="P393" s="3317"/>
      <c r="Q393" s="3317"/>
      <c r="R393" s="3317"/>
      <c r="S393" s="3317"/>
      <c r="T393" s="3317"/>
      <c r="U393" s="3317"/>
      <c r="V393" s="3317"/>
      <c r="W393" s="3317"/>
      <c r="X393" s="3317"/>
      <c r="Y393" s="3317"/>
      <c r="Z393" s="3317"/>
      <c r="AA393" s="3317"/>
      <c r="AB393" s="3317"/>
      <c r="AC393" s="3307">
        <f t="shared" si="212"/>
        <v>0</v>
      </c>
      <c r="AD393" s="3327"/>
      <c r="AE393" s="3327"/>
      <c r="AF393" s="3327"/>
      <c r="AG393" s="3327"/>
      <c r="AH393" s="3327"/>
      <c r="AI393" s="3327"/>
      <c r="AJ393" s="3327"/>
      <c r="AK393" s="3327"/>
      <c r="AL393" s="3327"/>
      <c r="AM393" s="3327"/>
      <c r="AN393" s="3327"/>
      <c r="AO393" s="3327"/>
      <c r="AP393" s="3327"/>
      <c r="AQ393" s="3327"/>
      <c r="AR393" s="3327"/>
      <c r="AS393" s="3327"/>
      <c r="AT393" s="3337"/>
      <c r="AU393" s="3338"/>
      <c r="AV393" s="1410">
        <f t="shared" si="236"/>
        <v>0</v>
      </c>
      <c r="AW393" s="1410">
        <f t="shared" si="237"/>
        <v>0</v>
      </c>
      <c r="AX393" s="1410">
        <f t="shared" si="238"/>
        <v>0</v>
      </c>
      <c r="AY393" s="3352">
        <f t="shared" si="213"/>
        <v>0</v>
      </c>
      <c r="AZ393" s="3307">
        <f t="shared" si="214"/>
        <v>0</v>
      </c>
      <c r="BA393" s="3307">
        <f t="shared" si="215"/>
        <v>0</v>
      </c>
      <c r="BB393" s="3307">
        <f t="shared" si="216"/>
        <v>0</v>
      </c>
      <c r="BC393" s="3307">
        <f t="shared" si="217"/>
        <v>0</v>
      </c>
      <c r="BD393" s="3307">
        <f t="shared" si="218"/>
        <v>0</v>
      </c>
      <c r="BE393" s="3307">
        <f t="shared" si="219"/>
        <v>0</v>
      </c>
      <c r="BF393" s="3307">
        <f t="shared" si="220"/>
        <v>0</v>
      </c>
      <c r="BG393" s="3307">
        <f t="shared" si="221"/>
        <v>0</v>
      </c>
      <c r="BH393" s="3307">
        <f t="shared" si="222"/>
        <v>0</v>
      </c>
      <c r="BI393" s="3307">
        <f t="shared" si="223"/>
        <v>0</v>
      </c>
      <c r="BJ393" s="3307">
        <f t="shared" si="224"/>
        <v>0</v>
      </c>
      <c r="BK393" s="3307">
        <f t="shared" si="225"/>
        <v>0</v>
      </c>
      <c r="BL393" s="3307">
        <f t="shared" si="226"/>
        <v>0</v>
      </c>
      <c r="BM393" s="3307">
        <f t="shared" si="227"/>
        <v>0</v>
      </c>
      <c r="BN393" s="3307">
        <f t="shared" si="228"/>
        <v>0</v>
      </c>
      <c r="BO393" s="3307">
        <f t="shared" si="229"/>
        <v>0</v>
      </c>
      <c r="BP393" s="3307">
        <f t="shared" si="230"/>
        <v>0</v>
      </c>
      <c r="BQ393" s="3307">
        <f t="shared" si="231"/>
        <v>0</v>
      </c>
      <c r="BR393" s="3307">
        <f t="shared" si="232"/>
        <v>0</v>
      </c>
      <c r="BS393" s="3307">
        <f t="shared" si="233"/>
        <v>0</v>
      </c>
      <c r="BT393" s="3359">
        <f t="shared" si="234"/>
        <v>0</v>
      </c>
    </row>
    <row r="394" spans="1:72">
      <c r="A394" s="3304"/>
      <c r="B394" s="3305"/>
      <c r="C394" s="3305"/>
      <c r="D394" s="3306"/>
      <c r="E394" s="3307">
        <f t="shared" si="235"/>
        <v>0</v>
      </c>
      <c r="F394" s="3308"/>
      <c r="G394" s="3309">
        <f t="shared" si="210"/>
        <v>0</v>
      </c>
      <c r="H394" s="3310">
        <f t="shared" si="211"/>
        <v>0</v>
      </c>
      <c r="I394" s="3317"/>
      <c r="J394" s="3317"/>
      <c r="K394" s="3317"/>
      <c r="L394" s="3317"/>
      <c r="M394" s="3317"/>
      <c r="N394" s="3317"/>
      <c r="O394" s="3317"/>
      <c r="P394" s="3317"/>
      <c r="Q394" s="3317"/>
      <c r="R394" s="3317"/>
      <c r="S394" s="3317"/>
      <c r="T394" s="3317"/>
      <c r="U394" s="3317"/>
      <c r="V394" s="3317"/>
      <c r="W394" s="3317"/>
      <c r="X394" s="3317"/>
      <c r="Y394" s="3317"/>
      <c r="Z394" s="3317"/>
      <c r="AA394" s="3317"/>
      <c r="AB394" s="3317"/>
      <c r="AC394" s="3307">
        <f t="shared" si="212"/>
        <v>0</v>
      </c>
      <c r="AD394" s="3327"/>
      <c r="AE394" s="3327"/>
      <c r="AF394" s="3327"/>
      <c r="AG394" s="3327"/>
      <c r="AH394" s="3327"/>
      <c r="AI394" s="3327"/>
      <c r="AJ394" s="3327"/>
      <c r="AK394" s="3327"/>
      <c r="AL394" s="3327"/>
      <c r="AM394" s="3327"/>
      <c r="AN394" s="3327"/>
      <c r="AO394" s="3327"/>
      <c r="AP394" s="3327"/>
      <c r="AQ394" s="3327"/>
      <c r="AR394" s="3327"/>
      <c r="AS394" s="3327"/>
      <c r="AT394" s="3337"/>
      <c r="AU394" s="3338"/>
      <c r="AV394" s="1410">
        <f t="shared" si="236"/>
        <v>0</v>
      </c>
      <c r="AW394" s="1410">
        <f t="shared" si="237"/>
        <v>0</v>
      </c>
      <c r="AX394" s="1410">
        <f t="shared" si="238"/>
        <v>0</v>
      </c>
      <c r="AY394" s="3352">
        <f t="shared" si="213"/>
        <v>0</v>
      </c>
      <c r="AZ394" s="3307">
        <f t="shared" si="214"/>
        <v>0</v>
      </c>
      <c r="BA394" s="3307">
        <f t="shared" si="215"/>
        <v>0</v>
      </c>
      <c r="BB394" s="3307">
        <f t="shared" si="216"/>
        <v>0</v>
      </c>
      <c r="BC394" s="3307">
        <f t="shared" si="217"/>
        <v>0</v>
      </c>
      <c r="BD394" s="3307">
        <f t="shared" si="218"/>
        <v>0</v>
      </c>
      <c r="BE394" s="3307">
        <f t="shared" si="219"/>
        <v>0</v>
      </c>
      <c r="BF394" s="3307">
        <f t="shared" si="220"/>
        <v>0</v>
      </c>
      <c r="BG394" s="3307">
        <f t="shared" si="221"/>
        <v>0</v>
      </c>
      <c r="BH394" s="3307">
        <f t="shared" si="222"/>
        <v>0</v>
      </c>
      <c r="BI394" s="3307">
        <f t="shared" si="223"/>
        <v>0</v>
      </c>
      <c r="BJ394" s="3307">
        <f t="shared" si="224"/>
        <v>0</v>
      </c>
      <c r="BK394" s="3307">
        <f t="shared" si="225"/>
        <v>0</v>
      </c>
      <c r="BL394" s="3307">
        <f t="shared" si="226"/>
        <v>0</v>
      </c>
      <c r="BM394" s="3307">
        <f t="shared" si="227"/>
        <v>0</v>
      </c>
      <c r="BN394" s="3307">
        <f t="shared" si="228"/>
        <v>0</v>
      </c>
      <c r="BO394" s="3307">
        <f t="shared" si="229"/>
        <v>0</v>
      </c>
      <c r="BP394" s="3307">
        <f t="shared" si="230"/>
        <v>0</v>
      </c>
      <c r="BQ394" s="3307">
        <f t="shared" si="231"/>
        <v>0</v>
      </c>
      <c r="BR394" s="3307">
        <f t="shared" si="232"/>
        <v>0</v>
      </c>
      <c r="BS394" s="3307">
        <f t="shared" si="233"/>
        <v>0</v>
      </c>
      <c r="BT394" s="3359">
        <f t="shared" si="234"/>
        <v>0</v>
      </c>
    </row>
    <row r="395" spans="1:72">
      <c r="A395" s="3304"/>
      <c r="B395" s="3304"/>
      <c r="C395" s="3304"/>
      <c r="D395" s="3306"/>
      <c r="E395" s="3307">
        <f t="shared" si="235"/>
        <v>0</v>
      </c>
      <c r="F395" s="3360"/>
      <c r="G395" s="3309">
        <f t="shared" si="210"/>
        <v>0</v>
      </c>
      <c r="H395" s="3310">
        <f t="shared" si="211"/>
        <v>0</v>
      </c>
      <c r="I395" s="3361"/>
      <c r="J395" s="3361"/>
      <c r="K395" s="3317"/>
      <c r="L395" s="3317"/>
      <c r="M395" s="3317"/>
      <c r="N395" s="3317"/>
      <c r="O395" s="3317"/>
      <c r="P395" s="3317"/>
      <c r="Q395" s="3317"/>
      <c r="R395" s="3317"/>
      <c r="S395" s="3317"/>
      <c r="T395" s="3317"/>
      <c r="U395" s="3317"/>
      <c r="V395" s="3317"/>
      <c r="W395" s="3317"/>
      <c r="X395" s="3317"/>
      <c r="Y395" s="3317"/>
      <c r="Z395" s="3317"/>
      <c r="AA395" s="3317"/>
      <c r="AB395" s="3317"/>
      <c r="AC395" s="3307">
        <f t="shared" si="212"/>
        <v>0</v>
      </c>
      <c r="AD395" s="3327"/>
      <c r="AE395" s="3327"/>
      <c r="AF395" s="3327"/>
      <c r="AG395" s="3327"/>
      <c r="AH395" s="3327"/>
      <c r="AI395" s="3327"/>
      <c r="AJ395" s="3327"/>
      <c r="AK395" s="3327"/>
      <c r="AL395" s="3327"/>
      <c r="AM395" s="3327"/>
      <c r="AN395" s="3327"/>
      <c r="AO395" s="3327"/>
      <c r="AP395" s="3327"/>
      <c r="AQ395" s="3327"/>
      <c r="AR395" s="3327"/>
      <c r="AS395" s="3327"/>
      <c r="AT395" s="3327"/>
      <c r="AU395" s="3362"/>
      <c r="AV395" s="1410">
        <f t="shared" si="236"/>
        <v>0</v>
      </c>
      <c r="AW395" s="1410">
        <f t="shared" si="237"/>
        <v>0</v>
      </c>
      <c r="AX395" s="1410">
        <f t="shared" si="238"/>
        <v>0</v>
      </c>
      <c r="AY395" s="3352">
        <f t="shared" si="213"/>
        <v>0</v>
      </c>
      <c r="AZ395" s="3307">
        <f t="shared" si="214"/>
        <v>0</v>
      </c>
      <c r="BA395" s="3307">
        <f t="shared" si="215"/>
        <v>0</v>
      </c>
      <c r="BB395" s="3307">
        <f t="shared" si="216"/>
        <v>0</v>
      </c>
      <c r="BC395" s="3307">
        <f t="shared" si="217"/>
        <v>0</v>
      </c>
      <c r="BD395" s="3307">
        <f t="shared" si="218"/>
        <v>0</v>
      </c>
      <c r="BE395" s="3307">
        <f t="shared" si="219"/>
        <v>0</v>
      </c>
      <c r="BF395" s="3307">
        <f t="shared" si="220"/>
        <v>0</v>
      </c>
      <c r="BG395" s="3307">
        <f t="shared" si="221"/>
        <v>0</v>
      </c>
      <c r="BH395" s="3307">
        <f t="shared" si="222"/>
        <v>0</v>
      </c>
      <c r="BI395" s="3307">
        <f t="shared" si="223"/>
        <v>0</v>
      </c>
      <c r="BJ395" s="3307">
        <f t="shared" si="224"/>
        <v>0</v>
      </c>
      <c r="BK395" s="3307">
        <f t="shared" si="225"/>
        <v>0</v>
      </c>
      <c r="BL395" s="3307">
        <f t="shared" si="226"/>
        <v>0</v>
      </c>
      <c r="BM395" s="3307">
        <f t="shared" si="227"/>
        <v>0</v>
      </c>
      <c r="BN395" s="3307">
        <f t="shared" si="228"/>
        <v>0</v>
      </c>
      <c r="BO395" s="3307">
        <f t="shared" si="229"/>
        <v>0</v>
      </c>
      <c r="BP395" s="3307">
        <f t="shared" si="230"/>
        <v>0</v>
      </c>
      <c r="BQ395" s="3307">
        <f t="shared" si="231"/>
        <v>0</v>
      </c>
      <c r="BR395" s="3307">
        <f t="shared" si="232"/>
        <v>0</v>
      </c>
      <c r="BS395" s="3307">
        <f t="shared" si="233"/>
        <v>0</v>
      </c>
      <c r="BT395" s="3359">
        <f t="shared" si="234"/>
        <v>0</v>
      </c>
    </row>
    <row r="396" spans="1:72">
      <c r="A396" s="3304"/>
      <c r="B396" s="3304"/>
      <c r="C396" s="3304"/>
      <c r="D396" s="3306"/>
      <c r="E396" s="3307">
        <f t="shared" si="235"/>
        <v>0</v>
      </c>
      <c r="F396" s="3360"/>
      <c r="G396" s="3309">
        <f t="shared" si="210"/>
        <v>0</v>
      </c>
      <c r="H396" s="3310">
        <f t="shared" si="211"/>
        <v>0</v>
      </c>
      <c r="I396" s="3317"/>
      <c r="J396" s="3317"/>
      <c r="K396" s="3317"/>
      <c r="L396" s="3317"/>
      <c r="M396" s="3317"/>
      <c r="N396" s="3317"/>
      <c r="O396" s="3317"/>
      <c r="P396" s="3317"/>
      <c r="Q396" s="3317"/>
      <c r="R396" s="3317"/>
      <c r="S396" s="3317"/>
      <c r="T396" s="3317"/>
      <c r="U396" s="3317"/>
      <c r="V396" s="3317"/>
      <c r="W396" s="3317"/>
      <c r="X396" s="3317"/>
      <c r="Y396" s="3317"/>
      <c r="Z396" s="3317"/>
      <c r="AA396" s="3317"/>
      <c r="AB396" s="3317"/>
      <c r="AC396" s="3307">
        <f t="shared" si="212"/>
        <v>0</v>
      </c>
      <c r="AD396" s="3327"/>
      <c r="AE396" s="3327"/>
      <c r="AF396" s="3327"/>
      <c r="AG396" s="3327"/>
      <c r="AH396" s="3327"/>
      <c r="AI396" s="3327"/>
      <c r="AJ396" s="3327"/>
      <c r="AK396" s="3327"/>
      <c r="AL396" s="3327"/>
      <c r="AM396" s="3327"/>
      <c r="AN396" s="3327"/>
      <c r="AO396" s="3327"/>
      <c r="AP396" s="3327"/>
      <c r="AQ396" s="3327"/>
      <c r="AR396" s="3327"/>
      <c r="AS396" s="3327"/>
      <c r="AT396" s="3327"/>
      <c r="AU396" s="3362"/>
      <c r="AV396" s="1410">
        <f t="shared" si="236"/>
        <v>0</v>
      </c>
      <c r="AW396" s="1410">
        <f t="shared" si="237"/>
        <v>0</v>
      </c>
      <c r="AX396" s="1410">
        <f t="shared" si="238"/>
        <v>0</v>
      </c>
      <c r="AY396" s="3352">
        <f t="shared" si="213"/>
        <v>0</v>
      </c>
      <c r="AZ396" s="3307">
        <f t="shared" si="214"/>
        <v>0</v>
      </c>
      <c r="BA396" s="3307">
        <f t="shared" si="215"/>
        <v>0</v>
      </c>
      <c r="BB396" s="3307">
        <f t="shared" si="216"/>
        <v>0</v>
      </c>
      <c r="BC396" s="3307">
        <f t="shared" si="217"/>
        <v>0</v>
      </c>
      <c r="BD396" s="3307">
        <f t="shared" si="218"/>
        <v>0</v>
      </c>
      <c r="BE396" s="3307">
        <f t="shared" si="219"/>
        <v>0</v>
      </c>
      <c r="BF396" s="3307">
        <f t="shared" si="220"/>
        <v>0</v>
      </c>
      <c r="BG396" s="3307">
        <f t="shared" si="221"/>
        <v>0</v>
      </c>
      <c r="BH396" s="3307">
        <f t="shared" si="222"/>
        <v>0</v>
      </c>
      <c r="BI396" s="3307">
        <f t="shared" si="223"/>
        <v>0</v>
      </c>
      <c r="BJ396" s="3307">
        <f t="shared" si="224"/>
        <v>0</v>
      </c>
      <c r="BK396" s="3307">
        <f t="shared" si="225"/>
        <v>0</v>
      </c>
      <c r="BL396" s="3307">
        <f t="shared" si="226"/>
        <v>0</v>
      </c>
      <c r="BM396" s="3307">
        <f t="shared" si="227"/>
        <v>0</v>
      </c>
      <c r="BN396" s="3307">
        <f t="shared" si="228"/>
        <v>0</v>
      </c>
      <c r="BO396" s="3307">
        <f t="shared" si="229"/>
        <v>0</v>
      </c>
      <c r="BP396" s="3307">
        <f t="shared" si="230"/>
        <v>0</v>
      </c>
      <c r="BQ396" s="3307">
        <f t="shared" si="231"/>
        <v>0</v>
      </c>
      <c r="BR396" s="3307">
        <f t="shared" si="232"/>
        <v>0</v>
      </c>
      <c r="BS396" s="3307">
        <f t="shared" si="233"/>
        <v>0</v>
      </c>
      <c r="BT396" s="3359">
        <f t="shared" si="234"/>
        <v>0</v>
      </c>
    </row>
    <row r="397" spans="1:72">
      <c r="A397" s="3304"/>
      <c r="B397" s="3304"/>
      <c r="C397" s="3304"/>
      <c r="D397" s="3306"/>
      <c r="E397" s="3307">
        <f t="shared" si="235"/>
        <v>0</v>
      </c>
      <c r="F397" s="3360"/>
      <c r="G397" s="3309">
        <f t="shared" si="210"/>
        <v>0</v>
      </c>
      <c r="H397" s="3310">
        <f t="shared" si="211"/>
        <v>0</v>
      </c>
      <c r="I397" s="3317"/>
      <c r="J397" s="3317"/>
      <c r="K397" s="3317"/>
      <c r="L397" s="3317"/>
      <c r="M397" s="3317"/>
      <c r="N397" s="3317"/>
      <c r="O397" s="3317"/>
      <c r="P397" s="3317"/>
      <c r="Q397" s="3317"/>
      <c r="R397" s="3317"/>
      <c r="S397" s="3317"/>
      <c r="T397" s="3317"/>
      <c r="U397" s="3317"/>
      <c r="V397" s="3317"/>
      <c r="W397" s="3317"/>
      <c r="X397" s="3317"/>
      <c r="Y397" s="3317"/>
      <c r="Z397" s="3317"/>
      <c r="AA397" s="3317"/>
      <c r="AB397" s="3317"/>
      <c r="AC397" s="3307">
        <f t="shared" si="212"/>
        <v>0</v>
      </c>
      <c r="AD397" s="3327"/>
      <c r="AE397" s="3327"/>
      <c r="AF397" s="3327"/>
      <c r="AG397" s="3327"/>
      <c r="AH397" s="3327"/>
      <c r="AI397" s="3327"/>
      <c r="AJ397" s="3327"/>
      <c r="AK397" s="3327"/>
      <c r="AL397" s="3327"/>
      <c r="AM397" s="3327"/>
      <c r="AN397" s="3327"/>
      <c r="AO397" s="3327"/>
      <c r="AP397" s="3327"/>
      <c r="AQ397" s="3327"/>
      <c r="AR397" s="3327"/>
      <c r="AS397" s="3327"/>
      <c r="AT397" s="3327"/>
      <c r="AU397" s="3362"/>
      <c r="AV397" s="1410">
        <f t="shared" si="236"/>
        <v>0</v>
      </c>
      <c r="AW397" s="1410">
        <f t="shared" si="237"/>
        <v>0</v>
      </c>
      <c r="AX397" s="1410">
        <f t="shared" si="238"/>
        <v>0</v>
      </c>
      <c r="AY397" s="3352">
        <f t="shared" si="213"/>
        <v>0</v>
      </c>
      <c r="AZ397" s="3307">
        <f t="shared" si="214"/>
        <v>0</v>
      </c>
      <c r="BA397" s="3307">
        <f t="shared" si="215"/>
        <v>0</v>
      </c>
      <c r="BB397" s="3307">
        <f t="shared" si="216"/>
        <v>0</v>
      </c>
      <c r="BC397" s="3307">
        <f t="shared" si="217"/>
        <v>0</v>
      </c>
      <c r="BD397" s="3307">
        <f t="shared" si="218"/>
        <v>0</v>
      </c>
      <c r="BE397" s="3307">
        <f t="shared" si="219"/>
        <v>0</v>
      </c>
      <c r="BF397" s="3307">
        <f t="shared" si="220"/>
        <v>0</v>
      </c>
      <c r="BG397" s="3307">
        <f t="shared" si="221"/>
        <v>0</v>
      </c>
      <c r="BH397" s="3307">
        <f t="shared" si="222"/>
        <v>0</v>
      </c>
      <c r="BI397" s="3307">
        <f t="shared" si="223"/>
        <v>0</v>
      </c>
      <c r="BJ397" s="3307">
        <f t="shared" si="224"/>
        <v>0</v>
      </c>
      <c r="BK397" s="3307">
        <f t="shared" si="225"/>
        <v>0</v>
      </c>
      <c r="BL397" s="3307">
        <f t="shared" si="226"/>
        <v>0</v>
      </c>
      <c r="BM397" s="3307">
        <f t="shared" si="227"/>
        <v>0</v>
      </c>
      <c r="BN397" s="3307">
        <f t="shared" si="228"/>
        <v>0</v>
      </c>
      <c r="BO397" s="3307">
        <f t="shared" si="229"/>
        <v>0</v>
      </c>
      <c r="BP397" s="3307">
        <f t="shared" si="230"/>
        <v>0</v>
      </c>
      <c r="BQ397" s="3307">
        <f t="shared" si="231"/>
        <v>0</v>
      </c>
      <c r="BR397" s="3307">
        <f t="shared" si="232"/>
        <v>0</v>
      </c>
      <c r="BS397" s="3307">
        <f t="shared" si="233"/>
        <v>0</v>
      </c>
      <c r="BT397" s="3359">
        <f t="shared" si="234"/>
        <v>0</v>
      </c>
    </row>
    <row r="398" spans="1:72">
      <c r="A398" s="3304"/>
      <c r="B398" s="3305"/>
      <c r="C398" s="3305"/>
      <c r="D398" s="3306"/>
      <c r="E398" s="3307">
        <f t="shared" ref="E398:E492" si="239">IF($C$3="是",ROUND($A$3*G398/$B$3,2),ROUND($A$3*(G398-AT398)/$B$3,2))</f>
        <v>0</v>
      </c>
      <c r="F398" s="3308"/>
      <c r="G398" s="3309">
        <f t="shared" ref="G398:G489" si="240">H398+AC398+AT398</f>
        <v>0</v>
      </c>
      <c r="H398" s="3310">
        <f t="shared" ref="H398:H489" si="241">SUMIF(I$12:AB$12,"总值",I398:AB398)</f>
        <v>0</v>
      </c>
      <c r="I398" s="3317"/>
      <c r="J398" s="3317"/>
      <c r="K398" s="3317"/>
      <c r="L398" s="3317"/>
      <c r="M398" s="3317"/>
      <c r="N398" s="3317"/>
      <c r="O398" s="3317"/>
      <c r="P398" s="3317"/>
      <c r="Q398" s="3317"/>
      <c r="R398" s="3317"/>
      <c r="S398" s="3317"/>
      <c r="T398" s="3317"/>
      <c r="U398" s="3317"/>
      <c r="V398" s="3317"/>
      <c r="W398" s="3317"/>
      <c r="X398" s="3317"/>
      <c r="Y398" s="3317"/>
      <c r="Z398" s="3317"/>
      <c r="AA398" s="3317"/>
      <c r="AB398" s="3317"/>
      <c r="AC398" s="3307">
        <f t="shared" ref="AC398:AC489" si="242">SUMIF(AD$12:AS$12,"总值",AD398:AS398)</f>
        <v>0</v>
      </c>
      <c r="AD398" s="3327"/>
      <c r="AE398" s="3327"/>
      <c r="AF398" s="3327"/>
      <c r="AG398" s="3327"/>
      <c r="AH398" s="3327"/>
      <c r="AI398" s="3327"/>
      <c r="AJ398" s="3327"/>
      <c r="AK398" s="3327"/>
      <c r="AL398" s="3327"/>
      <c r="AM398" s="3327"/>
      <c r="AN398" s="3327"/>
      <c r="AO398" s="3327"/>
      <c r="AP398" s="3327"/>
      <c r="AQ398" s="3327"/>
      <c r="AR398" s="3327"/>
      <c r="AS398" s="3327"/>
      <c r="AT398" s="3337"/>
      <c r="AU398" s="3338"/>
      <c r="AV398" s="1410">
        <f t="shared" ref="AV398:AV492" si="243">A398</f>
        <v>0</v>
      </c>
      <c r="AW398" s="1410">
        <f t="shared" ref="AW398:AW492" si="244">B398</f>
        <v>0</v>
      </c>
      <c r="AX398" s="1410">
        <f t="shared" ref="AX398:AX492" si="245">C398</f>
        <v>0</v>
      </c>
      <c r="AY398" s="3352">
        <f t="shared" ref="AY398:AY489" si="246">ROUND($AY$6*AZ398/$AZ$5,2)</f>
        <v>0</v>
      </c>
      <c r="AZ398" s="3307">
        <f t="shared" ref="AZ398:AZ489" si="247">BA398+BL398</f>
        <v>0</v>
      </c>
      <c r="BA398" s="3307">
        <f t="shared" ref="BA398:BA489" si="248">SUM(BB398:BK398)</f>
        <v>0</v>
      </c>
      <c r="BB398" s="3307">
        <f t="shared" ref="BB398:BB489" si="249">IF($D398="是",I398-J398,0)</f>
        <v>0</v>
      </c>
      <c r="BC398" s="3307">
        <f t="shared" ref="BC398:BC489" si="250">IF($D398="是",K398-L398,0)</f>
        <v>0</v>
      </c>
      <c r="BD398" s="3307">
        <f t="shared" ref="BD398:BD489" si="251">IF($D398="是",M398-N398,0)</f>
        <v>0</v>
      </c>
      <c r="BE398" s="3307">
        <f t="shared" ref="BE398:BE489" si="252">IF($D398="是",O398-P398,0)</f>
        <v>0</v>
      </c>
      <c r="BF398" s="3307">
        <f t="shared" ref="BF398:BF489" si="253">IF($D398="是",Q398-R398,0)</f>
        <v>0</v>
      </c>
      <c r="BG398" s="3307">
        <f t="shared" ref="BG398:BG489" si="254">IF($D398="是",S398-T398,0)</f>
        <v>0</v>
      </c>
      <c r="BH398" s="3307">
        <f t="shared" ref="BH398:BH489" si="255">IF($D398="是",U398-V398,0)</f>
        <v>0</v>
      </c>
      <c r="BI398" s="3307">
        <f t="shared" ref="BI398:BI489" si="256">IF($D398="是",W398-X398,0)</f>
        <v>0</v>
      </c>
      <c r="BJ398" s="3307">
        <f t="shared" ref="BJ398:BJ489" si="257">IF($D398="是",Y398-Z398,0)</f>
        <v>0</v>
      </c>
      <c r="BK398" s="3307">
        <f t="shared" ref="BK398:BK489" si="258">IF($D398="是",AA398-AB398,0)</f>
        <v>0</v>
      </c>
      <c r="BL398" s="3307">
        <f t="shared" ref="BL398:BL489" si="259">SUM(BM398:BT398)</f>
        <v>0</v>
      </c>
      <c r="BM398" s="3307">
        <f t="shared" ref="BM398:BM489" si="260">IF($D398="是",AD398-AE398,0)</f>
        <v>0</v>
      </c>
      <c r="BN398" s="3307">
        <f t="shared" ref="BN398:BN489" si="261">IF($D398="是",AF398-AG398,0)</f>
        <v>0</v>
      </c>
      <c r="BO398" s="3307">
        <f t="shared" ref="BO398:BO489" si="262">IF($D398="是",AH398-AI398,0)</f>
        <v>0</v>
      </c>
      <c r="BP398" s="3307">
        <f t="shared" ref="BP398:BP489" si="263">IF($D398="是",AJ398-AK398,0)</f>
        <v>0</v>
      </c>
      <c r="BQ398" s="3307">
        <f t="shared" ref="BQ398:BQ489" si="264">IF($D398="是",AL398-AM398,0)</f>
        <v>0</v>
      </c>
      <c r="BR398" s="3307">
        <f t="shared" ref="BR398:BR489" si="265">IF($D398="是",AN398-AO398,0)</f>
        <v>0</v>
      </c>
      <c r="BS398" s="3307">
        <f t="shared" ref="BS398:BS489" si="266">IF($D398="是",AP398-AQ398,0)</f>
        <v>0</v>
      </c>
      <c r="BT398" s="3359">
        <f t="shared" ref="BT398:BT489" si="267">IF($D398="是",AR398-AS398,0)</f>
        <v>0</v>
      </c>
    </row>
    <row r="399" spans="1:72">
      <c r="A399" s="3304"/>
      <c r="B399" s="3305"/>
      <c r="C399" s="3305"/>
      <c r="D399" s="3306"/>
      <c r="E399" s="3307">
        <f t="shared" si="239"/>
        <v>0</v>
      </c>
      <c r="F399" s="3308"/>
      <c r="G399" s="3309">
        <f t="shared" si="240"/>
        <v>0</v>
      </c>
      <c r="H399" s="3310">
        <f t="shared" si="241"/>
        <v>0</v>
      </c>
      <c r="I399" s="3317"/>
      <c r="J399" s="3317"/>
      <c r="K399" s="3317"/>
      <c r="L399" s="3317"/>
      <c r="M399" s="3317"/>
      <c r="N399" s="3317"/>
      <c r="O399" s="3317"/>
      <c r="P399" s="3317"/>
      <c r="Q399" s="3317"/>
      <c r="R399" s="3317"/>
      <c r="S399" s="3317"/>
      <c r="T399" s="3317"/>
      <c r="U399" s="3317"/>
      <c r="V399" s="3317"/>
      <c r="W399" s="3317"/>
      <c r="X399" s="3317"/>
      <c r="Y399" s="3317"/>
      <c r="Z399" s="3317"/>
      <c r="AA399" s="3317"/>
      <c r="AB399" s="3317"/>
      <c r="AC399" s="3307">
        <f t="shared" si="242"/>
        <v>0</v>
      </c>
      <c r="AD399" s="3327"/>
      <c r="AE399" s="3327"/>
      <c r="AF399" s="3327"/>
      <c r="AG399" s="3327"/>
      <c r="AH399" s="3327"/>
      <c r="AI399" s="3327"/>
      <c r="AJ399" s="3327"/>
      <c r="AK399" s="3327"/>
      <c r="AL399" s="3327"/>
      <c r="AM399" s="3327"/>
      <c r="AN399" s="3327"/>
      <c r="AO399" s="3327"/>
      <c r="AP399" s="3327"/>
      <c r="AQ399" s="3327"/>
      <c r="AR399" s="3327"/>
      <c r="AS399" s="3327"/>
      <c r="AT399" s="3337"/>
      <c r="AU399" s="3338"/>
      <c r="AV399" s="1410">
        <f t="shared" si="243"/>
        <v>0</v>
      </c>
      <c r="AW399" s="1410">
        <f t="shared" si="244"/>
        <v>0</v>
      </c>
      <c r="AX399" s="1410">
        <f t="shared" si="245"/>
        <v>0</v>
      </c>
      <c r="AY399" s="3352">
        <f t="shared" si="246"/>
        <v>0</v>
      </c>
      <c r="AZ399" s="3307">
        <f t="shared" si="247"/>
        <v>0</v>
      </c>
      <c r="BA399" s="3307">
        <f t="shared" si="248"/>
        <v>0</v>
      </c>
      <c r="BB399" s="3307">
        <f t="shared" si="249"/>
        <v>0</v>
      </c>
      <c r="BC399" s="3307">
        <f t="shared" si="250"/>
        <v>0</v>
      </c>
      <c r="BD399" s="3307">
        <f t="shared" si="251"/>
        <v>0</v>
      </c>
      <c r="BE399" s="3307">
        <f t="shared" si="252"/>
        <v>0</v>
      </c>
      <c r="BF399" s="3307">
        <f t="shared" si="253"/>
        <v>0</v>
      </c>
      <c r="BG399" s="3307">
        <f t="shared" si="254"/>
        <v>0</v>
      </c>
      <c r="BH399" s="3307">
        <f t="shared" si="255"/>
        <v>0</v>
      </c>
      <c r="BI399" s="3307">
        <f t="shared" si="256"/>
        <v>0</v>
      </c>
      <c r="BJ399" s="3307">
        <f t="shared" si="257"/>
        <v>0</v>
      </c>
      <c r="BK399" s="3307">
        <f t="shared" si="258"/>
        <v>0</v>
      </c>
      <c r="BL399" s="3307">
        <f t="shared" si="259"/>
        <v>0</v>
      </c>
      <c r="BM399" s="3307">
        <f t="shared" si="260"/>
        <v>0</v>
      </c>
      <c r="BN399" s="3307">
        <f t="shared" si="261"/>
        <v>0</v>
      </c>
      <c r="BO399" s="3307">
        <f t="shared" si="262"/>
        <v>0</v>
      </c>
      <c r="BP399" s="3307">
        <f t="shared" si="263"/>
        <v>0</v>
      </c>
      <c r="BQ399" s="3307">
        <f t="shared" si="264"/>
        <v>0</v>
      </c>
      <c r="BR399" s="3307">
        <f t="shared" si="265"/>
        <v>0</v>
      </c>
      <c r="BS399" s="3307">
        <f t="shared" si="266"/>
        <v>0</v>
      </c>
      <c r="BT399" s="3359">
        <f t="shared" si="267"/>
        <v>0</v>
      </c>
    </row>
    <row r="400" spans="1:72">
      <c r="A400" s="3304"/>
      <c r="B400" s="3305"/>
      <c r="C400" s="3305"/>
      <c r="D400" s="3306"/>
      <c r="E400" s="3307">
        <f t="shared" si="239"/>
        <v>0</v>
      </c>
      <c r="F400" s="3308"/>
      <c r="G400" s="3309">
        <f t="shared" si="240"/>
        <v>0</v>
      </c>
      <c r="H400" s="3310">
        <f t="shared" si="241"/>
        <v>0</v>
      </c>
      <c r="I400" s="3317"/>
      <c r="J400" s="3317"/>
      <c r="K400" s="3317"/>
      <c r="L400" s="3317"/>
      <c r="M400" s="3317"/>
      <c r="N400" s="3317"/>
      <c r="O400" s="3317"/>
      <c r="P400" s="3317"/>
      <c r="Q400" s="3317"/>
      <c r="R400" s="3317"/>
      <c r="S400" s="3317"/>
      <c r="T400" s="3317"/>
      <c r="U400" s="3317"/>
      <c r="V400" s="3317"/>
      <c r="W400" s="3317"/>
      <c r="X400" s="3317"/>
      <c r="Y400" s="3317"/>
      <c r="Z400" s="3317"/>
      <c r="AA400" s="3317"/>
      <c r="AB400" s="3317"/>
      <c r="AC400" s="3307">
        <f t="shared" si="242"/>
        <v>0</v>
      </c>
      <c r="AD400" s="3327"/>
      <c r="AE400" s="3327"/>
      <c r="AF400" s="3327"/>
      <c r="AG400" s="3327"/>
      <c r="AH400" s="3327"/>
      <c r="AI400" s="3327"/>
      <c r="AJ400" s="3327"/>
      <c r="AK400" s="3327"/>
      <c r="AL400" s="3327"/>
      <c r="AM400" s="3327"/>
      <c r="AN400" s="3327"/>
      <c r="AO400" s="3327"/>
      <c r="AP400" s="3327"/>
      <c r="AQ400" s="3327"/>
      <c r="AR400" s="3327"/>
      <c r="AS400" s="3327"/>
      <c r="AT400" s="3337"/>
      <c r="AU400" s="3338"/>
      <c r="AV400" s="1410">
        <f t="shared" si="243"/>
        <v>0</v>
      </c>
      <c r="AW400" s="1410">
        <f t="shared" si="244"/>
        <v>0</v>
      </c>
      <c r="AX400" s="1410">
        <f t="shared" si="245"/>
        <v>0</v>
      </c>
      <c r="AY400" s="3352">
        <f t="shared" si="246"/>
        <v>0</v>
      </c>
      <c r="AZ400" s="3307">
        <f t="shared" si="247"/>
        <v>0</v>
      </c>
      <c r="BA400" s="3307">
        <f t="shared" si="248"/>
        <v>0</v>
      </c>
      <c r="BB400" s="3307">
        <f t="shared" si="249"/>
        <v>0</v>
      </c>
      <c r="BC400" s="3307">
        <f t="shared" si="250"/>
        <v>0</v>
      </c>
      <c r="BD400" s="3307">
        <f t="shared" si="251"/>
        <v>0</v>
      </c>
      <c r="BE400" s="3307">
        <f t="shared" si="252"/>
        <v>0</v>
      </c>
      <c r="BF400" s="3307">
        <f t="shared" si="253"/>
        <v>0</v>
      </c>
      <c r="BG400" s="3307">
        <f t="shared" si="254"/>
        <v>0</v>
      </c>
      <c r="BH400" s="3307">
        <f t="shared" si="255"/>
        <v>0</v>
      </c>
      <c r="BI400" s="3307">
        <f t="shared" si="256"/>
        <v>0</v>
      </c>
      <c r="BJ400" s="3307">
        <f t="shared" si="257"/>
        <v>0</v>
      </c>
      <c r="BK400" s="3307">
        <f t="shared" si="258"/>
        <v>0</v>
      </c>
      <c r="BL400" s="3307">
        <f t="shared" si="259"/>
        <v>0</v>
      </c>
      <c r="BM400" s="3307">
        <f t="shared" si="260"/>
        <v>0</v>
      </c>
      <c r="BN400" s="3307">
        <f t="shared" si="261"/>
        <v>0</v>
      </c>
      <c r="BO400" s="3307">
        <f t="shared" si="262"/>
        <v>0</v>
      </c>
      <c r="BP400" s="3307">
        <f t="shared" si="263"/>
        <v>0</v>
      </c>
      <c r="BQ400" s="3307">
        <f t="shared" si="264"/>
        <v>0</v>
      </c>
      <c r="BR400" s="3307">
        <f t="shared" si="265"/>
        <v>0</v>
      </c>
      <c r="BS400" s="3307">
        <f t="shared" si="266"/>
        <v>0</v>
      </c>
      <c r="BT400" s="3359">
        <f t="shared" si="267"/>
        <v>0</v>
      </c>
    </row>
    <row r="401" spans="1:72">
      <c r="A401" s="3304"/>
      <c r="B401" s="3305"/>
      <c r="C401" s="3305"/>
      <c r="D401" s="3306"/>
      <c r="E401" s="3307">
        <f t="shared" si="239"/>
        <v>0</v>
      </c>
      <c r="F401" s="3308"/>
      <c r="G401" s="3309">
        <f t="shared" si="240"/>
        <v>0</v>
      </c>
      <c r="H401" s="3310">
        <f t="shared" si="241"/>
        <v>0</v>
      </c>
      <c r="I401" s="3317"/>
      <c r="J401" s="3317"/>
      <c r="K401" s="3317"/>
      <c r="L401" s="3317"/>
      <c r="M401" s="3317"/>
      <c r="N401" s="3317"/>
      <c r="O401" s="3317"/>
      <c r="P401" s="3317"/>
      <c r="Q401" s="3317"/>
      <c r="R401" s="3317"/>
      <c r="S401" s="3317"/>
      <c r="T401" s="3317"/>
      <c r="U401" s="3317"/>
      <c r="V401" s="3317"/>
      <c r="W401" s="3317"/>
      <c r="X401" s="3317"/>
      <c r="Y401" s="3317"/>
      <c r="Z401" s="3317"/>
      <c r="AA401" s="3317"/>
      <c r="AB401" s="3317"/>
      <c r="AC401" s="3307">
        <f t="shared" si="242"/>
        <v>0</v>
      </c>
      <c r="AD401" s="3327"/>
      <c r="AE401" s="3327"/>
      <c r="AF401" s="3327"/>
      <c r="AG401" s="3327"/>
      <c r="AH401" s="3327"/>
      <c r="AI401" s="3327"/>
      <c r="AJ401" s="3327"/>
      <c r="AK401" s="3327"/>
      <c r="AL401" s="3327"/>
      <c r="AM401" s="3327"/>
      <c r="AN401" s="3327"/>
      <c r="AO401" s="3327"/>
      <c r="AP401" s="3327"/>
      <c r="AQ401" s="3327"/>
      <c r="AR401" s="3327"/>
      <c r="AS401" s="3327"/>
      <c r="AT401" s="3337"/>
      <c r="AU401" s="3338"/>
      <c r="AV401" s="1410">
        <f t="shared" si="243"/>
        <v>0</v>
      </c>
      <c r="AW401" s="1410">
        <f t="shared" si="244"/>
        <v>0</v>
      </c>
      <c r="AX401" s="1410">
        <f t="shared" si="245"/>
        <v>0</v>
      </c>
      <c r="AY401" s="3352">
        <f t="shared" si="246"/>
        <v>0</v>
      </c>
      <c r="AZ401" s="3307">
        <f t="shared" si="247"/>
        <v>0</v>
      </c>
      <c r="BA401" s="3307">
        <f t="shared" si="248"/>
        <v>0</v>
      </c>
      <c r="BB401" s="3307">
        <f t="shared" si="249"/>
        <v>0</v>
      </c>
      <c r="BC401" s="3307">
        <f t="shared" si="250"/>
        <v>0</v>
      </c>
      <c r="BD401" s="3307">
        <f t="shared" si="251"/>
        <v>0</v>
      </c>
      <c r="BE401" s="3307">
        <f t="shared" si="252"/>
        <v>0</v>
      </c>
      <c r="BF401" s="3307">
        <f t="shared" si="253"/>
        <v>0</v>
      </c>
      <c r="BG401" s="3307">
        <f t="shared" si="254"/>
        <v>0</v>
      </c>
      <c r="BH401" s="3307">
        <f t="shared" si="255"/>
        <v>0</v>
      </c>
      <c r="BI401" s="3307">
        <f t="shared" si="256"/>
        <v>0</v>
      </c>
      <c r="BJ401" s="3307">
        <f t="shared" si="257"/>
        <v>0</v>
      </c>
      <c r="BK401" s="3307">
        <f t="shared" si="258"/>
        <v>0</v>
      </c>
      <c r="BL401" s="3307">
        <f t="shared" si="259"/>
        <v>0</v>
      </c>
      <c r="BM401" s="3307">
        <f t="shared" si="260"/>
        <v>0</v>
      </c>
      <c r="BN401" s="3307">
        <f t="shared" si="261"/>
        <v>0</v>
      </c>
      <c r="BO401" s="3307">
        <f t="shared" si="262"/>
        <v>0</v>
      </c>
      <c r="BP401" s="3307">
        <f t="shared" si="263"/>
        <v>0</v>
      </c>
      <c r="BQ401" s="3307">
        <f t="shared" si="264"/>
        <v>0</v>
      </c>
      <c r="BR401" s="3307">
        <f t="shared" si="265"/>
        <v>0</v>
      </c>
      <c r="BS401" s="3307">
        <f t="shared" si="266"/>
        <v>0</v>
      </c>
      <c r="BT401" s="3359">
        <f t="shared" si="267"/>
        <v>0</v>
      </c>
    </row>
    <row r="402" spans="1:72">
      <c r="A402" s="3304"/>
      <c r="B402" s="3305"/>
      <c r="C402" s="3305"/>
      <c r="D402" s="3306"/>
      <c r="E402" s="3307">
        <f t="shared" si="239"/>
        <v>0</v>
      </c>
      <c r="F402" s="3308"/>
      <c r="G402" s="3309">
        <f t="shared" si="240"/>
        <v>0</v>
      </c>
      <c r="H402" s="3310">
        <f t="shared" si="241"/>
        <v>0</v>
      </c>
      <c r="I402" s="3317"/>
      <c r="J402" s="3317"/>
      <c r="K402" s="3317"/>
      <c r="L402" s="3317"/>
      <c r="M402" s="3317"/>
      <c r="N402" s="3317"/>
      <c r="O402" s="3317"/>
      <c r="P402" s="3317"/>
      <c r="Q402" s="3317"/>
      <c r="R402" s="3317"/>
      <c r="S402" s="3317"/>
      <c r="T402" s="3317"/>
      <c r="U402" s="3317"/>
      <c r="V402" s="3317"/>
      <c r="W402" s="3317"/>
      <c r="X402" s="3317"/>
      <c r="Y402" s="3317"/>
      <c r="Z402" s="3317"/>
      <c r="AA402" s="3317"/>
      <c r="AB402" s="3317"/>
      <c r="AC402" s="3307">
        <f t="shared" si="242"/>
        <v>0</v>
      </c>
      <c r="AD402" s="3327"/>
      <c r="AE402" s="3327"/>
      <c r="AF402" s="3327"/>
      <c r="AG402" s="3327"/>
      <c r="AH402" s="3327"/>
      <c r="AI402" s="3327"/>
      <c r="AJ402" s="3327"/>
      <c r="AK402" s="3327"/>
      <c r="AL402" s="3327"/>
      <c r="AM402" s="3327"/>
      <c r="AN402" s="3327"/>
      <c r="AO402" s="3327"/>
      <c r="AP402" s="3327"/>
      <c r="AQ402" s="3327"/>
      <c r="AR402" s="3327"/>
      <c r="AS402" s="3327"/>
      <c r="AT402" s="3337"/>
      <c r="AU402" s="3338"/>
      <c r="AV402" s="1410">
        <f t="shared" si="243"/>
        <v>0</v>
      </c>
      <c r="AW402" s="1410">
        <f t="shared" si="244"/>
        <v>0</v>
      </c>
      <c r="AX402" s="1410">
        <f t="shared" si="245"/>
        <v>0</v>
      </c>
      <c r="AY402" s="3352">
        <f t="shared" si="246"/>
        <v>0</v>
      </c>
      <c r="AZ402" s="3307">
        <f t="shared" si="247"/>
        <v>0</v>
      </c>
      <c r="BA402" s="3307">
        <f t="shared" si="248"/>
        <v>0</v>
      </c>
      <c r="BB402" s="3307">
        <f t="shared" si="249"/>
        <v>0</v>
      </c>
      <c r="BC402" s="3307">
        <f t="shared" si="250"/>
        <v>0</v>
      </c>
      <c r="BD402" s="3307">
        <f t="shared" si="251"/>
        <v>0</v>
      </c>
      <c r="BE402" s="3307">
        <f t="shared" si="252"/>
        <v>0</v>
      </c>
      <c r="BF402" s="3307">
        <f t="shared" si="253"/>
        <v>0</v>
      </c>
      <c r="BG402" s="3307">
        <f t="shared" si="254"/>
        <v>0</v>
      </c>
      <c r="BH402" s="3307">
        <f t="shared" si="255"/>
        <v>0</v>
      </c>
      <c r="BI402" s="3307">
        <f t="shared" si="256"/>
        <v>0</v>
      </c>
      <c r="BJ402" s="3307">
        <f t="shared" si="257"/>
        <v>0</v>
      </c>
      <c r="BK402" s="3307">
        <f t="shared" si="258"/>
        <v>0</v>
      </c>
      <c r="BL402" s="3307">
        <f t="shared" si="259"/>
        <v>0</v>
      </c>
      <c r="BM402" s="3307">
        <f t="shared" si="260"/>
        <v>0</v>
      </c>
      <c r="BN402" s="3307">
        <f t="shared" si="261"/>
        <v>0</v>
      </c>
      <c r="BO402" s="3307">
        <f t="shared" si="262"/>
        <v>0</v>
      </c>
      <c r="BP402" s="3307">
        <f t="shared" si="263"/>
        <v>0</v>
      </c>
      <c r="BQ402" s="3307">
        <f t="shared" si="264"/>
        <v>0</v>
      </c>
      <c r="BR402" s="3307">
        <f t="shared" si="265"/>
        <v>0</v>
      </c>
      <c r="BS402" s="3307">
        <f t="shared" si="266"/>
        <v>0</v>
      </c>
      <c r="BT402" s="3359">
        <f t="shared" si="267"/>
        <v>0</v>
      </c>
    </row>
    <row r="403" spans="1:72">
      <c r="A403" s="3304"/>
      <c r="B403" s="3305"/>
      <c r="C403" s="3305"/>
      <c r="D403" s="3306"/>
      <c r="E403" s="3307">
        <f t="shared" si="239"/>
        <v>0</v>
      </c>
      <c r="F403" s="3308"/>
      <c r="G403" s="3309">
        <f t="shared" si="240"/>
        <v>0</v>
      </c>
      <c r="H403" s="3310">
        <f t="shared" si="241"/>
        <v>0</v>
      </c>
      <c r="I403" s="3317"/>
      <c r="J403" s="3317"/>
      <c r="K403" s="3317"/>
      <c r="L403" s="3317"/>
      <c r="M403" s="3317"/>
      <c r="N403" s="3317"/>
      <c r="O403" s="3317"/>
      <c r="P403" s="3317"/>
      <c r="Q403" s="3317"/>
      <c r="R403" s="3317"/>
      <c r="S403" s="3317"/>
      <c r="T403" s="3317"/>
      <c r="U403" s="3317"/>
      <c r="V403" s="3317"/>
      <c r="W403" s="3317"/>
      <c r="X403" s="3317"/>
      <c r="Y403" s="3317"/>
      <c r="Z403" s="3317"/>
      <c r="AA403" s="3317"/>
      <c r="AB403" s="3317"/>
      <c r="AC403" s="3307">
        <f t="shared" si="242"/>
        <v>0</v>
      </c>
      <c r="AD403" s="3327"/>
      <c r="AE403" s="3327"/>
      <c r="AF403" s="3327"/>
      <c r="AG403" s="3327"/>
      <c r="AH403" s="3327"/>
      <c r="AI403" s="3327"/>
      <c r="AJ403" s="3327"/>
      <c r="AK403" s="3327"/>
      <c r="AL403" s="3327"/>
      <c r="AM403" s="3327"/>
      <c r="AN403" s="3327"/>
      <c r="AO403" s="3327"/>
      <c r="AP403" s="3327"/>
      <c r="AQ403" s="3327"/>
      <c r="AR403" s="3327"/>
      <c r="AS403" s="3327"/>
      <c r="AT403" s="3337"/>
      <c r="AU403" s="3338"/>
      <c r="AV403" s="1410">
        <f t="shared" si="243"/>
        <v>0</v>
      </c>
      <c r="AW403" s="1410">
        <f t="shared" si="244"/>
        <v>0</v>
      </c>
      <c r="AX403" s="1410">
        <f t="shared" si="245"/>
        <v>0</v>
      </c>
      <c r="AY403" s="3352">
        <f t="shared" si="246"/>
        <v>0</v>
      </c>
      <c r="AZ403" s="3307">
        <f t="shared" si="247"/>
        <v>0</v>
      </c>
      <c r="BA403" s="3307">
        <f t="shared" si="248"/>
        <v>0</v>
      </c>
      <c r="BB403" s="3307">
        <f t="shared" si="249"/>
        <v>0</v>
      </c>
      <c r="BC403" s="3307">
        <f t="shared" si="250"/>
        <v>0</v>
      </c>
      <c r="BD403" s="3307">
        <f t="shared" si="251"/>
        <v>0</v>
      </c>
      <c r="BE403" s="3307">
        <f t="shared" si="252"/>
        <v>0</v>
      </c>
      <c r="BF403" s="3307">
        <f t="shared" si="253"/>
        <v>0</v>
      </c>
      <c r="BG403" s="3307">
        <f t="shared" si="254"/>
        <v>0</v>
      </c>
      <c r="BH403" s="3307">
        <f t="shared" si="255"/>
        <v>0</v>
      </c>
      <c r="BI403" s="3307">
        <f t="shared" si="256"/>
        <v>0</v>
      </c>
      <c r="BJ403" s="3307">
        <f t="shared" si="257"/>
        <v>0</v>
      </c>
      <c r="BK403" s="3307">
        <f t="shared" si="258"/>
        <v>0</v>
      </c>
      <c r="BL403" s="3307">
        <f t="shared" si="259"/>
        <v>0</v>
      </c>
      <c r="BM403" s="3307">
        <f t="shared" si="260"/>
        <v>0</v>
      </c>
      <c r="BN403" s="3307">
        <f t="shared" si="261"/>
        <v>0</v>
      </c>
      <c r="BO403" s="3307">
        <f t="shared" si="262"/>
        <v>0</v>
      </c>
      <c r="BP403" s="3307">
        <f t="shared" si="263"/>
        <v>0</v>
      </c>
      <c r="BQ403" s="3307">
        <f t="shared" si="264"/>
        <v>0</v>
      </c>
      <c r="BR403" s="3307">
        <f t="shared" si="265"/>
        <v>0</v>
      </c>
      <c r="BS403" s="3307">
        <f t="shared" si="266"/>
        <v>0</v>
      </c>
      <c r="BT403" s="3359">
        <f t="shared" si="267"/>
        <v>0</v>
      </c>
    </row>
    <row r="404" spans="1:72">
      <c r="A404" s="3304"/>
      <c r="B404" s="3305"/>
      <c r="C404" s="3305"/>
      <c r="D404" s="3306"/>
      <c r="E404" s="3307">
        <f t="shared" si="239"/>
        <v>0</v>
      </c>
      <c r="F404" s="3308"/>
      <c r="G404" s="3309">
        <f t="shared" si="240"/>
        <v>0</v>
      </c>
      <c r="H404" s="3310">
        <f t="shared" si="241"/>
        <v>0</v>
      </c>
      <c r="I404" s="3317"/>
      <c r="J404" s="3317"/>
      <c r="K404" s="3317"/>
      <c r="L404" s="3317"/>
      <c r="M404" s="3317"/>
      <c r="N404" s="3317"/>
      <c r="O404" s="3317"/>
      <c r="P404" s="3317"/>
      <c r="Q404" s="3317"/>
      <c r="R404" s="3317"/>
      <c r="S404" s="3317"/>
      <c r="T404" s="3317"/>
      <c r="U404" s="3317"/>
      <c r="V404" s="3317"/>
      <c r="W404" s="3317"/>
      <c r="X404" s="3317"/>
      <c r="Y404" s="3317"/>
      <c r="Z404" s="3317"/>
      <c r="AA404" s="3317"/>
      <c r="AB404" s="3317"/>
      <c r="AC404" s="3307">
        <f t="shared" si="242"/>
        <v>0</v>
      </c>
      <c r="AD404" s="3327"/>
      <c r="AE404" s="3327"/>
      <c r="AF404" s="3327"/>
      <c r="AG404" s="3327"/>
      <c r="AH404" s="3327"/>
      <c r="AI404" s="3327"/>
      <c r="AJ404" s="3327"/>
      <c r="AK404" s="3327"/>
      <c r="AL404" s="3327"/>
      <c r="AM404" s="3327"/>
      <c r="AN404" s="3327"/>
      <c r="AO404" s="3327"/>
      <c r="AP404" s="3327"/>
      <c r="AQ404" s="3327"/>
      <c r="AR404" s="3327"/>
      <c r="AS404" s="3327"/>
      <c r="AT404" s="3337"/>
      <c r="AU404" s="3338"/>
      <c r="AV404" s="1410">
        <f t="shared" si="243"/>
        <v>0</v>
      </c>
      <c r="AW404" s="1410">
        <f t="shared" si="244"/>
        <v>0</v>
      </c>
      <c r="AX404" s="1410">
        <f t="shared" si="245"/>
        <v>0</v>
      </c>
      <c r="AY404" s="3352">
        <f t="shared" si="246"/>
        <v>0</v>
      </c>
      <c r="AZ404" s="3307">
        <f t="shared" si="247"/>
        <v>0</v>
      </c>
      <c r="BA404" s="3307">
        <f t="shared" si="248"/>
        <v>0</v>
      </c>
      <c r="BB404" s="3307">
        <f t="shared" si="249"/>
        <v>0</v>
      </c>
      <c r="BC404" s="3307">
        <f t="shared" si="250"/>
        <v>0</v>
      </c>
      <c r="BD404" s="3307">
        <f t="shared" si="251"/>
        <v>0</v>
      </c>
      <c r="BE404" s="3307">
        <f t="shared" si="252"/>
        <v>0</v>
      </c>
      <c r="BF404" s="3307">
        <f t="shared" si="253"/>
        <v>0</v>
      </c>
      <c r="BG404" s="3307">
        <f t="shared" si="254"/>
        <v>0</v>
      </c>
      <c r="BH404" s="3307">
        <f t="shared" si="255"/>
        <v>0</v>
      </c>
      <c r="BI404" s="3307">
        <f t="shared" si="256"/>
        <v>0</v>
      </c>
      <c r="BJ404" s="3307">
        <f t="shared" si="257"/>
        <v>0</v>
      </c>
      <c r="BK404" s="3307">
        <f t="shared" si="258"/>
        <v>0</v>
      </c>
      <c r="BL404" s="3307">
        <f t="shared" si="259"/>
        <v>0</v>
      </c>
      <c r="BM404" s="3307">
        <f t="shared" si="260"/>
        <v>0</v>
      </c>
      <c r="BN404" s="3307">
        <f t="shared" si="261"/>
        <v>0</v>
      </c>
      <c r="BO404" s="3307">
        <f t="shared" si="262"/>
        <v>0</v>
      </c>
      <c r="BP404" s="3307">
        <f t="shared" si="263"/>
        <v>0</v>
      </c>
      <c r="BQ404" s="3307">
        <f t="shared" si="264"/>
        <v>0</v>
      </c>
      <c r="BR404" s="3307">
        <f t="shared" si="265"/>
        <v>0</v>
      </c>
      <c r="BS404" s="3307">
        <f t="shared" si="266"/>
        <v>0</v>
      </c>
      <c r="BT404" s="3359">
        <f t="shared" si="267"/>
        <v>0</v>
      </c>
    </row>
    <row r="405" spans="1:72">
      <c r="A405" s="3304"/>
      <c r="B405" s="3305"/>
      <c r="C405" s="3305"/>
      <c r="D405" s="3306"/>
      <c r="E405" s="3307">
        <f t="shared" si="239"/>
        <v>0</v>
      </c>
      <c r="F405" s="3308"/>
      <c r="G405" s="3309">
        <f t="shared" si="240"/>
        <v>0</v>
      </c>
      <c r="H405" s="3310">
        <f t="shared" si="241"/>
        <v>0</v>
      </c>
      <c r="I405" s="3317"/>
      <c r="J405" s="3317"/>
      <c r="K405" s="3317"/>
      <c r="L405" s="3317"/>
      <c r="M405" s="3317"/>
      <c r="N405" s="3317"/>
      <c r="O405" s="3317"/>
      <c r="P405" s="3317"/>
      <c r="Q405" s="3317"/>
      <c r="R405" s="3317"/>
      <c r="S405" s="3317"/>
      <c r="T405" s="3317"/>
      <c r="U405" s="3317"/>
      <c r="V405" s="3317"/>
      <c r="W405" s="3317"/>
      <c r="X405" s="3317"/>
      <c r="Y405" s="3317"/>
      <c r="Z405" s="3317"/>
      <c r="AA405" s="3317"/>
      <c r="AB405" s="3317"/>
      <c r="AC405" s="3307">
        <f t="shared" si="242"/>
        <v>0</v>
      </c>
      <c r="AD405" s="3327"/>
      <c r="AE405" s="3327"/>
      <c r="AF405" s="3327"/>
      <c r="AG405" s="3327"/>
      <c r="AH405" s="3327"/>
      <c r="AI405" s="3327"/>
      <c r="AJ405" s="3327"/>
      <c r="AK405" s="3327"/>
      <c r="AL405" s="3327"/>
      <c r="AM405" s="3327"/>
      <c r="AN405" s="3327"/>
      <c r="AO405" s="3327"/>
      <c r="AP405" s="3327"/>
      <c r="AQ405" s="3327"/>
      <c r="AR405" s="3327"/>
      <c r="AS405" s="3327"/>
      <c r="AT405" s="3337"/>
      <c r="AU405" s="3338"/>
      <c r="AV405" s="1410">
        <f t="shared" si="243"/>
        <v>0</v>
      </c>
      <c r="AW405" s="1410">
        <f t="shared" si="244"/>
        <v>0</v>
      </c>
      <c r="AX405" s="1410">
        <f t="shared" si="245"/>
        <v>0</v>
      </c>
      <c r="AY405" s="3352">
        <f t="shared" si="246"/>
        <v>0</v>
      </c>
      <c r="AZ405" s="3307">
        <f t="shared" si="247"/>
        <v>0</v>
      </c>
      <c r="BA405" s="3307">
        <f t="shared" si="248"/>
        <v>0</v>
      </c>
      <c r="BB405" s="3307">
        <f t="shared" si="249"/>
        <v>0</v>
      </c>
      <c r="BC405" s="3307">
        <f t="shared" si="250"/>
        <v>0</v>
      </c>
      <c r="BD405" s="3307">
        <f t="shared" si="251"/>
        <v>0</v>
      </c>
      <c r="BE405" s="3307">
        <f t="shared" si="252"/>
        <v>0</v>
      </c>
      <c r="BF405" s="3307">
        <f t="shared" si="253"/>
        <v>0</v>
      </c>
      <c r="BG405" s="3307">
        <f t="shared" si="254"/>
        <v>0</v>
      </c>
      <c r="BH405" s="3307">
        <f t="shared" si="255"/>
        <v>0</v>
      </c>
      <c r="BI405" s="3307">
        <f t="shared" si="256"/>
        <v>0</v>
      </c>
      <c r="BJ405" s="3307">
        <f t="shared" si="257"/>
        <v>0</v>
      </c>
      <c r="BK405" s="3307">
        <f t="shared" si="258"/>
        <v>0</v>
      </c>
      <c r="BL405" s="3307">
        <f t="shared" si="259"/>
        <v>0</v>
      </c>
      <c r="BM405" s="3307">
        <f t="shared" si="260"/>
        <v>0</v>
      </c>
      <c r="BN405" s="3307">
        <f t="shared" si="261"/>
        <v>0</v>
      </c>
      <c r="BO405" s="3307">
        <f t="shared" si="262"/>
        <v>0</v>
      </c>
      <c r="BP405" s="3307">
        <f t="shared" si="263"/>
        <v>0</v>
      </c>
      <c r="BQ405" s="3307">
        <f t="shared" si="264"/>
        <v>0</v>
      </c>
      <c r="BR405" s="3307">
        <f t="shared" si="265"/>
        <v>0</v>
      </c>
      <c r="BS405" s="3307">
        <f t="shared" si="266"/>
        <v>0</v>
      </c>
      <c r="BT405" s="3359">
        <f t="shared" si="267"/>
        <v>0</v>
      </c>
    </row>
    <row r="406" spans="1:72">
      <c r="A406" s="3304"/>
      <c r="B406" s="3305"/>
      <c r="C406" s="3305"/>
      <c r="D406" s="3306"/>
      <c r="E406" s="3307">
        <f t="shared" si="239"/>
        <v>0</v>
      </c>
      <c r="F406" s="3308"/>
      <c r="G406" s="3309">
        <f t="shared" si="240"/>
        <v>0</v>
      </c>
      <c r="H406" s="3310">
        <f t="shared" si="241"/>
        <v>0</v>
      </c>
      <c r="I406" s="3317"/>
      <c r="J406" s="3317"/>
      <c r="K406" s="3317"/>
      <c r="L406" s="3317"/>
      <c r="M406" s="3317"/>
      <c r="N406" s="3317"/>
      <c r="O406" s="3317"/>
      <c r="P406" s="3317"/>
      <c r="Q406" s="3317"/>
      <c r="R406" s="3317"/>
      <c r="S406" s="3317"/>
      <c r="T406" s="3317"/>
      <c r="U406" s="3317"/>
      <c r="V406" s="3317"/>
      <c r="W406" s="3317"/>
      <c r="X406" s="3317"/>
      <c r="Y406" s="3317"/>
      <c r="Z406" s="3317"/>
      <c r="AA406" s="3317"/>
      <c r="AB406" s="3317"/>
      <c r="AC406" s="3307">
        <f t="shared" si="242"/>
        <v>0</v>
      </c>
      <c r="AD406" s="3327"/>
      <c r="AE406" s="3327"/>
      <c r="AF406" s="3327"/>
      <c r="AG406" s="3327"/>
      <c r="AH406" s="3327"/>
      <c r="AI406" s="3327"/>
      <c r="AJ406" s="3327"/>
      <c r="AK406" s="3327"/>
      <c r="AL406" s="3327"/>
      <c r="AM406" s="3327"/>
      <c r="AN406" s="3327"/>
      <c r="AO406" s="3327"/>
      <c r="AP406" s="3327"/>
      <c r="AQ406" s="3327"/>
      <c r="AR406" s="3327"/>
      <c r="AS406" s="3327"/>
      <c r="AT406" s="3337"/>
      <c r="AU406" s="3338"/>
      <c r="AV406" s="1410">
        <f t="shared" si="243"/>
        <v>0</v>
      </c>
      <c r="AW406" s="1410">
        <f t="shared" si="244"/>
        <v>0</v>
      </c>
      <c r="AX406" s="1410">
        <f t="shared" si="245"/>
        <v>0</v>
      </c>
      <c r="AY406" s="3352">
        <f t="shared" si="246"/>
        <v>0</v>
      </c>
      <c r="AZ406" s="3307">
        <f t="shared" si="247"/>
        <v>0</v>
      </c>
      <c r="BA406" s="3307">
        <f t="shared" si="248"/>
        <v>0</v>
      </c>
      <c r="BB406" s="3307">
        <f t="shared" si="249"/>
        <v>0</v>
      </c>
      <c r="BC406" s="3307">
        <f t="shared" si="250"/>
        <v>0</v>
      </c>
      <c r="BD406" s="3307">
        <f t="shared" si="251"/>
        <v>0</v>
      </c>
      <c r="BE406" s="3307">
        <f t="shared" si="252"/>
        <v>0</v>
      </c>
      <c r="BF406" s="3307">
        <f t="shared" si="253"/>
        <v>0</v>
      </c>
      <c r="BG406" s="3307">
        <f t="shared" si="254"/>
        <v>0</v>
      </c>
      <c r="BH406" s="3307">
        <f t="shared" si="255"/>
        <v>0</v>
      </c>
      <c r="BI406" s="3307">
        <f t="shared" si="256"/>
        <v>0</v>
      </c>
      <c r="BJ406" s="3307">
        <f t="shared" si="257"/>
        <v>0</v>
      </c>
      <c r="BK406" s="3307">
        <f t="shared" si="258"/>
        <v>0</v>
      </c>
      <c r="BL406" s="3307">
        <f t="shared" si="259"/>
        <v>0</v>
      </c>
      <c r="BM406" s="3307">
        <f t="shared" si="260"/>
        <v>0</v>
      </c>
      <c r="BN406" s="3307">
        <f t="shared" si="261"/>
        <v>0</v>
      </c>
      <c r="BO406" s="3307">
        <f t="shared" si="262"/>
        <v>0</v>
      </c>
      <c r="BP406" s="3307">
        <f t="shared" si="263"/>
        <v>0</v>
      </c>
      <c r="BQ406" s="3307">
        <f t="shared" si="264"/>
        <v>0</v>
      </c>
      <c r="BR406" s="3307">
        <f t="shared" si="265"/>
        <v>0</v>
      </c>
      <c r="BS406" s="3307">
        <f t="shared" si="266"/>
        <v>0</v>
      </c>
      <c r="BT406" s="3359">
        <f t="shared" si="267"/>
        <v>0</v>
      </c>
    </row>
    <row r="407" spans="1:72">
      <c r="A407" s="3304"/>
      <c r="B407" s="3305"/>
      <c r="C407" s="3305"/>
      <c r="D407" s="3306"/>
      <c r="E407" s="3307">
        <f t="shared" si="239"/>
        <v>0</v>
      </c>
      <c r="F407" s="3308"/>
      <c r="G407" s="3309">
        <f t="shared" si="240"/>
        <v>0</v>
      </c>
      <c r="H407" s="3310">
        <f t="shared" si="241"/>
        <v>0</v>
      </c>
      <c r="I407" s="3317"/>
      <c r="J407" s="3317"/>
      <c r="K407" s="3317"/>
      <c r="L407" s="3317"/>
      <c r="M407" s="3317"/>
      <c r="N407" s="3317"/>
      <c r="O407" s="3317"/>
      <c r="P407" s="3317"/>
      <c r="Q407" s="3317"/>
      <c r="R407" s="3317"/>
      <c r="S407" s="3317"/>
      <c r="T407" s="3317"/>
      <c r="U407" s="3317"/>
      <c r="V407" s="3317"/>
      <c r="W407" s="3317"/>
      <c r="X407" s="3317"/>
      <c r="Y407" s="3317"/>
      <c r="Z407" s="3317"/>
      <c r="AA407" s="3317"/>
      <c r="AB407" s="3317"/>
      <c r="AC407" s="3307">
        <f t="shared" si="242"/>
        <v>0</v>
      </c>
      <c r="AD407" s="3327"/>
      <c r="AE407" s="3327"/>
      <c r="AF407" s="3327"/>
      <c r="AG407" s="3327"/>
      <c r="AH407" s="3327"/>
      <c r="AI407" s="3327"/>
      <c r="AJ407" s="3327"/>
      <c r="AK407" s="3327"/>
      <c r="AL407" s="3327"/>
      <c r="AM407" s="3327"/>
      <c r="AN407" s="3327"/>
      <c r="AO407" s="3327"/>
      <c r="AP407" s="3327"/>
      <c r="AQ407" s="3327"/>
      <c r="AR407" s="3327"/>
      <c r="AS407" s="3327"/>
      <c r="AT407" s="3337"/>
      <c r="AU407" s="3338"/>
      <c r="AV407" s="1410">
        <f t="shared" si="243"/>
        <v>0</v>
      </c>
      <c r="AW407" s="1410">
        <f t="shared" si="244"/>
        <v>0</v>
      </c>
      <c r="AX407" s="1410">
        <f t="shared" si="245"/>
        <v>0</v>
      </c>
      <c r="AY407" s="3352">
        <f t="shared" si="246"/>
        <v>0</v>
      </c>
      <c r="AZ407" s="3307">
        <f t="shared" si="247"/>
        <v>0</v>
      </c>
      <c r="BA407" s="3307">
        <f t="shared" si="248"/>
        <v>0</v>
      </c>
      <c r="BB407" s="3307">
        <f t="shared" si="249"/>
        <v>0</v>
      </c>
      <c r="BC407" s="3307">
        <f t="shared" si="250"/>
        <v>0</v>
      </c>
      <c r="BD407" s="3307">
        <f t="shared" si="251"/>
        <v>0</v>
      </c>
      <c r="BE407" s="3307">
        <f t="shared" si="252"/>
        <v>0</v>
      </c>
      <c r="BF407" s="3307">
        <f t="shared" si="253"/>
        <v>0</v>
      </c>
      <c r="BG407" s="3307">
        <f t="shared" si="254"/>
        <v>0</v>
      </c>
      <c r="BH407" s="3307">
        <f t="shared" si="255"/>
        <v>0</v>
      </c>
      <c r="BI407" s="3307">
        <f t="shared" si="256"/>
        <v>0</v>
      </c>
      <c r="BJ407" s="3307">
        <f t="shared" si="257"/>
        <v>0</v>
      </c>
      <c r="BK407" s="3307">
        <f t="shared" si="258"/>
        <v>0</v>
      </c>
      <c r="BL407" s="3307">
        <f t="shared" si="259"/>
        <v>0</v>
      </c>
      <c r="BM407" s="3307">
        <f t="shared" si="260"/>
        <v>0</v>
      </c>
      <c r="BN407" s="3307">
        <f t="shared" si="261"/>
        <v>0</v>
      </c>
      <c r="BO407" s="3307">
        <f t="shared" si="262"/>
        <v>0</v>
      </c>
      <c r="BP407" s="3307">
        <f t="shared" si="263"/>
        <v>0</v>
      </c>
      <c r="BQ407" s="3307">
        <f t="shared" si="264"/>
        <v>0</v>
      </c>
      <c r="BR407" s="3307">
        <f t="shared" si="265"/>
        <v>0</v>
      </c>
      <c r="BS407" s="3307">
        <f t="shared" si="266"/>
        <v>0</v>
      </c>
      <c r="BT407" s="3359">
        <f t="shared" si="267"/>
        <v>0</v>
      </c>
    </row>
    <row r="408" spans="1:72">
      <c r="A408" s="3304"/>
      <c r="B408" s="3305"/>
      <c r="C408" s="3305"/>
      <c r="D408" s="3306"/>
      <c r="E408" s="3307">
        <f t="shared" si="239"/>
        <v>0</v>
      </c>
      <c r="F408" s="3308"/>
      <c r="G408" s="3309">
        <f t="shared" si="240"/>
        <v>0</v>
      </c>
      <c r="H408" s="3310">
        <f t="shared" si="241"/>
        <v>0</v>
      </c>
      <c r="I408" s="3317"/>
      <c r="J408" s="3317"/>
      <c r="K408" s="3317"/>
      <c r="L408" s="3317"/>
      <c r="M408" s="3317"/>
      <c r="N408" s="3317"/>
      <c r="O408" s="3317"/>
      <c r="P408" s="3317"/>
      <c r="Q408" s="3317"/>
      <c r="R408" s="3317"/>
      <c r="S408" s="3317"/>
      <c r="T408" s="3317"/>
      <c r="U408" s="3317"/>
      <c r="V408" s="3317"/>
      <c r="W408" s="3317"/>
      <c r="X408" s="3317"/>
      <c r="Y408" s="3317"/>
      <c r="Z408" s="3317"/>
      <c r="AA408" s="3317"/>
      <c r="AB408" s="3317"/>
      <c r="AC408" s="3307">
        <f t="shared" si="242"/>
        <v>0</v>
      </c>
      <c r="AD408" s="3327"/>
      <c r="AE408" s="3327"/>
      <c r="AF408" s="3327"/>
      <c r="AG408" s="3327"/>
      <c r="AH408" s="3327"/>
      <c r="AI408" s="3327"/>
      <c r="AJ408" s="3327"/>
      <c r="AK408" s="3327"/>
      <c r="AL408" s="3327"/>
      <c r="AM408" s="3327"/>
      <c r="AN408" s="3327"/>
      <c r="AO408" s="3327"/>
      <c r="AP408" s="3327"/>
      <c r="AQ408" s="3327"/>
      <c r="AR408" s="3327"/>
      <c r="AS408" s="3327"/>
      <c r="AT408" s="3337"/>
      <c r="AU408" s="3338"/>
      <c r="AV408" s="1410">
        <f t="shared" si="243"/>
        <v>0</v>
      </c>
      <c r="AW408" s="1410">
        <f t="shared" si="244"/>
        <v>0</v>
      </c>
      <c r="AX408" s="1410">
        <f t="shared" si="245"/>
        <v>0</v>
      </c>
      <c r="AY408" s="3352">
        <f t="shared" si="246"/>
        <v>0</v>
      </c>
      <c r="AZ408" s="3307">
        <f t="shared" si="247"/>
        <v>0</v>
      </c>
      <c r="BA408" s="3307">
        <f t="shared" si="248"/>
        <v>0</v>
      </c>
      <c r="BB408" s="3307">
        <f t="shared" si="249"/>
        <v>0</v>
      </c>
      <c r="BC408" s="3307">
        <f t="shared" si="250"/>
        <v>0</v>
      </c>
      <c r="BD408" s="3307">
        <f t="shared" si="251"/>
        <v>0</v>
      </c>
      <c r="BE408" s="3307">
        <f t="shared" si="252"/>
        <v>0</v>
      </c>
      <c r="BF408" s="3307">
        <f t="shared" si="253"/>
        <v>0</v>
      </c>
      <c r="BG408" s="3307">
        <f t="shared" si="254"/>
        <v>0</v>
      </c>
      <c r="BH408" s="3307">
        <f t="shared" si="255"/>
        <v>0</v>
      </c>
      <c r="BI408" s="3307">
        <f t="shared" si="256"/>
        <v>0</v>
      </c>
      <c r="BJ408" s="3307">
        <f t="shared" si="257"/>
        <v>0</v>
      </c>
      <c r="BK408" s="3307">
        <f t="shared" si="258"/>
        <v>0</v>
      </c>
      <c r="BL408" s="3307">
        <f t="shared" si="259"/>
        <v>0</v>
      </c>
      <c r="BM408" s="3307">
        <f t="shared" si="260"/>
        <v>0</v>
      </c>
      <c r="BN408" s="3307">
        <f t="shared" si="261"/>
        <v>0</v>
      </c>
      <c r="BO408" s="3307">
        <f t="shared" si="262"/>
        <v>0</v>
      </c>
      <c r="BP408" s="3307">
        <f t="shared" si="263"/>
        <v>0</v>
      </c>
      <c r="BQ408" s="3307">
        <f t="shared" si="264"/>
        <v>0</v>
      </c>
      <c r="BR408" s="3307">
        <f t="shared" si="265"/>
        <v>0</v>
      </c>
      <c r="BS408" s="3307">
        <f t="shared" si="266"/>
        <v>0</v>
      </c>
      <c r="BT408" s="3359">
        <f t="shared" si="267"/>
        <v>0</v>
      </c>
    </row>
    <row r="409" spans="1:72">
      <c r="A409" s="3304"/>
      <c r="B409" s="3305"/>
      <c r="C409" s="3305"/>
      <c r="D409" s="3306"/>
      <c r="E409" s="3307">
        <f t="shared" si="239"/>
        <v>0</v>
      </c>
      <c r="F409" s="3308"/>
      <c r="G409" s="3309">
        <f t="shared" si="240"/>
        <v>0</v>
      </c>
      <c r="H409" s="3310">
        <f t="shared" si="241"/>
        <v>0</v>
      </c>
      <c r="I409" s="3317"/>
      <c r="J409" s="3317"/>
      <c r="K409" s="3317"/>
      <c r="L409" s="3317"/>
      <c r="M409" s="3317"/>
      <c r="N409" s="3317"/>
      <c r="O409" s="3317"/>
      <c r="P409" s="3317"/>
      <c r="Q409" s="3317"/>
      <c r="R409" s="3317"/>
      <c r="S409" s="3317"/>
      <c r="T409" s="3317"/>
      <c r="U409" s="3317"/>
      <c r="V409" s="3317"/>
      <c r="W409" s="3317"/>
      <c r="X409" s="3317"/>
      <c r="Y409" s="3317"/>
      <c r="Z409" s="3317"/>
      <c r="AA409" s="3317"/>
      <c r="AB409" s="3317"/>
      <c r="AC409" s="3307">
        <f t="shared" si="242"/>
        <v>0</v>
      </c>
      <c r="AD409" s="3327"/>
      <c r="AE409" s="3327"/>
      <c r="AF409" s="3327"/>
      <c r="AG409" s="3327"/>
      <c r="AH409" s="3327"/>
      <c r="AI409" s="3327"/>
      <c r="AJ409" s="3327"/>
      <c r="AK409" s="3327"/>
      <c r="AL409" s="3327"/>
      <c r="AM409" s="3327"/>
      <c r="AN409" s="3327"/>
      <c r="AO409" s="3327"/>
      <c r="AP409" s="3327"/>
      <c r="AQ409" s="3327"/>
      <c r="AR409" s="3327"/>
      <c r="AS409" s="3327"/>
      <c r="AT409" s="3337"/>
      <c r="AU409" s="3338"/>
      <c r="AV409" s="1410">
        <f t="shared" si="243"/>
        <v>0</v>
      </c>
      <c r="AW409" s="1410">
        <f t="shared" si="244"/>
        <v>0</v>
      </c>
      <c r="AX409" s="1410">
        <f t="shared" si="245"/>
        <v>0</v>
      </c>
      <c r="AY409" s="3352">
        <f t="shared" si="246"/>
        <v>0</v>
      </c>
      <c r="AZ409" s="3307">
        <f t="shared" si="247"/>
        <v>0</v>
      </c>
      <c r="BA409" s="3307">
        <f t="shared" si="248"/>
        <v>0</v>
      </c>
      <c r="BB409" s="3307">
        <f t="shared" si="249"/>
        <v>0</v>
      </c>
      <c r="BC409" s="3307">
        <f t="shared" si="250"/>
        <v>0</v>
      </c>
      <c r="BD409" s="3307">
        <f t="shared" si="251"/>
        <v>0</v>
      </c>
      <c r="BE409" s="3307">
        <f t="shared" si="252"/>
        <v>0</v>
      </c>
      <c r="BF409" s="3307">
        <f t="shared" si="253"/>
        <v>0</v>
      </c>
      <c r="BG409" s="3307">
        <f t="shared" si="254"/>
        <v>0</v>
      </c>
      <c r="BH409" s="3307">
        <f t="shared" si="255"/>
        <v>0</v>
      </c>
      <c r="BI409" s="3307">
        <f t="shared" si="256"/>
        <v>0</v>
      </c>
      <c r="BJ409" s="3307">
        <f t="shared" si="257"/>
        <v>0</v>
      </c>
      <c r="BK409" s="3307">
        <f t="shared" si="258"/>
        <v>0</v>
      </c>
      <c r="BL409" s="3307">
        <f t="shared" si="259"/>
        <v>0</v>
      </c>
      <c r="BM409" s="3307">
        <f t="shared" si="260"/>
        <v>0</v>
      </c>
      <c r="BN409" s="3307">
        <f t="shared" si="261"/>
        <v>0</v>
      </c>
      <c r="BO409" s="3307">
        <f t="shared" si="262"/>
        <v>0</v>
      </c>
      <c r="BP409" s="3307">
        <f t="shared" si="263"/>
        <v>0</v>
      </c>
      <c r="BQ409" s="3307">
        <f t="shared" si="264"/>
        <v>0</v>
      </c>
      <c r="BR409" s="3307">
        <f t="shared" si="265"/>
        <v>0</v>
      </c>
      <c r="BS409" s="3307">
        <f t="shared" si="266"/>
        <v>0</v>
      </c>
      <c r="BT409" s="3359">
        <f t="shared" si="267"/>
        <v>0</v>
      </c>
    </row>
    <row r="410" spans="1:72">
      <c r="A410" s="3304"/>
      <c r="B410" s="3305"/>
      <c r="C410" s="3305"/>
      <c r="D410" s="3306"/>
      <c r="E410" s="3307">
        <f t="shared" si="239"/>
        <v>0</v>
      </c>
      <c r="F410" s="3308"/>
      <c r="G410" s="3309">
        <f t="shared" si="240"/>
        <v>0</v>
      </c>
      <c r="H410" s="3310">
        <f t="shared" si="241"/>
        <v>0</v>
      </c>
      <c r="I410" s="3317"/>
      <c r="J410" s="3317"/>
      <c r="K410" s="3317"/>
      <c r="L410" s="3317"/>
      <c r="M410" s="3317"/>
      <c r="N410" s="3317"/>
      <c r="O410" s="3317"/>
      <c r="P410" s="3317"/>
      <c r="Q410" s="3317"/>
      <c r="R410" s="3317"/>
      <c r="S410" s="3317"/>
      <c r="T410" s="3317"/>
      <c r="U410" s="3317"/>
      <c r="V410" s="3317"/>
      <c r="W410" s="3317"/>
      <c r="X410" s="3317"/>
      <c r="Y410" s="3317"/>
      <c r="Z410" s="3317"/>
      <c r="AA410" s="3317"/>
      <c r="AB410" s="3317"/>
      <c r="AC410" s="3307">
        <f t="shared" si="242"/>
        <v>0</v>
      </c>
      <c r="AD410" s="3327"/>
      <c r="AE410" s="3327"/>
      <c r="AF410" s="3327"/>
      <c r="AG410" s="3327"/>
      <c r="AH410" s="3327"/>
      <c r="AI410" s="3327"/>
      <c r="AJ410" s="3327"/>
      <c r="AK410" s="3327"/>
      <c r="AL410" s="3327"/>
      <c r="AM410" s="3327"/>
      <c r="AN410" s="3327"/>
      <c r="AO410" s="3327"/>
      <c r="AP410" s="3327"/>
      <c r="AQ410" s="3327"/>
      <c r="AR410" s="3327"/>
      <c r="AS410" s="3327"/>
      <c r="AT410" s="3337"/>
      <c r="AU410" s="3338"/>
      <c r="AV410" s="1410">
        <f t="shared" si="243"/>
        <v>0</v>
      </c>
      <c r="AW410" s="1410">
        <f t="shared" si="244"/>
        <v>0</v>
      </c>
      <c r="AX410" s="1410">
        <f t="shared" si="245"/>
        <v>0</v>
      </c>
      <c r="AY410" s="3352">
        <f t="shared" si="246"/>
        <v>0</v>
      </c>
      <c r="AZ410" s="3307">
        <f t="shared" si="247"/>
        <v>0</v>
      </c>
      <c r="BA410" s="3307">
        <f t="shared" si="248"/>
        <v>0</v>
      </c>
      <c r="BB410" s="3307">
        <f t="shared" si="249"/>
        <v>0</v>
      </c>
      <c r="BC410" s="3307">
        <f t="shared" si="250"/>
        <v>0</v>
      </c>
      <c r="BD410" s="3307">
        <f t="shared" si="251"/>
        <v>0</v>
      </c>
      <c r="BE410" s="3307">
        <f t="shared" si="252"/>
        <v>0</v>
      </c>
      <c r="BF410" s="3307">
        <f t="shared" si="253"/>
        <v>0</v>
      </c>
      <c r="BG410" s="3307">
        <f t="shared" si="254"/>
        <v>0</v>
      </c>
      <c r="BH410" s="3307">
        <f t="shared" si="255"/>
        <v>0</v>
      </c>
      <c r="BI410" s="3307">
        <f t="shared" si="256"/>
        <v>0</v>
      </c>
      <c r="BJ410" s="3307">
        <f t="shared" si="257"/>
        <v>0</v>
      </c>
      <c r="BK410" s="3307">
        <f t="shared" si="258"/>
        <v>0</v>
      </c>
      <c r="BL410" s="3307">
        <f t="shared" si="259"/>
        <v>0</v>
      </c>
      <c r="BM410" s="3307">
        <f t="shared" si="260"/>
        <v>0</v>
      </c>
      <c r="BN410" s="3307">
        <f t="shared" si="261"/>
        <v>0</v>
      </c>
      <c r="BO410" s="3307">
        <f t="shared" si="262"/>
        <v>0</v>
      </c>
      <c r="BP410" s="3307">
        <f t="shared" si="263"/>
        <v>0</v>
      </c>
      <c r="BQ410" s="3307">
        <f t="shared" si="264"/>
        <v>0</v>
      </c>
      <c r="BR410" s="3307">
        <f t="shared" si="265"/>
        <v>0</v>
      </c>
      <c r="BS410" s="3307">
        <f t="shared" si="266"/>
        <v>0</v>
      </c>
      <c r="BT410" s="3359">
        <f t="shared" si="267"/>
        <v>0</v>
      </c>
    </row>
    <row r="411" spans="1:72">
      <c r="A411" s="3304"/>
      <c r="B411" s="3305"/>
      <c r="C411" s="3305"/>
      <c r="D411" s="3306"/>
      <c r="E411" s="3307">
        <f t="shared" si="239"/>
        <v>0</v>
      </c>
      <c r="F411" s="3308"/>
      <c r="G411" s="3309">
        <f t="shared" si="240"/>
        <v>0</v>
      </c>
      <c r="H411" s="3310">
        <f t="shared" si="241"/>
        <v>0</v>
      </c>
      <c r="I411" s="3317"/>
      <c r="J411" s="3317"/>
      <c r="K411" s="3317"/>
      <c r="L411" s="3317"/>
      <c r="M411" s="3317"/>
      <c r="N411" s="3317"/>
      <c r="O411" s="3317"/>
      <c r="P411" s="3317"/>
      <c r="Q411" s="3317"/>
      <c r="R411" s="3317"/>
      <c r="S411" s="3317"/>
      <c r="T411" s="3317"/>
      <c r="U411" s="3317"/>
      <c r="V411" s="3317"/>
      <c r="W411" s="3317"/>
      <c r="X411" s="3317"/>
      <c r="Y411" s="3317"/>
      <c r="Z411" s="3317"/>
      <c r="AA411" s="3317"/>
      <c r="AB411" s="3317"/>
      <c r="AC411" s="3307">
        <f t="shared" si="242"/>
        <v>0</v>
      </c>
      <c r="AD411" s="3327"/>
      <c r="AE411" s="3327"/>
      <c r="AF411" s="3327"/>
      <c r="AG411" s="3327"/>
      <c r="AH411" s="3327"/>
      <c r="AI411" s="3327"/>
      <c r="AJ411" s="3327"/>
      <c r="AK411" s="3327"/>
      <c r="AL411" s="3327"/>
      <c r="AM411" s="3327"/>
      <c r="AN411" s="3327"/>
      <c r="AO411" s="3327"/>
      <c r="AP411" s="3327"/>
      <c r="AQ411" s="3327"/>
      <c r="AR411" s="3327"/>
      <c r="AS411" s="3327"/>
      <c r="AT411" s="3337"/>
      <c r="AU411" s="3338"/>
      <c r="AV411" s="1410">
        <f t="shared" si="243"/>
        <v>0</v>
      </c>
      <c r="AW411" s="1410">
        <f t="shared" si="244"/>
        <v>0</v>
      </c>
      <c r="AX411" s="1410">
        <f t="shared" si="245"/>
        <v>0</v>
      </c>
      <c r="AY411" s="3352">
        <f t="shared" si="246"/>
        <v>0</v>
      </c>
      <c r="AZ411" s="3307">
        <f t="shared" si="247"/>
        <v>0</v>
      </c>
      <c r="BA411" s="3307">
        <f t="shared" si="248"/>
        <v>0</v>
      </c>
      <c r="BB411" s="3307">
        <f t="shared" si="249"/>
        <v>0</v>
      </c>
      <c r="BC411" s="3307">
        <f t="shared" si="250"/>
        <v>0</v>
      </c>
      <c r="BD411" s="3307">
        <f t="shared" si="251"/>
        <v>0</v>
      </c>
      <c r="BE411" s="3307">
        <f t="shared" si="252"/>
        <v>0</v>
      </c>
      <c r="BF411" s="3307">
        <f t="shared" si="253"/>
        <v>0</v>
      </c>
      <c r="BG411" s="3307">
        <f t="shared" si="254"/>
        <v>0</v>
      </c>
      <c r="BH411" s="3307">
        <f t="shared" si="255"/>
        <v>0</v>
      </c>
      <c r="BI411" s="3307">
        <f t="shared" si="256"/>
        <v>0</v>
      </c>
      <c r="BJ411" s="3307">
        <f t="shared" si="257"/>
        <v>0</v>
      </c>
      <c r="BK411" s="3307">
        <f t="shared" si="258"/>
        <v>0</v>
      </c>
      <c r="BL411" s="3307">
        <f t="shared" si="259"/>
        <v>0</v>
      </c>
      <c r="BM411" s="3307">
        <f t="shared" si="260"/>
        <v>0</v>
      </c>
      <c r="BN411" s="3307">
        <f t="shared" si="261"/>
        <v>0</v>
      </c>
      <c r="BO411" s="3307">
        <f t="shared" si="262"/>
        <v>0</v>
      </c>
      <c r="BP411" s="3307">
        <f t="shared" si="263"/>
        <v>0</v>
      </c>
      <c r="BQ411" s="3307">
        <f t="shared" si="264"/>
        <v>0</v>
      </c>
      <c r="BR411" s="3307">
        <f t="shared" si="265"/>
        <v>0</v>
      </c>
      <c r="BS411" s="3307">
        <f t="shared" si="266"/>
        <v>0</v>
      </c>
      <c r="BT411" s="3359">
        <f t="shared" si="267"/>
        <v>0</v>
      </c>
    </row>
    <row r="412" spans="1:72">
      <c r="A412" s="3304"/>
      <c r="B412" s="3305"/>
      <c r="C412" s="3305"/>
      <c r="D412" s="3306"/>
      <c r="E412" s="3307">
        <f t="shared" si="239"/>
        <v>0</v>
      </c>
      <c r="F412" s="3308"/>
      <c r="G412" s="3309">
        <f t="shared" si="240"/>
        <v>0</v>
      </c>
      <c r="H412" s="3310">
        <f t="shared" si="241"/>
        <v>0</v>
      </c>
      <c r="I412" s="3317"/>
      <c r="J412" s="3317"/>
      <c r="K412" s="3317"/>
      <c r="L412" s="3317"/>
      <c r="M412" s="3317"/>
      <c r="N412" s="3317"/>
      <c r="O412" s="3317"/>
      <c r="P412" s="3317"/>
      <c r="Q412" s="3317"/>
      <c r="R412" s="3317"/>
      <c r="S412" s="3317"/>
      <c r="T412" s="3317"/>
      <c r="U412" s="3317"/>
      <c r="V412" s="3317"/>
      <c r="W412" s="3317"/>
      <c r="X412" s="3317"/>
      <c r="Y412" s="3317"/>
      <c r="Z412" s="3317"/>
      <c r="AA412" s="3317"/>
      <c r="AB412" s="3317"/>
      <c r="AC412" s="3307">
        <f t="shared" si="242"/>
        <v>0</v>
      </c>
      <c r="AD412" s="3327"/>
      <c r="AE412" s="3327"/>
      <c r="AF412" s="3327"/>
      <c r="AG412" s="3327"/>
      <c r="AH412" s="3327"/>
      <c r="AI412" s="3327"/>
      <c r="AJ412" s="3327"/>
      <c r="AK412" s="3327"/>
      <c r="AL412" s="3327"/>
      <c r="AM412" s="3327"/>
      <c r="AN412" s="3327"/>
      <c r="AO412" s="3327"/>
      <c r="AP412" s="3327"/>
      <c r="AQ412" s="3327"/>
      <c r="AR412" s="3327"/>
      <c r="AS412" s="3327"/>
      <c r="AT412" s="3337"/>
      <c r="AU412" s="3338"/>
      <c r="AV412" s="1410">
        <f t="shared" si="243"/>
        <v>0</v>
      </c>
      <c r="AW412" s="1410">
        <f t="shared" si="244"/>
        <v>0</v>
      </c>
      <c r="AX412" s="1410">
        <f t="shared" si="245"/>
        <v>0</v>
      </c>
      <c r="AY412" s="3352">
        <f t="shared" si="246"/>
        <v>0</v>
      </c>
      <c r="AZ412" s="3307">
        <f t="shared" si="247"/>
        <v>0</v>
      </c>
      <c r="BA412" s="3307">
        <f t="shared" si="248"/>
        <v>0</v>
      </c>
      <c r="BB412" s="3307">
        <f t="shared" si="249"/>
        <v>0</v>
      </c>
      <c r="BC412" s="3307">
        <f t="shared" si="250"/>
        <v>0</v>
      </c>
      <c r="BD412" s="3307">
        <f t="shared" si="251"/>
        <v>0</v>
      </c>
      <c r="BE412" s="3307">
        <f t="shared" si="252"/>
        <v>0</v>
      </c>
      <c r="BF412" s="3307">
        <f t="shared" si="253"/>
        <v>0</v>
      </c>
      <c r="BG412" s="3307">
        <f t="shared" si="254"/>
        <v>0</v>
      </c>
      <c r="BH412" s="3307">
        <f t="shared" si="255"/>
        <v>0</v>
      </c>
      <c r="BI412" s="3307">
        <f t="shared" si="256"/>
        <v>0</v>
      </c>
      <c r="BJ412" s="3307">
        <f t="shared" si="257"/>
        <v>0</v>
      </c>
      <c r="BK412" s="3307">
        <f t="shared" si="258"/>
        <v>0</v>
      </c>
      <c r="BL412" s="3307">
        <f t="shared" si="259"/>
        <v>0</v>
      </c>
      <c r="BM412" s="3307">
        <f t="shared" si="260"/>
        <v>0</v>
      </c>
      <c r="BN412" s="3307">
        <f t="shared" si="261"/>
        <v>0</v>
      </c>
      <c r="BO412" s="3307">
        <f t="shared" si="262"/>
        <v>0</v>
      </c>
      <c r="BP412" s="3307">
        <f t="shared" si="263"/>
        <v>0</v>
      </c>
      <c r="BQ412" s="3307">
        <f t="shared" si="264"/>
        <v>0</v>
      </c>
      <c r="BR412" s="3307">
        <f t="shared" si="265"/>
        <v>0</v>
      </c>
      <c r="BS412" s="3307">
        <f t="shared" si="266"/>
        <v>0</v>
      </c>
      <c r="BT412" s="3359">
        <f t="shared" si="267"/>
        <v>0</v>
      </c>
    </row>
    <row r="413" spans="1:72">
      <c r="A413" s="3304"/>
      <c r="B413" s="3305"/>
      <c r="C413" s="3305"/>
      <c r="D413" s="3306"/>
      <c r="E413" s="3307">
        <f t="shared" si="239"/>
        <v>0</v>
      </c>
      <c r="F413" s="3308"/>
      <c r="G413" s="3309">
        <f t="shared" si="240"/>
        <v>0</v>
      </c>
      <c r="H413" s="3310">
        <f t="shared" si="241"/>
        <v>0</v>
      </c>
      <c r="I413" s="3317"/>
      <c r="J413" s="3317"/>
      <c r="K413" s="3317"/>
      <c r="L413" s="3317"/>
      <c r="M413" s="3317"/>
      <c r="N413" s="3317"/>
      <c r="O413" s="3317"/>
      <c r="P413" s="3317"/>
      <c r="Q413" s="3317"/>
      <c r="R413" s="3317"/>
      <c r="S413" s="3317"/>
      <c r="T413" s="3317"/>
      <c r="U413" s="3317"/>
      <c r="V413" s="3317"/>
      <c r="W413" s="3317"/>
      <c r="X413" s="3317"/>
      <c r="Y413" s="3317"/>
      <c r="Z413" s="3317"/>
      <c r="AA413" s="3317"/>
      <c r="AB413" s="3317"/>
      <c r="AC413" s="3307">
        <f t="shared" si="242"/>
        <v>0</v>
      </c>
      <c r="AD413" s="3327"/>
      <c r="AE413" s="3327"/>
      <c r="AF413" s="3327"/>
      <c r="AG413" s="3327"/>
      <c r="AH413" s="3327"/>
      <c r="AI413" s="3327"/>
      <c r="AJ413" s="3327"/>
      <c r="AK413" s="3327"/>
      <c r="AL413" s="3327"/>
      <c r="AM413" s="3327"/>
      <c r="AN413" s="3327"/>
      <c r="AO413" s="3327"/>
      <c r="AP413" s="3327"/>
      <c r="AQ413" s="3327"/>
      <c r="AR413" s="3327"/>
      <c r="AS413" s="3327"/>
      <c r="AT413" s="3337"/>
      <c r="AU413" s="3338"/>
      <c r="AV413" s="1410">
        <f t="shared" si="243"/>
        <v>0</v>
      </c>
      <c r="AW413" s="1410">
        <f t="shared" si="244"/>
        <v>0</v>
      </c>
      <c r="AX413" s="1410">
        <f t="shared" si="245"/>
        <v>0</v>
      </c>
      <c r="AY413" s="3352">
        <f t="shared" si="246"/>
        <v>0</v>
      </c>
      <c r="AZ413" s="3307">
        <f t="shared" si="247"/>
        <v>0</v>
      </c>
      <c r="BA413" s="3307">
        <f t="shared" si="248"/>
        <v>0</v>
      </c>
      <c r="BB413" s="3307">
        <f t="shared" si="249"/>
        <v>0</v>
      </c>
      <c r="BC413" s="3307">
        <f t="shared" si="250"/>
        <v>0</v>
      </c>
      <c r="BD413" s="3307">
        <f t="shared" si="251"/>
        <v>0</v>
      </c>
      <c r="BE413" s="3307">
        <f t="shared" si="252"/>
        <v>0</v>
      </c>
      <c r="BF413" s="3307">
        <f t="shared" si="253"/>
        <v>0</v>
      </c>
      <c r="BG413" s="3307">
        <f t="shared" si="254"/>
        <v>0</v>
      </c>
      <c r="BH413" s="3307">
        <f t="shared" si="255"/>
        <v>0</v>
      </c>
      <c r="BI413" s="3307">
        <f t="shared" si="256"/>
        <v>0</v>
      </c>
      <c r="BJ413" s="3307">
        <f t="shared" si="257"/>
        <v>0</v>
      </c>
      <c r="BK413" s="3307">
        <f t="shared" si="258"/>
        <v>0</v>
      </c>
      <c r="BL413" s="3307">
        <f t="shared" si="259"/>
        <v>0</v>
      </c>
      <c r="BM413" s="3307">
        <f t="shared" si="260"/>
        <v>0</v>
      </c>
      <c r="BN413" s="3307">
        <f t="shared" si="261"/>
        <v>0</v>
      </c>
      <c r="BO413" s="3307">
        <f t="shared" si="262"/>
        <v>0</v>
      </c>
      <c r="BP413" s="3307">
        <f t="shared" si="263"/>
        <v>0</v>
      </c>
      <c r="BQ413" s="3307">
        <f t="shared" si="264"/>
        <v>0</v>
      </c>
      <c r="BR413" s="3307">
        <f t="shared" si="265"/>
        <v>0</v>
      </c>
      <c r="BS413" s="3307">
        <f t="shared" si="266"/>
        <v>0</v>
      </c>
      <c r="BT413" s="3359">
        <f t="shared" si="267"/>
        <v>0</v>
      </c>
    </row>
    <row r="414" spans="1:72">
      <c r="A414" s="3304"/>
      <c r="B414" s="3305"/>
      <c r="C414" s="3305"/>
      <c r="D414" s="3306"/>
      <c r="E414" s="3307">
        <f t="shared" si="239"/>
        <v>0</v>
      </c>
      <c r="F414" s="3308"/>
      <c r="G414" s="3309">
        <f t="shared" si="240"/>
        <v>0</v>
      </c>
      <c r="H414" s="3310">
        <f t="shared" si="241"/>
        <v>0</v>
      </c>
      <c r="I414" s="3317"/>
      <c r="J414" s="3317"/>
      <c r="K414" s="3317"/>
      <c r="L414" s="3317"/>
      <c r="M414" s="3317"/>
      <c r="N414" s="3317"/>
      <c r="O414" s="3317"/>
      <c r="P414" s="3317"/>
      <c r="Q414" s="3317"/>
      <c r="R414" s="3317"/>
      <c r="S414" s="3317"/>
      <c r="T414" s="3317"/>
      <c r="U414" s="3317"/>
      <c r="V414" s="3317"/>
      <c r="W414" s="3317"/>
      <c r="X414" s="3317"/>
      <c r="Y414" s="3317"/>
      <c r="Z414" s="3317"/>
      <c r="AA414" s="3317"/>
      <c r="AB414" s="3317"/>
      <c r="AC414" s="3307">
        <f t="shared" si="242"/>
        <v>0</v>
      </c>
      <c r="AD414" s="3327"/>
      <c r="AE414" s="3327"/>
      <c r="AF414" s="3327"/>
      <c r="AG414" s="3327"/>
      <c r="AH414" s="3327"/>
      <c r="AI414" s="3327"/>
      <c r="AJ414" s="3327"/>
      <c r="AK414" s="3327"/>
      <c r="AL414" s="3327"/>
      <c r="AM414" s="3327"/>
      <c r="AN414" s="3327"/>
      <c r="AO414" s="3327"/>
      <c r="AP414" s="3327"/>
      <c r="AQ414" s="3327"/>
      <c r="AR414" s="3327"/>
      <c r="AS414" s="3327"/>
      <c r="AT414" s="3337"/>
      <c r="AU414" s="3338"/>
      <c r="AV414" s="1410">
        <f t="shared" si="243"/>
        <v>0</v>
      </c>
      <c r="AW414" s="1410">
        <f t="shared" si="244"/>
        <v>0</v>
      </c>
      <c r="AX414" s="1410">
        <f t="shared" si="245"/>
        <v>0</v>
      </c>
      <c r="AY414" s="3352">
        <f t="shared" si="246"/>
        <v>0</v>
      </c>
      <c r="AZ414" s="3307">
        <f t="shared" si="247"/>
        <v>0</v>
      </c>
      <c r="BA414" s="3307">
        <f t="shared" si="248"/>
        <v>0</v>
      </c>
      <c r="BB414" s="3307">
        <f t="shared" si="249"/>
        <v>0</v>
      </c>
      <c r="BC414" s="3307">
        <f t="shared" si="250"/>
        <v>0</v>
      </c>
      <c r="BD414" s="3307">
        <f t="shared" si="251"/>
        <v>0</v>
      </c>
      <c r="BE414" s="3307">
        <f t="shared" si="252"/>
        <v>0</v>
      </c>
      <c r="BF414" s="3307">
        <f t="shared" si="253"/>
        <v>0</v>
      </c>
      <c r="BG414" s="3307">
        <f t="shared" si="254"/>
        <v>0</v>
      </c>
      <c r="BH414" s="3307">
        <f t="shared" si="255"/>
        <v>0</v>
      </c>
      <c r="BI414" s="3307">
        <f t="shared" si="256"/>
        <v>0</v>
      </c>
      <c r="BJ414" s="3307">
        <f t="shared" si="257"/>
        <v>0</v>
      </c>
      <c r="BK414" s="3307">
        <f t="shared" si="258"/>
        <v>0</v>
      </c>
      <c r="BL414" s="3307">
        <f t="shared" si="259"/>
        <v>0</v>
      </c>
      <c r="BM414" s="3307">
        <f t="shared" si="260"/>
        <v>0</v>
      </c>
      <c r="BN414" s="3307">
        <f t="shared" si="261"/>
        <v>0</v>
      </c>
      <c r="BO414" s="3307">
        <f t="shared" si="262"/>
        <v>0</v>
      </c>
      <c r="BP414" s="3307">
        <f t="shared" si="263"/>
        <v>0</v>
      </c>
      <c r="BQ414" s="3307">
        <f t="shared" si="264"/>
        <v>0</v>
      </c>
      <c r="BR414" s="3307">
        <f t="shared" si="265"/>
        <v>0</v>
      </c>
      <c r="BS414" s="3307">
        <f t="shared" si="266"/>
        <v>0</v>
      </c>
      <c r="BT414" s="3359">
        <f t="shared" si="267"/>
        <v>0</v>
      </c>
    </row>
    <row r="415" spans="1:72">
      <c r="A415" s="3304"/>
      <c r="B415" s="3305"/>
      <c r="C415" s="3305"/>
      <c r="D415" s="3306"/>
      <c r="E415" s="3307">
        <f t="shared" si="239"/>
        <v>0</v>
      </c>
      <c r="F415" s="3308"/>
      <c r="G415" s="3309">
        <f t="shared" si="240"/>
        <v>0</v>
      </c>
      <c r="H415" s="3310">
        <f t="shared" si="241"/>
        <v>0</v>
      </c>
      <c r="I415" s="3317"/>
      <c r="J415" s="3317"/>
      <c r="K415" s="3317"/>
      <c r="L415" s="3317"/>
      <c r="M415" s="3317"/>
      <c r="N415" s="3317"/>
      <c r="O415" s="3317"/>
      <c r="P415" s="3317"/>
      <c r="Q415" s="3317"/>
      <c r="R415" s="3317"/>
      <c r="S415" s="3317"/>
      <c r="T415" s="3317"/>
      <c r="U415" s="3317"/>
      <c r="V415" s="3317"/>
      <c r="W415" s="3317"/>
      <c r="X415" s="3317"/>
      <c r="Y415" s="3317"/>
      <c r="Z415" s="3317"/>
      <c r="AA415" s="3317"/>
      <c r="AB415" s="3317"/>
      <c r="AC415" s="3307">
        <f t="shared" si="242"/>
        <v>0</v>
      </c>
      <c r="AD415" s="3327"/>
      <c r="AE415" s="3327"/>
      <c r="AF415" s="3327"/>
      <c r="AG415" s="3327"/>
      <c r="AH415" s="3327"/>
      <c r="AI415" s="3327"/>
      <c r="AJ415" s="3327"/>
      <c r="AK415" s="3327"/>
      <c r="AL415" s="3327"/>
      <c r="AM415" s="3327"/>
      <c r="AN415" s="3327"/>
      <c r="AO415" s="3327"/>
      <c r="AP415" s="3327"/>
      <c r="AQ415" s="3327"/>
      <c r="AR415" s="3327"/>
      <c r="AS415" s="3327"/>
      <c r="AT415" s="3337"/>
      <c r="AU415" s="3338"/>
      <c r="AV415" s="1410">
        <f t="shared" si="243"/>
        <v>0</v>
      </c>
      <c r="AW415" s="1410">
        <f t="shared" si="244"/>
        <v>0</v>
      </c>
      <c r="AX415" s="1410">
        <f t="shared" si="245"/>
        <v>0</v>
      </c>
      <c r="AY415" s="3352">
        <f t="shared" si="246"/>
        <v>0</v>
      </c>
      <c r="AZ415" s="3307">
        <f t="shared" si="247"/>
        <v>0</v>
      </c>
      <c r="BA415" s="3307">
        <f t="shared" si="248"/>
        <v>0</v>
      </c>
      <c r="BB415" s="3307">
        <f t="shared" si="249"/>
        <v>0</v>
      </c>
      <c r="BC415" s="3307">
        <f t="shared" si="250"/>
        <v>0</v>
      </c>
      <c r="BD415" s="3307">
        <f t="shared" si="251"/>
        <v>0</v>
      </c>
      <c r="BE415" s="3307">
        <f t="shared" si="252"/>
        <v>0</v>
      </c>
      <c r="BF415" s="3307">
        <f t="shared" si="253"/>
        <v>0</v>
      </c>
      <c r="BG415" s="3307">
        <f t="shared" si="254"/>
        <v>0</v>
      </c>
      <c r="BH415" s="3307">
        <f t="shared" si="255"/>
        <v>0</v>
      </c>
      <c r="BI415" s="3307">
        <f t="shared" si="256"/>
        <v>0</v>
      </c>
      <c r="BJ415" s="3307">
        <f t="shared" si="257"/>
        <v>0</v>
      </c>
      <c r="BK415" s="3307">
        <f t="shared" si="258"/>
        <v>0</v>
      </c>
      <c r="BL415" s="3307">
        <f t="shared" si="259"/>
        <v>0</v>
      </c>
      <c r="BM415" s="3307">
        <f t="shared" si="260"/>
        <v>0</v>
      </c>
      <c r="BN415" s="3307">
        <f t="shared" si="261"/>
        <v>0</v>
      </c>
      <c r="BO415" s="3307">
        <f t="shared" si="262"/>
        <v>0</v>
      </c>
      <c r="BP415" s="3307">
        <f t="shared" si="263"/>
        <v>0</v>
      </c>
      <c r="BQ415" s="3307">
        <f t="shared" si="264"/>
        <v>0</v>
      </c>
      <c r="BR415" s="3307">
        <f t="shared" si="265"/>
        <v>0</v>
      </c>
      <c r="BS415" s="3307">
        <f t="shared" si="266"/>
        <v>0</v>
      </c>
      <c r="BT415" s="3359">
        <f t="shared" si="267"/>
        <v>0</v>
      </c>
    </row>
    <row r="416" spans="1:72">
      <c r="A416" s="3304"/>
      <c r="B416" s="3305"/>
      <c r="C416" s="3305"/>
      <c r="D416" s="3306"/>
      <c r="E416" s="3307">
        <f t="shared" si="239"/>
        <v>0</v>
      </c>
      <c r="F416" s="3308"/>
      <c r="G416" s="3309">
        <f t="shared" si="240"/>
        <v>0</v>
      </c>
      <c r="H416" s="3310">
        <f t="shared" si="241"/>
        <v>0</v>
      </c>
      <c r="I416" s="3317"/>
      <c r="J416" s="3317"/>
      <c r="K416" s="3317"/>
      <c r="L416" s="3317"/>
      <c r="M416" s="3317"/>
      <c r="N416" s="3317"/>
      <c r="O416" s="3317"/>
      <c r="P416" s="3317"/>
      <c r="Q416" s="3317"/>
      <c r="R416" s="3317"/>
      <c r="S416" s="3317"/>
      <c r="T416" s="3317"/>
      <c r="U416" s="3317"/>
      <c r="V416" s="3317"/>
      <c r="W416" s="3317"/>
      <c r="X416" s="3317"/>
      <c r="Y416" s="3317"/>
      <c r="Z416" s="3317"/>
      <c r="AA416" s="3317"/>
      <c r="AB416" s="3317"/>
      <c r="AC416" s="3307">
        <f t="shared" si="242"/>
        <v>0</v>
      </c>
      <c r="AD416" s="3327"/>
      <c r="AE416" s="3327"/>
      <c r="AF416" s="3327"/>
      <c r="AG416" s="3327"/>
      <c r="AH416" s="3327"/>
      <c r="AI416" s="3327"/>
      <c r="AJ416" s="3327"/>
      <c r="AK416" s="3327"/>
      <c r="AL416" s="3327"/>
      <c r="AM416" s="3327"/>
      <c r="AN416" s="3327"/>
      <c r="AO416" s="3327"/>
      <c r="AP416" s="3327"/>
      <c r="AQ416" s="3327"/>
      <c r="AR416" s="3327"/>
      <c r="AS416" s="3327"/>
      <c r="AT416" s="3337"/>
      <c r="AU416" s="3338"/>
      <c r="AV416" s="1410">
        <f t="shared" si="243"/>
        <v>0</v>
      </c>
      <c r="AW416" s="1410">
        <f t="shared" si="244"/>
        <v>0</v>
      </c>
      <c r="AX416" s="1410">
        <f t="shared" si="245"/>
        <v>0</v>
      </c>
      <c r="AY416" s="3352">
        <f t="shared" si="246"/>
        <v>0</v>
      </c>
      <c r="AZ416" s="3307">
        <f t="shared" si="247"/>
        <v>0</v>
      </c>
      <c r="BA416" s="3307">
        <f t="shared" si="248"/>
        <v>0</v>
      </c>
      <c r="BB416" s="3307">
        <f t="shared" si="249"/>
        <v>0</v>
      </c>
      <c r="BC416" s="3307">
        <f t="shared" si="250"/>
        <v>0</v>
      </c>
      <c r="BD416" s="3307">
        <f t="shared" si="251"/>
        <v>0</v>
      </c>
      <c r="BE416" s="3307">
        <f t="shared" si="252"/>
        <v>0</v>
      </c>
      <c r="BF416" s="3307">
        <f t="shared" si="253"/>
        <v>0</v>
      </c>
      <c r="BG416" s="3307">
        <f t="shared" si="254"/>
        <v>0</v>
      </c>
      <c r="BH416" s="3307">
        <f t="shared" si="255"/>
        <v>0</v>
      </c>
      <c r="BI416" s="3307">
        <f t="shared" si="256"/>
        <v>0</v>
      </c>
      <c r="BJ416" s="3307">
        <f t="shared" si="257"/>
        <v>0</v>
      </c>
      <c r="BK416" s="3307">
        <f t="shared" si="258"/>
        <v>0</v>
      </c>
      <c r="BL416" s="3307">
        <f t="shared" si="259"/>
        <v>0</v>
      </c>
      <c r="BM416" s="3307">
        <f t="shared" si="260"/>
        <v>0</v>
      </c>
      <c r="BN416" s="3307">
        <f t="shared" si="261"/>
        <v>0</v>
      </c>
      <c r="BO416" s="3307">
        <f t="shared" si="262"/>
        <v>0</v>
      </c>
      <c r="BP416" s="3307">
        <f t="shared" si="263"/>
        <v>0</v>
      </c>
      <c r="BQ416" s="3307">
        <f t="shared" si="264"/>
        <v>0</v>
      </c>
      <c r="BR416" s="3307">
        <f t="shared" si="265"/>
        <v>0</v>
      </c>
      <c r="BS416" s="3307">
        <f t="shared" si="266"/>
        <v>0</v>
      </c>
      <c r="BT416" s="3359">
        <f t="shared" si="267"/>
        <v>0</v>
      </c>
    </row>
    <row r="417" spans="1:72">
      <c r="A417" s="3304"/>
      <c r="B417" s="3305"/>
      <c r="C417" s="3305"/>
      <c r="D417" s="3306"/>
      <c r="E417" s="3307">
        <f t="shared" si="239"/>
        <v>0</v>
      </c>
      <c r="F417" s="3308"/>
      <c r="G417" s="3309">
        <f t="shared" si="240"/>
        <v>0</v>
      </c>
      <c r="H417" s="3310">
        <f t="shared" si="241"/>
        <v>0</v>
      </c>
      <c r="I417" s="3317"/>
      <c r="J417" s="3317"/>
      <c r="K417" s="3317"/>
      <c r="L417" s="3317"/>
      <c r="M417" s="3317"/>
      <c r="N417" s="3317"/>
      <c r="O417" s="3317"/>
      <c r="P417" s="3317"/>
      <c r="Q417" s="3317"/>
      <c r="R417" s="3317"/>
      <c r="S417" s="3317"/>
      <c r="T417" s="3317"/>
      <c r="U417" s="3317"/>
      <c r="V417" s="3317"/>
      <c r="W417" s="3317"/>
      <c r="X417" s="3317"/>
      <c r="Y417" s="3317"/>
      <c r="Z417" s="3317"/>
      <c r="AA417" s="3317"/>
      <c r="AB417" s="3317"/>
      <c r="AC417" s="3307">
        <f t="shared" si="242"/>
        <v>0</v>
      </c>
      <c r="AD417" s="3327"/>
      <c r="AE417" s="3327"/>
      <c r="AF417" s="3327"/>
      <c r="AG417" s="3327"/>
      <c r="AH417" s="3327"/>
      <c r="AI417" s="3327"/>
      <c r="AJ417" s="3327"/>
      <c r="AK417" s="3327"/>
      <c r="AL417" s="3327"/>
      <c r="AM417" s="3327"/>
      <c r="AN417" s="3327"/>
      <c r="AO417" s="3327"/>
      <c r="AP417" s="3327"/>
      <c r="AQ417" s="3327"/>
      <c r="AR417" s="3327"/>
      <c r="AS417" s="3327"/>
      <c r="AT417" s="3337"/>
      <c r="AU417" s="3338"/>
      <c r="AV417" s="1410">
        <f t="shared" si="243"/>
        <v>0</v>
      </c>
      <c r="AW417" s="1410">
        <f t="shared" si="244"/>
        <v>0</v>
      </c>
      <c r="AX417" s="1410">
        <f t="shared" si="245"/>
        <v>0</v>
      </c>
      <c r="AY417" s="3352">
        <f t="shared" si="246"/>
        <v>0</v>
      </c>
      <c r="AZ417" s="3307">
        <f t="shared" si="247"/>
        <v>0</v>
      </c>
      <c r="BA417" s="3307">
        <f t="shared" si="248"/>
        <v>0</v>
      </c>
      <c r="BB417" s="3307">
        <f t="shared" si="249"/>
        <v>0</v>
      </c>
      <c r="BC417" s="3307">
        <f t="shared" si="250"/>
        <v>0</v>
      </c>
      <c r="BD417" s="3307">
        <f t="shared" si="251"/>
        <v>0</v>
      </c>
      <c r="BE417" s="3307">
        <f t="shared" si="252"/>
        <v>0</v>
      </c>
      <c r="BF417" s="3307">
        <f t="shared" si="253"/>
        <v>0</v>
      </c>
      <c r="BG417" s="3307">
        <f t="shared" si="254"/>
        <v>0</v>
      </c>
      <c r="BH417" s="3307">
        <f t="shared" si="255"/>
        <v>0</v>
      </c>
      <c r="BI417" s="3307">
        <f t="shared" si="256"/>
        <v>0</v>
      </c>
      <c r="BJ417" s="3307">
        <f t="shared" si="257"/>
        <v>0</v>
      </c>
      <c r="BK417" s="3307">
        <f t="shared" si="258"/>
        <v>0</v>
      </c>
      <c r="BL417" s="3307">
        <f t="shared" si="259"/>
        <v>0</v>
      </c>
      <c r="BM417" s="3307">
        <f t="shared" si="260"/>
        <v>0</v>
      </c>
      <c r="BN417" s="3307">
        <f t="shared" si="261"/>
        <v>0</v>
      </c>
      <c r="BO417" s="3307">
        <f t="shared" si="262"/>
        <v>0</v>
      </c>
      <c r="BP417" s="3307">
        <f t="shared" si="263"/>
        <v>0</v>
      </c>
      <c r="BQ417" s="3307">
        <f t="shared" si="264"/>
        <v>0</v>
      </c>
      <c r="BR417" s="3307">
        <f t="shared" si="265"/>
        <v>0</v>
      </c>
      <c r="BS417" s="3307">
        <f t="shared" si="266"/>
        <v>0</v>
      </c>
      <c r="BT417" s="3359">
        <f t="shared" si="267"/>
        <v>0</v>
      </c>
    </row>
    <row r="418" spans="1:72">
      <c r="A418" s="3304"/>
      <c r="B418" s="3305"/>
      <c r="C418" s="3305"/>
      <c r="D418" s="3306"/>
      <c r="E418" s="3307">
        <f t="shared" si="239"/>
        <v>0</v>
      </c>
      <c r="F418" s="3308"/>
      <c r="G418" s="3309">
        <f t="shared" si="240"/>
        <v>0</v>
      </c>
      <c r="H418" s="3310">
        <f t="shared" si="241"/>
        <v>0</v>
      </c>
      <c r="I418" s="3317"/>
      <c r="J418" s="3317"/>
      <c r="K418" s="3317"/>
      <c r="L418" s="3317"/>
      <c r="M418" s="3317"/>
      <c r="N418" s="3317"/>
      <c r="O418" s="3317"/>
      <c r="P418" s="3317"/>
      <c r="Q418" s="3317"/>
      <c r="R418" s="3317"/>
      <c r="S418" s="3317"/>
      <c r="T418" s="3317"/>
      <c r="U418" s="3317"/>
      <c r="V418" s="3317"/>
      <c r="W418" s="3317"/>
      <c r="X418" s="3317"/>
      <c r="Y418" s="3317"/>
      <c r="Z418" s="3317"/>
      <c r="AA418" s="3317"/>
      <c r="AB418" s="3317"/>
      <c r="AC418" s="3307">
        <f t="shared" si="242"/>
        <v>0</v>
      </c>
      <c r="AD418" s="3327"/>
      <c r="AE418" s="3327"/>
      <c r="AF418" s="3327"/>
      <c r="AG418" s="3327"/>
      <c r="AH418" s="3327"/>
      <c r="AI418" s="3327"/>
      <c r="AJ418" s="3327"/>
      <c r="AK418" s="3327"/>
      <c r="AL418" s="3327"/>
      <c r="AM418" s="3327"/>
      <c r="AN418" s="3327"/>
      <c r="AO418" s="3327"/>
      <c r="AP418" s="3327"/>
      <c r="AQ418" s="3327"/>
      <c r="AR418" s="3327"/>
      <c r="AS418" s="3327"/>
      <c r="AT418" s="3337"/>
      <c r="AU418" s="3338"/>
      <c r="AV418" s="1410">
        <f t="shared" si="243"/>
        <v>0</v>
      </c>
      <c r="AW418" s="1410">
        <f t="shared" si="244"/>
        <v>0</v>
      </c>
      <c r="AX418" s="1410">
        <f t="shared" si="245"/>
        <v>0</v>
      </c>
      <c r="AY418" s="3352">
        <f t="shared" si="246"/>
        <v>0</v>
      </c>
      <c r="AZ418" s="3307">
        <f t="shared" si="247"/>
        <v>0</v>
      </c>
      <c r="BA418" s="3307">
        <f t="shared" si="248"/>
        <v>0</v>
      </c>
      <c r="BB418" s="3307">
        <f t="shared" si="249"/>
        <v>0</v>
      </c>
      <c r="BC418" s="3307">
        <f t="shared" si="250"/>
        <v>0</v>
      </c>
      <c r="BD418" s="3307">
        <f t="shared" si="251"/>
        <v>0</v>
      </c>
      <c r="BE418" s="3307">
        <f t="shared" si="252"/>
        <v>0</v>
      </c>
      <c r="BF418" s="3307">
        <f t="shared" si="253"/>
        <v>0</v>
      </c>
      <c r="BG418" s="3307">
        <f t="shared" si="254"/>
        <v>0</v>
      </c>
      <c r="BH418" s="3307">
        <f t="shared" si="255"/>
        <v>0</v>
      </c>
      <c r="BI418" s="3307">
        <f t="shared" si="256"/>
        <v>0</v>
      </c>
      <c r="BJ418" s="3307">
        <f t="shared" si="257"/>
        <v>0</v>
      </c>
      <c r="BK418" s="3307">
        <f t="shared" si="258"/>
        <v>0</v>
      </c>
      <c r="BL418" s="3307">
        <f t="shared" si="259"/>
        <v>0</v>
      </c>
      <c r="BM418" s="3307">
        <f t="shared" si="260"/>
        <v>0</v>
      </c>
      <c r="BN418" s="3307">
        <f t="shared" si="261"/>
        <v>0</v>
      </c>
      <c r="BO418" s="3307">
        <f t="shared" si="262"/>
        <v>0</v>
      </c>
      <c r="BP418" s="3307">
        <f t="shared" si="263"/>
        <v>0</v>
      </c>
      <c r="BQ418" s="3307">
        <f t="shared" si="264"/>
        <v>0</v>
      </c>
      <c r="BR418" s="3307">
        <f t="shared" si="265"/>
        <v>0</v>
      </c>
      <c r="BS418" s="3307">
        <f t="shared" si="266"/>
        <v>0</v>
      </c>
      <c r="BT418" s="3359">
        <f t="shared" si="267"/>
        <v>0</v>
      </c>
    </row>
    <row r="419" spans="1:72">
      <c r="A419" s="3304"/>
      <c r="B419" s="3305"/>
      <c r="C419" s="3305"/>
      <c r="D419" s="3306"/>
      <c r="E419" s="3307">
        <f t="shared" si="239"/>
        <v>0</v>
      </c>
      <c r="F419" s="3308"/>
      <c r="G419" s="3309">
        <f t="shared" si="240"/>
        <v>0</v>
      </c>
      <c r="H419" s="3310">
        <f t="shared" si="241"/>
        <v>0</v>
      </c>
      <c r="I419" s="3317"/>
      <c r="J419" s="3317"/>
      <c r="K419" s="3317"/>
      <c r="L419" s="3317"/>
      <c r="M419" s="3317"/>
      <c r="N419" s="3317"/>
      <c r="O419" s="3317"/>
      <c r="P419" s="3317"/>
      <c r="Q419" s="3317"/>
      <c r="R419" s="3317"/>
      <c r="S419" s="3317"/>
      <c r="T419" s="3317"/>
      <c r="U419" s="3317"/>
      <c r="V419" s="3317"/>
      <c r="W419" s="3317"/>
      <c r="X419" s="3317"/>
      <c r="Y419" s="3317"/>
      <c r="Z419" s="3317"/>
      <c r="AA419" s="3317"/>
      <c r="AB419" s="3317"/>
      <c r="AC419" s="3307">
        <f t="shared" si="242"/>
        <v>0</v>
      </c>
      <c r="AD419" s="3327"/>
      <c r="AE419" s="3327"/>
      <c r="AF419" s="3327"/>
      <c r="AG419" s="3327"/>
      <c r="AH419" s="3327"/>
      <c r="AI419" s="3327"/>
      <c r="AJ419" s="3327"/>
      <c r="AK419" s="3327"/>
      <c r="AL419" s="3327"/>
      <c r="AM419" s="3327"/>
      <c r="AN419" s="3327"/>
      <c r="AO419" s="3327"/>
      <c r="AP419" s="3327"/>
      <c r="AQ419" s="3327"/>
      <c r="AR419" s="3327"/>
      <c r="AS419" s="3327"/>
      <c r="AT419" s="3337"/>
      <c r="AU419" s="3338"/>
      <c r="AV419" s="1410">
        <f t="shared" si="243"/>
        <v>0</v>
      </c>
      <c r="AW419" s="1410">
        <f t="shared" si="244"/>
        <v>0</v>
      </c>
      <c r="AX419" s="1410">
        <f t="shared" si="245"/>
        <v>0</v>
      </c>
      <c r="AY419" s="3352">
        <f t="shared" si="246"/>
        <v>0</v>
      </c>
      <c r="AZ419" s="3307">
        <f t="shared" si="247"/>
        <v>0</v>
      </c>
      <c r="BA419" s="3307">
        <f t="shared" si="248"/>
        <v>0</v>
      </c>
      <c r="BB419" s="3307">
        <f t="shared" si="249"/>
        <v>0</v>
      </c>
      <c r="BC419" s="3307">
        <f t="shared" si="250"/>
        <v>0</v>
      </c>
      <c r="BD419" s="3307">
        <f t="shared" si="251"/>
        <v>0</v>
      </c>
      <c r="BE419" s="3307">
        <f t="shared" si="252"/>
        <v>0</v>
      </c>
      <c r="BF419" s="3307">
        <f t="shared" si="253"/>
        <v>0</v>
      </c>
      <c r="BG419" s="3307">
        <f t="shared" si="254"/>
        <v>0</v>
      </c>
      <c r="BH419" s="3307">
        <f t="shared" si="255"/>
        <v>0</v>
      </c>
      <c r="BI419" s="3307">
        <f t="shared" si="256"/>
        <v>0</v>
      </c>
      <c r="BJ419" s="3307">
        <f t="shared" si="257"/>
        <v>0</v>
      </c>
      <c r="BK419" s="3307">
        <f t="shared" si="258"/>
        <v>0</v>
      </c>
      <c r="BL419" s="3307">
        <f t="shared" si="259"/>
        <v>0</v>
      </c>
      <c r="BM419" s="3307">
        <f t="shared" si="260"/>
        <v>0</v>
      </c>
      <c r="BN419" s="3307">
        <f t="shared" si="261"/>
        <v>0</v>
      </c>
      <c r="BO419" s="3307">
        <f t="shared" si="262"/>
        <v>0</v>
      </c>
      <c r="BP419" s="3307">
        <f t="shared" si="263"/>
        <v>0</v>
      </c>
      <c r="BQ419" s="3307">
        <f t="shared" si="264"/>
        <v>0</v>
      </c>
      <c r="BR419" s="3307">
        <f t="shared" si="265"/>
        <v>0</v>
      </c>
      <c r="BS419" s="3307">
        <f t="shared" si="266"/>
        <v>0</v>
      </c>
      <c r="BT419" s="3359">
        <f t="shared" si="267"/>
        <v>0</v>
      </c>
    </row>
    <row r="420" spans="1:72">
      <c r="A420" s="3304"/>
      <c r="B420" s="3305"/>
      <c r="C420" s="3305"/>
      <c r="D420" s="3306"/>
      <c r="E420" s="3307">
        <f t="shared" si="239"/>
        <v>0</v>
      </c>
      <c r="F420" s="3308"/>
      <c r="G420" s="3309">
        <f t="shared" si="240"/>
        <v>0</v>
      </c>
      <c r="H420" s="3310">
        <f t="shared" si="241"/>
        <v>0</v>
      </c>
      <c r="I420" s="3317"/>
      <c r="J420" s="3317"/>
      <c r="K420" s="3317"/>
      <c r="L420" s="3317"/>
      <c r="M420" s="3317"/>
      <c r="N420" s="3317"/>
      <c r="O420" s="3317"/>
      <c r="P420" s="3317"/>
      <c r="Q420" s="3317"/>
      <c r="R420" s="3317"/>
      <c r="S420" s="3317"/>
      <c r="T420" s="3317"/>
      <c r="U420" s="3317"/>
      <c r="V420" s="3317"/>
      <c r="W420" s="3317"/>
      <c r="X420" s="3317"/>
      <c r="Y420" s="3317"/>
      <c r="Z420" s="3317"/>
      <c r="AA420" s="3317"/>
      <c r="AB420" s="3317"/>
      <c r="AC420" s="3307">
        <f t="shared" si="242"/>
        <v>0</v>
      </c>
      <c r="AD420" s="3327"/>
      <c r="AE420" s="3327"/>
      <c r="AF420" s="3327"/>
      <c r="AG420" s="3327"/>
      <c r="AH420" s="3327"/>
      <c r="AI420" s="3327"/>
      <c r="AJ420" s="3327"/>
      <c r="AK420" s="3327"/>
      <c r="AL420" s="3327"/>
      <c r="AM420" s="3327"/>
      <c r="AN420" s="3327"/>
      <c r="AO420" s="3327"/>
      <c r="AP420" s="3327"/>
      <c r="AQ420" s="3327"/>
      <c r="AR420" s="3327"/>
      <c r="AS420" s="3327"/>
      <c r="AT420" s="3337"/>
      <c r="AU420" s="3338"/>
      <c r="AV420" s="1410">
        <f t="shared" si="243"/>
        <v>0</v>
      </c>
      <c r="AW420" s="1410">
        <f t="shared" si="244"/>
        <v>0</v>
      </c>
      <c r="AX420" s="1410">
        <f t="shared" si="245"/>
        <v>0</v>
      </c>
      <c r="AY420" s="3352">
        <f t="shared" si="246"/>
        <v>0</v>
      </c>
      <c r="AZ420" s="3307">
        <f t="shared" si="247"/>
        <v>0</v>
      </c>
      <c r="BA420" s="3307">
        <f t="shared" si="248"/>
        <v>0</v>
      </c>
      <c r="BB420" s="3307">
        <f t="shared" si="249"/>
        <v>0</v>
      </c>
      <c r="BC420" s="3307">
        <f t="shared" si="250"/>
        <v>0</v>
      </c>
      <c r="BD420" s="3307">
        <f t="shared" si="251"/>
        <v>0</v>
      </c>
      <c r="BE420" s="3307">
        <f t="shared" si="252"/>
        <v>0</v>
      </c>
      <c r="BF420" s="3307">
        <f t="shared" si="253"/>
        <v>0</v>
      </c>
      <c r="BG420" s="3307">
        <f t="shared" si="254"/>
        <v>0</v>
      </c>
      <c r="BH420" s="3307">
        <f t="shared" si="255"/>
        <v>0</v>
      </c>
      <c r="BI420" s="3307">
        <f t="shared" si="256"/>
        <v>0</v>
      </c>
      <c r="BJ420" s="3307">
        <f t="shared" si="257"/>
        <v>0</v>
      </c>
      <c r="BK420" s="3307">
        <f t="shared" si="258"/>
        <v>0</v>
      </c>
      <c r="BL420" s="3307">
        <f t="shared" si="259"/>
        <v>0</v>
      </c>
      <c r="BM420" s="3307">
        <f t="shared" si="260"/>
        <v>0</v>
      </c>
      <c r="BN420" s="3307">
        <f t="shared" si="261"/>
        <v>0</v>
      </c>
      <c r="BO420" s="3307">
        <f t="shared" si="262"/>
        <v>0</v>
      </c>
      <c r="BP420" s="3307">
        <f t="shared" si="263"/>
        <v>0</v>
      </c>
      <c r="BQ420" s="3307">
        <f t="shared" si="264"/>
        <v>0</v>
      </c>
      <c r="BR420" s="3307">
        <f t="shared" si="265"/>
        <v>0</v>
      </c>
      <c r="BS420" s="3307">
        <f t="shared" si="266"/>
        <v>0</v>
      </c>
      <c r="BT420" s="3359">
        <f t="shared" si="267"/>
        <v>0</v>
      </c>
    </row>
    <row r="421" spans="1:72">
      <c r="A421" s="3304"/>
      <c r="B421" s="3305"/>
      <c r="C421" s="3305"/>
      <c r="D421" s="3306"/>
      <c r="E421" s="3307">
        <f t="shared" si="239"/>
        <v>0</v>
      </c>
      <c r="F421" s="3308"/>
      <c r="G421" s="3309">
        <f t="shared" si="240"/>
        <v>0</v>
      </c>
      <c r="H421" s="3310">
        <f t="shared" si="241"/>
        <v>0</v>
      </c>
      <c r="I421" s="3317"/>
      <c r="J421" s="3317"/>
      <c r="K421" s="3317"/>
      <c r="L421" s="3317"/>
      <c r="M421" s="3317"/>
      <c r="N421" s="3317"/>
      <c r="O421" s="3317"/>
      <c r="P421" s="3317"/>
      <c r="Q421" s="3317"/>
      <c r="R421" s="3317"/>
      <c r="S421" s="3317"/>
      <c r="T421" s="3317"/>
      <c r="U421" s="3317"/>
      <c r="V421" s="3317"/>
      <c r="W421" s="3317"/>
      <c r="X421" s="3317"/>
      <c r="Y421" s="3317"/>
      <c r="Z421" s="3317"/>
      <c r="AA421" s="3317"/>
      <c r="AB421" s="3317"/>
      <c r="AC421" s="3307">
        <f t="shared" si="242"/>
        <v>0</v>
      </c>
      <c r="AD421" s="3327"/>
      <c r="AE421" s="3327"/>
      <c r="AF421" s="3327"/>
      <c r="AG421" s="3327"/>
      <c r="AH421" s="3327"/>
      <c r="AI421" s="3327"/>
      <c r="AJ421" s="3327"/>
      <c r="AK421" s="3327"/>
      <c r="AL421" s="3327"/>
      <c r="AM421" s="3327"/>
      <c r="AN421" s="3327"/>
      <c r="AO421" s="3327"/>
      <c r="AP421" s="3327"/>
      <c r="AQ421" s="3327"/>
      <c r="AR421" s="3327"/>
      <c r="AS421" s="3327"/>
      <c r="AT421" s="3337"/>
      <c r="AU421" s="3338"/>
      <c r="AV421" s="1410">
        <f t="shared" si="243"/>
        <v>0</v>
      </c>
      <c r="AW421" s="1410">
        <f t="shared" si="244"/>
        <v>0</v>
      </c>
      <c r="AX421" s="1410">
        <f t="shared" si="245"/>
        <v>0</v>
      </c>
      <c r="AY421" s="3352">
        <f t="shared" si="246"/>
        <v>0</v>
      </c>
      <c r="AZ421" s="3307">
        <f t="shared" si="247"/>
        <v>0</v>
      </c>
      <c r="BA421" s="3307">
        <f t="shared" si="248"/>
        <v>0</v>
      </c>
      <c r="BB421" s="3307">
        <f t="shared" si="249"/>
        <v>0</v>
      </c>
      <c r="BC421" s="3307">
        <f t="shared" si="250"/>
        <v>0</v>
      </c>
      <c r="BD421" s="3307">
        <f t="shared" si="251"/>
        <v>0</v>
      </c>
      <c r="BE421" s="3307">
        <f t="shared" si="252"/>
        <v>0</v>
      </c>
      <c r="BF421" s="3307">
        <f t="shared" si="253"/>
        <v>0</v>
      </c>
      <c r="BG421" s="3307">
        <f t="shared" si="254"/>
        <v>0</v>
      </c>
      <c r="BH421" s="3307">
        <f t="shared" si="255"/>
        <v>0</v>
      </c>
      <c r="BI421" s="3307">
        <f t="shared" si="256"/>
        <v>0</v>
      </c>
      <c r="BJ421" s="3307">
        <f t="shared" si="257"/>
        <v>0</v>
      </c>
      <c r="BK421" s="3307">
        <f t="shared" si="258"/>
        <v>0</v>
      </c>
      <c r="BL421" s="3307">
        <f t="shared" si="259"/>
        <v>0</v>
      </c>
      <c r="BM421" s="3307">
        <f t="shared" si="260"/>
        <v>0</v>
      </c>
      <c r="BN421" s="3307">
        <f t="shared" si="261"/>
        <v>0</v>
      </c>
      <c r="BO421" s="3307">
        <f t="shared" si="262"/>
        <v>0</v>
      </c>
      <c r="BP421" s="3307">
        <f t="shared" si="263"/>
        <v>0</v>
      </c>
      <c r="BQ421" s="3307">
        <f t="shared" si="264"/>
        <v>0</v>
      </c>
      <c r="BR421" s="3307">
        <f t="shared" si="265"/>
        <v>0</v>
      </c>
      <c r="BS421" s="3307">
        <f t="shared" si="266"/>
        <v>0</v>
      </c>
      <c r="BT421" s="3359">
        <f t="shared" si="267"/>
        <v>0</v>
      </c>
    </row>
    <row r="422" spans="1:72">
      <c r="A422" s="3304"/>
      <c r="B422" s="3305"/>
      <c r="C422" s="3305"/>
      <c r="D422" s="3306"/>
      <c r="E422" s="3307">
        <f t="shared" si="239"/>
        <v>0</v>
      </c>
      <c r="F422" s="3308"/>
      <c r="G422" s="3309">
        <f t="shared" si="240"/>
        <v>0</v>
      </c>
      <c r="H422" s="3310">
        <f t="shared" si="241"/>
        <v>0</v>
      </c>
      <c r="I422" s="3317"/>
      <c r="J422" s="3317"/>
      <c r="K422" s="3317"/>
      <c r="L422" s="3317"/>
      <c r="M422" s="3317"/>
      <c r="N422" s="3317"/>
      <c r="O422" s="3317"/>
      <c r="P422" s="3317"/>
      <c r="Q422" s="3317"/>
      <c r="R422" s="3317"/>
      <c r="S422" s="3317"/>
      <c r="T422" s="3317"/>
      <c r="U422" s="3317"/>
      <c r="V422" s="3317"/>
      <c r="W422" s="3317"/>
      <c r="X422" s="3317"/>
      <c r="Y422" s="3317"/>
      <c r="Z422" s="3317"/>
      <c r="AA422" s="3317"/>
      <c r="AB422" s="3317"/>
      <c r="AC422" s="3307">
        <f t="shared" si="242"/>
        <v>0</v>
      </c>
      <c r="AD422" s="3327"/>
      <c r="AE422" s="3327"/>
      <c r="AF422" s="3327"/>
      <c r="AG422" s="3327"/>
      <c r="AH422" s="3327"/>
      <c r="AI422" s="3327"/>
      <c r="AJ422" s="3327"/>
      <c r="AK422" s="3327"/>
      <c r="AL422" s="3327"/>
      <c r="AM422" s="3327"/>
      <c r="AN422" s="3327"/>
      <c r="AO422" s="3327"/>
      <c r="AP422" s="3327"/>
      <c r="AQ422" s="3327"/>
      <c r="AR422" s="3327"/>
      <c r="AS422" s="3327"/>
      <c r="AT422" s="3337"/>
      <c r="AU422" s="3338"/>
      <c r="AV422" s="1410">
        <f t="shared" si="243"/>
        <v>0</v>
      </c>
      <c r="AW422" s="1410">
        <f t="shared" si="244"/>
        <v>0</v>
      </c>
      <c r="AX422" s="1410">
        <f t="shared" si="245"/>
        <v>0</v>
      </c>
      <c r="AY422" s="3352">
        <f t="shared" si="246"/>
        <v>0</v>
      </c>
      <c r="AZ422" s="3307">
        <f t="shared" si="247"/>
        <v>0</v>
      </c>
      <c r="BA422" s="3307">
        <f t="shared" si="248"/>
        <v>0</v>
      </c>
      <c r="BB422" s="3307">
        <f t="shared" si="249"/>
        <v>0</v>
      </c>
      <c r="BC422" s="3307">
        <f t="shared" si="250"/>
        <v>0</v>
      </c>
      <c r="BD422" s="3307">
        <f t="shared" si="251"/>
        <v>0</v>
      </c>
      <c r="BE422" s="3307">
        <f t="shared" si="252"/>
        <v>0</v>
      </c>
      <c r="BF422" s="3307">
        <f t="shared" si="253"/>
        <v>0</v>
      </c>
      <c r="BG422" s="3307">
        <f t="shared" si="254"/>
        <v>0</v>
      </c>
      <c r="BH422" s="3307">
        <f t="shared" si="255"/>
        <v>0</v>
      </c>
      <c r="BI422" s="3307">
        <f t="shared" si="256"/>
        <v>0</v>
      </c>
      <c r="BJ422" s="3307">
        <f t="shared" si="257"/>
        <v>0</v>
      </c>
      <c r="BK422" s="3307">
        <f t="shared" si="258"/>
        <v>0</v>
      </c>
      <c r="BL422" s="3307">
        <f t="shared" si="259"/>
        <v>0</v>
      </c>
      <c r="BM422" s="3307">
        <f t="shared" si="260"/>
        <v>0</v>
      </c>
      <c r="BN422" s="3307">
        <f t="shared" si="261"/>
        <v>0</v>
      </c>
      <c r="BO422" s="3307">
        <f t="shared" si="262"/>
        <v>0</v>
      </c>
      <c r="BP422" s="3307">
        <f t="shared" si="263"/>
        <v>0</v>
      </c>
      <c r="BQ422" s="3307">
        <f t="shared" si="264"/>
        <v>0</v>
      </c>
      <c r="BR422" s="3307">
        <f t="shared" si="265"/>
        <v>0</v>
      </c>
      <c r="BS422" s="3307">
        <f t="shared" si="266"/>
        <v>0</v>
      </c>
      <c r="BT422" s="3359">
        <f t="shared" si="267"/>
        <v>0</v>
      </c>
    </row>
    <row r="423" spans="1:72">
      <c r="A423" s="3304"/>
      <c r="B423" s="3305"/>
      <c r="C423" s="3305"/>
      <c r="D423" s="3306"/>
      <c r="E423" s="3307">
        <f t="shared" si="239"/>
        <v>0</v>
      </c>
      <c r="F423" s="3308"/>
      <c r="G423" s="3309">
        <f t="shared" si="240"/>
        <v>0</v>
      </c>
      <c r="H423" s="3310">
        <f t="shared" si="241"/>
        <v>0</v>
      </c>
      <c r="I423" s="3317"/>
      <c r="J423" s="3317"/>
      <c r="K423" s="3317"/>
      <c r="L423" s="3317"/>
      <c r="M423" s="3317"/>
      <c r="N423" s="3317"/>
      <c r="O423" s="3317"/>
      <c r="P423" s="3317"/>
      <c r="Q423" s="3317"/>
      <c r="R423" s="3317"/>
      <c r="S423" s="3317"/>
      <c r="T423" s="3317"/>
      <c r="U423" s="3317"/>
      <c r="V423" s="3317"/>
      <c r="W423" s="3317"/>
      <c r="X423" s="3317"/>
      <c r="Y423" s="3317"/>
      <c r="Z423" s="3317"/>
      <c r="AA423" s="3317"/>
      <c r="AB423" s="3317"/>
      <c r="AC423" s="3307">
        <f t="shared" si="242"/>
        <v>0</v>
      </c>
      <c r="AD423" s="3327"/>
      <c r="AE423" s="3327"/>
      <c r="AF423" s="3327"/>
      <c r="AG423" s="3327"/>
      <c r="AH423" s="3327"/>
      <c r="AI423" s="3327"/>
      <c r="AJ423" s="3327"/>
      <c r="AK423" s="3327"/>
      <c r="AL423" s="3327"/>
      <c r="AM423" s="3327"/>
      <c r="AN423" s="3327"/>
      <c r="AO423" s="3327"/>
      <c r="AP423" s="3327"/>
      <c r="AQ423" s="3327"/>
      <c r="AR423" s="3327"/>
      <c r="AS423" s="3327"/>
      <c r="AT423" s="3337"/>
      <c r="AU423" s="3338"/>
      <c r="AV423" s="1410">
        <f t="shared" si="243"/>
        <v>0</v>
      </c>
      <c r="AW423" s="1410">
        <f t="shared" si="244"/>
        <v>0</v>
      </c>
      <c r="AX423" s="1410">
        <f t="shared" si="245"/>
        <v>0</v>
      </c>
      <c r="AY423" s="3352">
        <f t="shared" si="246"/>
        <v>0</v>
      </c>
      <c r="AZ423" s="3307">
        <f t="shared" si="247"/>
        <v>0</v>
      </c>
      <c r="BA423" s="3307">
        <f t="shared" si="248"/>
        <v>0</v>
      </c>
      <c r="BB423" s="3307">
        <f t="shared" si="249"/>
        <v>0</v>
      </c>
      <c r="BC423" s="3307">
        <f t="shared" si="250"/>
        <v>0</v>
      </c>
      <c r="BD423" s="3307">
        <f t="shared" si="251"/>
        <v>0</v>
      </c>
      <c r="BE423" s="3307">
        <f t="shared" si="252"/>
        <v>0</v>
      </c>
      <c r="BF423" s="3307">
        <f t="shared" si="253"/>
        <v>0</v>
      </c>
      <c r="BG423" s="3307">
        <f t="shared" si="254"/>
        <v>0</v>
      </c>
      <c r="BH423" s="3307">
        <f t="shared" si="255"/>
        <v>0</v>
      </c>
      <c r="BI423" s="3307">
        <f t="shared" si="256"/>
        <v>0</v>
      </c>
      <c r="BJ423" s="3307">
        <f t="shared" si="257"/>
        <v>0</v>
      </c>
      <c r="BK423" s="3307">
        <f t="shared" si="258"/>
        <v>0</v>
      </c>
      <c r="BL423" s="3307">
        <f t="shared" si="259"/>
        <v>0</v>
      </c>
      <c r="BM423" s="3307">
        <f t="shared" si="260"/>
        <v>0</v>
      </c>
      <c r="BN423" s="3307">
        <f t="shared" si="261"/>
        <v>0</v>
      </c>
      <c r="BO423" s="3307">
        <f t="shared" si="262"/>
        <v>0</v>
      </c>
      <c r="BP423" s="3307">
        <f t="shared" si="263"/>
        <v>0</v>
      </c>
      <c r="BQ423" s="3307">
        <f t="shared" si="264"/>
        <v>0</v>
      </c>
      <c r="BR423" s="3307">
        <f t="shared" si="265"/>
        <v>0</v>
      </c>
      <c r="BS423" s="3307">
        <f t="shared" si="266"/>
        <v>0</v>
      </c>
      <c r="BT423" s="3359">
        <f t="shared" si="267"/>
        <v>0</v>
      </c>
    </row>
    <row r="424" spans="1:72">
      <c r="A424" s="3304"/>
      <c r="B424" s="3305"/>
      <c r="C424" s="3305"/>
      <c r="D424" s="3306"/>
      <c r="E424" s="3307">
        <f t="shared" si="239"/>
        <v>0</v>
      </c>
      <c r="F424" s="3308"/>
      <c r="G424" s="3309">
        <f t="shared" si="240"/>
        <v>0</v>
      </c>
      <c r="H424" s="3310">
        <f t="shared" si="241"/>
        <v>0</v>
      </c>
      <c r="I424" s="3317"/>
      <c r="J424" s="3317"/>
      <c r="K424" s="3317"/>
      <c r="L424" s="3317"/>
      <c r="M424" s="3317"/>
      <c r="N424" s="3317"/>
      <c r="O424" s="3317"/>
      <c r="P424" s="3317"/>
      <c r="Q424" s="3317"/>
      <c r="R424" s="3317"/>
      <c r="S424" s="3317"/>
      <c r="T424" s="3317"/>
      <c r="U424" s="3317"/>
      <c r="V424" s="3317"/>
      <c r="W424" s="3317"/>
      <c r="X424" s="3317"/>
      <c r="Y424" s="3317"/>
      <c r="Z424" s="3317"/>
      <c r="AA424" s="3317"/>
      <c r="AB424" s="3317"/>
      <c r="AC424" s="3307">
        <f t="shared" si="242"/>
        <v>0</v>
      </c>
      <c r="AD424" s="3327"/>
      <c r="AE424" s="3327"/>
      <c r="AF424" s="3327"/>
      <c r="AG424" s="3327"/>
      <c r="AH424" s="3327"/>
      <c r="AI424" s="3327"/>
      <c r="AJ424" s="3327"/>
      <c r="AK424" s="3327"/>
      <c r="AL424" s="3327"/>
      <c r="AM424" s="3327"/>
      <c r="AN424" s="3327"/>
      <c r="AO424" s="3327"/>
      <c r="AP424" s="3327"/>
      <c r="AQ424" s="3327"/>
      <c r="AR424" s="3327"/>
      <c r="AS424" s="3327"/>
      <c r="AT424" s="3337"/>
      <c r="AU424" s="3338"/>
      <c r="AV424" s="1410">
        <f t="shared" si="243"/>
        <v>0</v>
      </c>
      <c r="AW424" s="1410">
        <f t="shared" si="244"/>
        <v>0</v>
      </c>
      <c r="AX424" s="1410">
        <f t="shared" si="245"/>
        <v>0</v>
      </c>
      <c r="AY424" s="3352">
        <f t="shared" si="246"/>
        <v>0</v>
      </c>
      <c r="AZ424" s="3307">
        <f t="shared" si="247"/>
        <v>0</v>
      </c>
      <c r="BA424" s="3307">
        <f t="shared" si="248"/>
        <v>0</v>
      </c>
      <c r="BB424" s="3307">
        <f t="shared" si="249"/>
        <v>0</v>
      </c>
      <c r="BC424" s="3307">
        <f t="shared" si="250"/>
        <v>0</v>
      </c>
      <c r="BD424" s="3307">
        <f t="shared" si="251"/>
        <v>0</v>
      </c>
      <c r="BE424" s="3307">
        <f t="shared" si="252"/>
        <v>0</v>
      </c>
      <c r="BF424" s="3307">
        <f t="shared" si="253"/>
        <v>0</v>
      </c>
      <c r="BG424" s="3307">
        <f t="shared" si="254"/>
        <v>0</v>
      </c>
      <c r="BH424" s="3307">
        <f t="shared" si="255"/>
        <v>0</v>
      </c>
      <c r="BI424" s="3307">
        <f t="shared" si="256"/>
        <v>0</v>
      </c>
      <c r="BJ424" s="3307">
        <f t="shared" si="257"/>
        <v>0</v>
      </c>
      <c r="BK424" s="3307">
        <f t="shared" si="258"/>
        <v>0</v>
      </c>
      <c r="BL424" s="3307">
        <f t="shared" si="259"/>
        <v>0</v>
      </c>
      <c r="BM424" s="3307">
        <f t="shared" si="260"/>
        <v>0</v>
      </c>
      <c r="BN424" s="3307">
        <f t="shared" si="261"/>
        <v>0</v>
      </c>
      <c r="BO424" s="3307">
        <f t="shared" si="262"/>
        <v>0</v>
      </c>
      <c r="BP424" s="3307">
        <f t="shared" si="263"/>
        <v>0</v>
      </c>
      <c r="BQ424" s="3307">
        <f t="shared" si="264"/>
        <v>0</v>
      </c>
      <c r="BR424" s="3307">
        <f t="shared" si="265"/>
        <v>0</v>
      </c>
      <c r="BS424" s="3307">
        <f t="shared" si="266"/>
        <v>0</v>
      </c>
      <c r="BT424" s="3359">
        <f t="shared" si="267"/>
        <v>0</v>
      </c>
    </row>
    <row r="425" spans="1:72">
      <c r="A425" s="3304"/>
      <c r="B425" s="3305"/>
      <c r="C425" s="3305"/>
      <c r="D425" s="3306"/>
      <c r="E425" s="3307">
        <f t="shared" si="239"/>
        <v>0</v>
      </c>
      <c r="F425" s="3308"/>
      <c r="G425" s="3309">
        <f t="shared" si="240"/>
        <v>0</v>
      </c>
      <c r="H425" s="3310">
        <f t="shared" si="241"/>
        <v>0</v>
      </c>
      <c r="I425" s="3317"/>
      <c r="J425" s="3317"/>
      <c r="K425" s="3317"/>
      <c r="L425" s="3317"/>
      <c r="M425" s="3317"/>
      <c r="N425" s="3317"/>
      <c r="O425" s="3317"/>
      <c r="P425" s="3317"/>
      <c r="Q425" s="3317"/>
      <c r="R425" s="3317"/>
      <c r="S425" s="3317"/>
      <c r="T425" s="3317"/>
      <c r="U425" s="3317"/>
      <c r="V425" s="3317"/>
      <c r="W425" s="3317"/>
      <c r="X425" s="3317"/>
      <c r="Y425" s="3317"/>
      <c r="Z425" s="3317"/>
      <c r="AA425" s="3317"/>
      <c r="AB425" s="3317"/>
      <c r="AC425" s="3307">
        <f t="shared" si="242"/>
        <v>0</v>
      </c>
      <c r="AD425" s="3327"/>
      <c r="AE425" s="3327"/>
      <c r="AF425" s="3327"/>
      <c r="AG425" s="3327"/>
      <c r="AH425" s="3327"/>
      <c r="AI425" s="3327"/>
      <c r="AJ425" s="3327"/>
      <c r="AK425" s="3327"/>
      <c r="AL425" s="3327"/>
      <c r="AM425" s="3327"/>
      <c r="AN425" s="3327"/>
      <c r="AO425" s="3327"/>
      <c r="AP425" s="3327"/>
      <c r="AQ425" s="3327"/>
      <c r="AR425" s="3327"/>
      <c r="AS425" s="3327"/>
      <c r="AT425" s="3337"/>
      <c r="AU425" s="3338"/>
      <c r="AV425" s="1410">
        <f t="shared" si="243"/>
        <v>0</v>
      </c>
      <c r="AW425" s="1410">
        <f t="shared" si="244"/>
        <v>0</v>
      </c>
      <c r="AX425" s="1410">
        <f t="shared" si="245"/>
        <v>0</v>
      </c>
      <c r="AY425" s="3352">
        <f t="shared" si="246"/>
        <v>0</v>
      </c>
      <c r="AZ425" s="3307">
        <f t="shared" si="247"/>
        <v>0</v>
      </c>
      <c r="BA425" s="3307">
        <f t="shared" si="248"/>
        <v>0</v>
      </c>
      <c r="BB425" s="3307">
        <f t="shared" si="249"/>
        <v>0</v>
      </c>
      <c r="BC425" s="3307">
        <f t="shared" si="250"/>
        <v>0</v>
      </c>
      <c r="BD425" s="3307">
        <f t="shared" si="251"/>
        <v>0</v>
      </c>
      <c r="BE425" s="3307">
        <f t="shared" si="252"/>
        <v>0</v>
      </c>
      <c r="BF425" s="3307">
        <f t="shared" si="253"/>
        <v>0</v>
      </c>
      <c r="BG425" s="3307">
        <f t="shared" si="254"/>
        <v>0</v>
      </c>
      <c r="BH425" s="3307">
        <f t="shared" si="255"/>
        <v>0</v>
      </c>
      <c r="BI425" s="3307">
        <f t="shared" si="256"/>
        <v>0</v>
      </c>
      <c r="BJ425" s="3307">
        <f t="shared" si="257"/>
        <v>0</v>
      </c>
      <c r="BK425" s="3307">
        <f t="shared" si="258"/>
        <v>0</v>
      </c>
      <c r="BL425" s="3307">
        <f t="shared" si="259"/>
        <v>0</v>
      </c>
      <c r="BM425" s="3307">
        <f t="shared" si="260"/>
        <v>0</v>
      </c>
      <c r="BN425" s="3307">
        <f t="shared" si="261"/>
        <v>0</v>
      </c>
      <c r="BO425" s="3307">
        <f t="shared" si="262"/>
        <v>0</v>
      </c>
      <c r="BP425" s="3307">
        <f t="shared" si="263"/>
        <v>0</v>
      </c>
      <c r="BQ425" s="3307">
        <f t="shared" si="264"/>
        <v>0</v>
      </c>
      <c r="BR425" s="3307">
        <f t="shared" si="265"/>
        <v>0</v>
      </c>
      <c r="BS425" s="3307">
        <f t="shared" si="266"/>
        <v>0</v>
      </c>
      <c r="BT425" s="3359">
        <f t="shared" si="267"/>
        <v>0</v>
      </c>
    </row>
    <row r="426" spans="1:72">
      <c r="A426" s="3304"/>
      <c r="B426" s="3305"/>
      <c r="C426" s="3305"/>
      <c r="D426" s="3306"/>
      <c r="E426" s="3307">
        <f t="shared" si="239"/>
        <v>0</v>
      </c>
      <c r="F426" s="3308"/>
      <c r="G426" s="3309">
        <f t="shared" si="240"/>
        <v>0</v>
      </c>
      <c r="H426" s="3310">
        <f t="shared" si="241"/>
        <v>0</v>
      </c>
      <c r="I426" s="3317"/>
      <c r="J426" s="3317"/>
      <c r="K426" s="3317"/>
      <c r="L426" s="3317"/>
      <c r="M426" s="3317"/>
      <c r="N426" s="3317"/>
      <c r="O426" s="3317"/>
      <c r="P426" s="3317"/>
      <c r="Q426" s="3317"/>
      <c r="R426" s="3317"/>
      <c r="S426" s="3317"/>
      <c r="T426" s="3317"/>
      <c r="U426" s="3317"/>
      <c r="V426" s="3317"/>
      <c r="W426" s="3317"/>
      <c r="X426" s="3317"/>
      <c r="Y426" s="3317"/>
      <c r="Z426" s="3317"/>
      <c r="AA426" s="3317"/>
      <c r="AB426" s="3317"/>
      <c r="AC426" s="3307">
        <f t="shared" si="242"/>
        <v>0</v>
      </c>
      <c r="AD426" s="3327"/>
      <c r="AE426" s="3327"/>
      <c r="AF426" s="3327"/>
      <c r="AG426" s="3327"/>
      <c r="AH426" s="3327"/>
      <c r="AI426" s="3327"/>
      <c r="AJ426" s="3327"/>
      <c r="AK426" s="3327"/>
      <c r="AL426" s="3327"/>
      <c r="AM426" s="3327"/>
      <c r="AN426" s="3327"/>
      <c r="AO426" s="3327"/>
      <c r="AP426" s="3327"/>
      <c r="AQ426" s="3327"/>
      <c r="AR426" s="3327"/>
      <c r="AS426" s="3327"/>
      <c r="AT426" s="3337"/>
      <c r="AU426" s="3338"/>
      <c r="AV426" s="1410">
        <f t="shared" si="243"/>
        <v>0</v>
      </c>
      <c r="AW426" s="1410">
        <f t="shared" si="244"/>
        <v>0</v>
      </c>
      <c r="AX426" s="1410">
        <f t="shared" si="245"/>
        <v>0</v>
      </c>
      <c r="AY426" s="3352">
        <f t="shared" si="246"/>
        <v>0</v>
      </c>
      <c r="AZ426" s="3307">
        <f t="shared" si="247"/>
        <v>0</v>
      </c>
      <c r="BA426" s="3307">
        <f t="shared" si="248"/>
        <v>0</v>
      </c>
      <c r="BB426" s="3307">
        <f t="shared" si="249"/>
        <v>0</v>
      </c>
      <c r="BC426" s="3307">
        <f t="shared" si="250"/>
        <v>0</v>
      </c>
      <c r="BD426" s="3307">
        <f t="shared" si="251"/>
        <v>0</v>
      </c>
      <c r="BE426" s="3307">
        <f t="shared" si="252"/>
        <v>0</v>
      </c>
      <c r="BF426" s="3307">
        <f t="shared" si="253"/>
        <v>0</v>
      </c>
      <c r="BG426" s="3307">
        <f t="shared" si="254"/>
        <v>0</v>
      </c>
      <c r="BH426" s="3307">
        <f t="shared" si="255"/>
        <v>0</v>
      </c>
      <c r="BI426" s="3307">
        <f t="shared" si="256"/>
        <v>0</v>
      </c>
      <c r="BJ426" s="3307">
        <f t="shared" si="257"/>
        <v>0</v>
      </c>
      <c r="BK426" s="3307">
        <f t="shared" si="258"/>
        <v>0</v>
      </c>
      <c r="BL426" s="3307">
        <f t="shared" si="259"/>
        <v>0</v>
      </c>
      <c r="BM426" s="3307">
        <f t="shared" si="260"/>
        <v>0</v>
      </c>
      <c r="BN426" s="3307">
        <f t="shared" si="261"/>
        <v>0</v>
      </c>
      <c r="BO426" s="3307">
        <f t="shared" si="262"/>
        <v>0</v>
      </c>
      <c r="BP426" s="3307">
        <f t="shared" si="263"/>
        <v>0</v>
      </c>
      <c r="BQ426" s="3307">
        <f t="shared" si="264"/>
        <v>0</v>
      </c>
      <c r="BR426" s="3307">
        <f t="shared" si="265"/>
        <v>0</v>
      </c>
      <c r="BS426" s="3307">
        <f t="shared" si="266"/>
        <v>0</v>
      </c>
      <c r="BT426" s="3359">
        <f t="shared" si="267"/>
        <v>0</v>
      </c>
    </row>
    <row r="427" spans="1:72">
      <c r="A427" s="3304"/>
      <c r="B427" s="3305"/>
      <c r="C427" s="3305"/>
      <c r="D427" s="3306"/>
      <c r="E427" s="3307">
        <f t="shared" si="239"/>
        <v>0</v>
      </c>
      <c r="F427" s="3308"/>
      <c r="G427" s="3309">
        <f t="shared" si="240"/>
        <v>0</v>
      </c>
      <c r="H427" s="3310">
        <f t="shared" si="241"/>
        <v>0</v>
      </c>
      <c r="I427" s="3317"/>
      <c r="J427" s="3317"/>
      <c r="K427" s="3317"/>
      <c r="L427" s="3317"/>
      <c r="M427" s="3317"/>
      <c r="N427" s="3317"/>
      <c r="O427" s="3317"/>
      <c r="P427" s="3317"/>
      <c r="Q427" s="3317"/>
      <c r="R427" s="3317"/>
      <c r="S427" s="3317"/>
      <c r="T427" s="3317"/>
      <c r="U427" s="3317"/>
      <c r="V427" s="3317"/>
      <c r="W427" s="3317"/>
      <c r="X427" s="3317"/>
      <c r="Y427" s="3317"/>
      <c r="Z427" s="3317"/>
      <c r="AA427" s="3317"/>
      <c r="AB427" s="3317"/>
      <c r="AC427" s="3307">
        <f t="shared" si="242"/>
        <v>0</v>
      </c>
      <c r="AD427" s="3327"/>
      <c r="AE427" s="3327"/>
      <c r="AF427" s="3327"/>
      <c r="AG427" s="3327"/>
      <c r="AH427" s="3327"/>
      <c r="AI427" s="3327"/>
      <c r="AJ427" s="3327"/>
      <c r="AK427" s="3327"/>
      <c r="AL427" s="3327"/>
      <c r="AM427" s="3327"/>
      <c r="AN427" s="3327"/>
      <c r="AO427" s="3327"/>
      <c r="AP427" s="3327"/>
      <c r="AQ427" s="3327"/>
      <c r="AR427" s="3327"/>
      <c r="AS427" s="3327"/>
      <c r="AT427" s="3337"/>
      <c r="AU427" s="3338"/>
      <c r="AV427" s="1410">
        <f t="shared" si="243"/>
        <v>0</v>
      </c>
      <c r="AW427" s="1410">
        <f t="shared" si="244"/>
        <v>0</v>
      </c>
      <c r="AX427" s="1410">
        <f t="shared" si="245"/>
        <v>0</v>
      </c>
      <c r="AY427" s="3352">
        <f t="shared" si="246"/>
        <v>0</v>
      </c>
      <c r="AZ427" s="3307">
        <f t="shared" si="247"/>
        <v>0</v>
      </c>
      <c r="BA427" s="3307">
        <f t="shared" si="248"/>
        <v>0</v>
      </c>
      <c r="BB427" s="3307">
        <f t="shared" si="249"/>
        <v>0</v>
      </c>
      <c r="BC427" s="3307">
        <f t="shared" si="250"/>
        <v>0</v>
      </c>
      <c r="BD427" s="3307">
        <f t="shared" si="251"/>
        <v>0</v>
      </c>
      <c r="BE427" s="3307">
        <f t="shared" si="252"/>
        <v>0</v>
      </c>
      <c r="BF427" s="3307">
        <f t="shared" si="253"/>
        <v>0</v>
      </c>
      <c r="BG427" s="3307">
        <f t="shared" si="254"/>
        <v>0</v>
      </c>
      <c r="BH427" s="3307">
        <f t="shared" si="255"/>
        <v>0</v>
      </c>
      <c r="BI427" s="3307">
        <f t="shared" si="256"/>
        <v>0</v>
      </c>
      <c r="BJ427" s="3307">
        <f t="shared" si="257"/>
        <v>0</v>
      </c>
      <c r="BK427" s="3307">
        <f t="shared" si="258"/>
        <v>0</v>
      </c>
      <c r="BL427" s="3307">
        <f t="shared" si="259"/>
        <v>0</v>
      </c>
      <c r="BM427" s="3307">
        <f t="shared" si="260"/>
        <v>0</v>
      </c>
      <c r="BN427" s="3307">
        <f t="shared" si="261"/>
        <v>0</v>
      </c>
      <c r="BO427" s="3307">
        <f t="shared" si="262"/>
        <v>0</v>
      </c>
      <c r="BP427" s="3307">
        <f t="shared" si="263"/>
        <v>0</v>
      </c>
      <c r="BQ427" s="3307">
        <f t="shared" si="264"/>
        <v>0</v>
      </c>
      <c r="BR427" s="3307">
        <f t="shared" si="265"/>
        <v>0</v>
      </c>
      <c r="BS427" s="3307">
        <f t="shared" si="266"/>
        <v>0</v>
      </c>
      <c r="BT427" s="3359">
        <f t="shared" si="267"/>
        <v>0</v>
      </c>
    </row>
    <row r="428" spans="1:72">
      <c r="A428" s="3304"/>
      <c r="B428" s="3305"/>
      <c r="C428" s="3305"/>
      <c r="D428" s="3306"/>
      <c r="E428" s="3307">
        <f t="shared" si="239"/>
        <v>0</v>
      </c>
      <c r="F428" s="3308"/>
      <c r="G428" s="3309">
        <f t="shared" si="240"/>
        <v>0</v>
      </c>
      <c r="H428" s="3310">
        <f t="shared" si="241"/>
        <v>0</v>
      </c>
      <c r="I428" s="3317"/>
      <c r="J428" s="3317"/>
      <c r="K428" s="3317"/>
      <c r="L428" s="3317"/>
      <c r="M428" s="3317"/>
      <c r="N428" s="3317"/>
      <c r="O428" s="3317"/>
      <c r="P428" s="3317"/>
      <c r="Q428" s="3317"/>
      <c r="R428" s="3317"/>
      <c r="S428" s="3317"/>
      <c r="T428" s="3317"/>
      <c r="U428" s="3317"/>
      <c r="V428" s="3317"/>
      <c r="W428" s="3317"/>
      <c r="X428" s="3317"/>
      <c r="Y428" s="3317"/>
      <c r="Z428" s="3317"/>
      <c r="AA428" s="3317"/>
      <c r="AB428" s="3317"/>
      <c r="AC428" s="3307">
        <f t="shared" si="242"/>
        <v>0</v>
      </c>
      <c r="AD428" s="3327"/>
      <c r="AE428" s="3327"/>
      <c r="AF428" s="3327"/>
      <c r="AG428" s="3327"/>
      <c r="AH428" s="3327"/>
      <c r="AI428" s="3327"/>
      <c r="AJ428" s="3327"/>
      <c r="AK428" s="3327"/>
      <c r="AL428" s="3327"/>
      <c r="AM428" s="3327"/>
      <c r="AN428" s="3327"/>
      <c r="AO428" s="3327"/>
      <c r="AP428" s="3327"/>
      <c r="AQ428" s="3327"/>
      <c r="AR428" s="3327"/>
      <c r="AS428" s="3327"/>
      <c r="AT428" s="3337"/>
      <c r="AU428" s="3338"/>
      <c r="AV428" s="1410">
        <f t="shared" si="243"/>
        <v>0</v>
      </c>
      <c r="AW428" s="1410">
        <f t="shared" si="244"/>
        <v>0</v>
      </c>
      <c r="AX428" s="1410">
        <f t="shared" si="245"/>
        <v>0</v>
      </c>
      <c r="AY428" s="3352">
        <f t="shared" si="246"/>
        <v>0</v>
      </c>
      <c r="AZ428" s="3307">
        <f t="shared" si="247"/>
        <v>0</v>
      </c>
      <c r="BA428" s="3307">
        <f t="shared" si="248"/>
        <v>0</v>
      </c>
      <c r="BB428" s="3307">
        <f t="shared" si="249"/>
        <v>0</v>
      </c>
      <c r="BC428" s="3307">
        <f t="shared" si="250"/>
        <v>0</v>
      </c>
      <c r="BD428" s="3307">
        <f t="shared" si="251"/>
        <v>0</v>
      </c>
      <c r="BE428" s="3307">
        <f t="shared" si="252"/>
        <v>0</v>
      </c>
      <c r="BF428" s="3307">
        <f t="shared" si="253"/>
        <v>0</v>
      </c>
      <c r="BG428" s="3307">
        <f t="shared" si="254"/>
        <v>0</v>
      </c>
      <c r="BH428" s="3307">
        <f t="shared" si="255"/>
        <v>0</v>
      </c>
      <c r="BI428" s="3307">
        <f t="shared" si="256"/>
        <v>0</v>
      </c>
      <c r="BJ428" s="3307">
        <f t="shared" si="257"/>
        <v>0</v>
      </c>
      <c r="BK428" s="3307">
        <f t="shared" si="258"/>
        <v>0</v>
      </c>
      <c r="BL428" s="3307">
        <f t="shared" si="259"/>
        <v>0</v>
      </c>
      <c r="BM428" s="3307">
        <f t="shared" si="260"/>
        <v>0</v>
      </c>
      <c r="BN428" s="3307">
        <f t="shared" si="261"/>
        <v>0</v>
      </c>
      <c r="BO428" s="3307">
        <f t="shared" si="262"/>
        <v>0</v>
      </c>
      <c r="BP428" s="3307">
        <f t="shared" si="263"/>
        <v>0</v>
      </c>
      <c r="BQ428" s="3307">
        <f t="shared" si="264"/>
        <v>0</v>
      </c>
      <c r="BR428" s="3307">
        <f t="shared" si="265"/>
        <v>0</v>
      </c>
      <c r="BS428" s="3307">
        <f t="shared" si="266"/>
        <v>0</v>
      </c>
      <c r="BT428" s="3359">
        <f t="shared" si="267"/>
        <v>0</v>
      </c>
    </row>
    <row r="429" spans="1:72">
      <c r="A429" s="3304"/>
      <c r="B429" s="3305"/>
      <c r="C429" s="3305"/>
      <c r="D429" s="3306"/>
      <c r="E429" s="3307">
        <f t="shared" si="239"/>
        <v>0</v>
      </c>
      <c r="F429" s="3308"/>
      <c r="G429" s="3309">
        <f t="shared" si="240"/>
        <v>0</v>
      </c>
      <c r="H429" s="3310">
        <f t="shared" si="241"/>
        <v>0</v>
      </c>
      <c r="I429" s="3317"/>
      <c r="J429" s="3317"/>
      <c r="K429" s="3317"/>
      <c r="L429" s="3317"/>
      <c r="M429" s="3317"/>
      <c r="N429" s="3317"/>
      <c r="O429" s="3317"/>
      <c r="P429" s="3317"/>
      <c r="Q429" s="3317"/>
      <c r="R429" s="3317"/>
      <c r="S429" s="3317"/>
      <c r="T429" s="3317"/>
      <c r="U429" s="3317"/>
      <c r="V429" s="3317"/>
      <c r="W429" s="3317"/>
      <c r="X429" s="3317"/>
      <c r="Y429" s="3317"/>
      <c r="Z429" s="3317"/>
      <c r="AA429" s="3317"/>
      <c r="AB429" s="3317"/>
      <c r="AC429" s="3307">
        <f t="shared" si="242"/>
        <v>0</v>
      </c>
      <c r="AD429" s="3327"/>
      <c r="AE429" s="3327"/>
      <c r="AF429" s="3327"/>
      <c r="AG429" s="3327"/>
      <c r="AH429" s="3327"/>
      <c r="AI429" s="3327"/>
      <c r="AJ429" s="3327"/>
      <c r="AK429" s="3327"/>
      <c r="AL429" s="3327"/>
      <c r="AM429" s="3327"/>
      <c r="AN429" s="3327"/>
      <c r="AO429" s="3327"/>
      <c r="AP429" s="3327"/>
      <c r="AQ429" s="3327"/>
      <c r="AR429" s="3327"/>
      <c r="AS429" s="3327"/>
      <c r="AT429" s="3337"/>
      <c r="AU429" s="3338"/>
      <c r="AV429" s="1410">
        <f t="shared" si="243"/>
        <v>0</v>
      </c>
      <c r="AW429" s="1410">
        <f t="shared" si="244"/>
        <v>0</v>
      </c>
      <c r="AX429" s="1410">
        <f t="shared" si="245"/>
        <v>0</v>
      </c>
      <c r="AY429" s="3352">
        <f t="shared" si="246"/>
        <v>0</v>
      </c>
      <c r="AZ429" s="3307">
        <f t="shared" si="247"/>
        <v>0</v>
      </c>
      <c r="BA429" s="3307">
        <f t="shared" si="248"/>
        <v>0</v>
      </c>
      <c r="BB429" s="3307">
        <f t="shared" si="249"/>
        <v>0</v>
      </c>
      <c r="BC429" s="3307">
        <f t="shared" si="250"/>
        <v>0</v>
      </c>
      <c r="BD429" s="3307">
        <f t="shared" si="251"/>
        <v>0</v>
      </c>
      <c r="BE429" s="3307">
        <f t="shared" si="252"/>
        <v>0</v>
      </c>
      <c r="BF429" s="3307">
        <f t="shared" si="253"/>
        <v>0</v>
      </c>
      <c r="BG429" s="3307">
        <f t="shared" si="254"/>
        <v>0</v>
      </c>
      <c r="BH429" s="3307">
        <f t="shared" si="255"/>
        <v>0</v>
      </c>
      <c r="BI429" s="3307">
        <f t="shared" si="256"/>
        <v>0</v>
      </c>
      <c r="BJ429" s="3307">
        <f t="shared" si="257"/>
        <v>0</v>
      </c>
      <c r="BK429" s="3307">
        <f t="shared" si="258"/>
        <v>0</v>
      </c>
      <c r="BL429" s="3307">
        <f t="shared" si="259"/>
        <v>0</v>
      </c>
      <c r="BM429" s="3307">
        <f t="shared" si="260"/>
        <v>0</v>
      </c>
      <c r="BN429" s="3307">
        <f t="shared" si="261"/>
        <v>0</v>
      </c>
      <c r="BO429" s="3307">
        <f t="shared" si="262"/>
        <v>0</v>
      </c>
      <c r="BP429" s="3307">
        <f t="shared" si="263"/>
        <v>0</v>
      </c>
      <c r="BQ429" s="3307">
        <f t="shared" si="264"/>
        <v>0</v>
      </c>
      <c r="BR429" s="3307">
        <f t="shared" si="265"/>
        <v>0</v>
      </c>
      <c r="BS429" s="3307">
        <f t="shared" si="266"/>
        <v>0</v>
      </c>
      <c r="BT429" s="3359">
        <f t="shared" si="267"/>
        <v>0</v>
      </c>
    </row>
    <row r="430" spans="1:72">
      <c r="A430" s="3304"/>
      <c r="B430" s="3305"/>
      <c r="C430" s="3305"/>
      <c r="D430" s="3306"/>
      <c r="E430" s="3307">
        <f t="shared" si="239"/>
        <v>0</v>
      </c>
      <c r="F430" s="3308"/>
      <c r="G430" s="3309">
        <f t="shared" si="240"/>
        <v>0</v>
      </c>
      <c r="H430" s="3310">
        <f t="shared" si="241"/>
        <v>0</v>
      </c>
      <c r="I430" s="3317"/>
      <c r="J430" s="3317"/>
      <c r="K430" s="3317"/>
      <c r="L430" s="3317"/>
      <c r="M430" s="3317"/>
      <c r="N430" s="3317"/>
      <c r="O430" s="3317"/>
      <c r="P430" s="3317"/>
      <c r="Q430" s="3317"/>
      <c r="R430" s="3317"/>
      <c r="S430" s="3317"/>
      <c r="T430" s="3317"/>
      <c r="U430" s="3317"/>
      <c r="V430" s="3317"/>
      <c r="W430" s="3317"/>
      <c r="X430" s="3317"/>
      <c r="Y430" s="3317"/>
      <c r="Z430" s="3317"/>
      <c r="AA430" s="3317"/>
      <c r="AB430" s="3317"/>
      <c r="AC430" s="3307">
        <f t="shared" si="242"/>
        <v>0</v>
      </c>
      <c r="AD430" s="3327"/>
      <c r="AE430" s="3327"/>
      <c r="AF430" s="3327"/>
      <c r="AG430" s="3327"/>
      <c r="AH430" s="3327"/>
      <c r="AI430" s="3327"/>
      <c r="AJ430" s="3327"/>
      <c r="AK430" s="3327"/>
      <c r="AL430" s="3327"/>
      <c r="AM430" s="3327"/>
      <c r="AN430" s="3327"/>
      <c r="AO430" s="3327"/>
      <c r="AP430" s="3327"/>
      <c r="AQ430" s="3327"/>
      <c r="AR430" s="3327"/>
      <c r="AS430" s="3327"/>
      <c r="AT430" s="3337"/>
      <c r="AU430" s="3338"/>
      <c r="AV430" s="1410">
        <f t="shared" si="243"/>
        <v>0</v>
      </c>
      <c r="AW430" s="1410">
        <f t="shared" si="244"/>
        <v>0</v>
      </c>
      <c r="AX430" s="1410">
        <f t="shared" si="245"/>
        <v>0</v>
      </c>
      <c r="AY430" s="3352">
        <f t="shared" si="246"/>
        <v>0</v>
      </c>
      <c r="AZ430" s="3307">
        <f t="shared" si="247"/>
        <v>0</v>
      </c>
      <c r="BA430" s="3307">
        <f t="shared" si="248"/>
        <v>0</v>
      </c>
      <c r="BB430" s="3307">
        <f t="shared" si="249"/>
        <v>0</v>
      </c>
      <c r="BC430" s="3307">
        <f t="shared" si="250"/>
        <v>0</v>
      </c>
      <c r="BD430" s="3307">
        <f t="shared" si="251"/>
        <v>0</v>
      </c>
      <c r="BE430" s="3307">
        <f t="shared" si="252"/>
        <v>0</v>
      </c>
      <c r="BF430" s="3307">
        <f t="shared" si="253"/>
        <v>0</v>
      </c>
      <c r="BG430" s="3307">
        <f t="shared" si="254"/>
        <v>0</v>
      </c>
      <c r="BH430" s="3307">
        <f t="shared" si="255"/>
        <v>0</v>
      </c>
      <c r="BI430" s="3307">
        <f t="shared" si="256"/>
        <v>0</v>
      </c>
      <c r="BJ430" s="3307">
        <f t="shared" si="257"/>
        <v>0</v>
      </c>
      <c r="BK430" s="3307">
        <f t="shared" si="258"/>
        <v>0</v>
      </c>
      <c r="BL430" s="3307">
        <f t="shared" si="259"/>
        <v>0</v>
      </c>
      <c r="BM430" s="3307">
        <f t="shared" si="260"/>
        <v>0</v>
      </c>
      <c r="BN430" s="3307">
        <f t="shared" si="261"/>
        <v>0</v>
      </c>
      <c r="BO430" s="3307">
        <f t="shared" si="262"/>
        <v>0</v>
      </c>
      <c r="BP430" s="3307">
        <f t="shared" si="263"/>
        <v>0</v>
      </c>
      <c r="BQ430" s="3307">
        <f t="shared" si="264"/>
        <v>0</v>
      </c>
      <c r="BR430" s="3307">
        <f t="shared" si="265"/>
        <v>0</v>
      </c>
      <c r="BS430" s="3307">
        <f t="shared" si="266"/>
        <v>0</v>
      </c>
      <c r="BT430" s="3359">
        <f t="shared" si="267"/>
        <v>0</v>
      </c>
    </row>
    <row r="431" spans="1:72">
      <c r="A431" s="3304"/>
      <c r="B431" s="3305"/>
      <c r="C431" s="3305"/>
      <c r="D431" s="3306"/>
      <c r="E431" s="3307">
        <f t="shared" si="239"/>
        <v>0</v>
      </c>
      <c r="F431" s="3308"/>
      <c r="G431" s="3309">
        <f t="shared" si="240"/>
        <v>0</v>
      </c>
      <c r="H431" s="3310">
        <f t="shared" si="241"/>
        <v>0</v>
      </c>
      <c r="I431" s="3317"/>
      <c r="J431" s="3317"/>
      <c r="K431" s="3317"/>
      <c r="L431" s="3317"/>
      <c r="M431" s="3317"/>
      <c r="N431" s="3317"/>
      <c r="O431" s="3317"/>
      <c r="P431" s="3317"/>
      <c r="Q431" s="3317"/>
      <c r="R431" s="3317"/>
      <c r="S431" s="3317"/>
      <c r="T431" s="3317"/>
      <c r="U431" s="3317"/>
      <c r="V431" s="3317"/>
      <c r="W431" s="3317"/>
      <c r="X431" s="3317"/>
      <c r="Y431" s="3317"/>
      <c r="Z431" s="3317"/>
      <c r="AA431" s="3317"/>
      <c r="AB431" s="3317"/>
      <c r="AC431" s="3307">
        <f t="shared" si="242"/>
        <v>0</v>
      </c>
      <c r="AD431" s="3327"/>
      <c r="AE431" s="3327"/>
      <c r="AF431" s="3327"/>
      <c r="AG431" s="3327"/>
      <c r="AH431" s="3327"/>
      <c r="AI431" s="3327"/>
      <c r="AJ431" s="3327"/>
      <c r="AK431" s="3327"/>
      <c r="AL431" s="3327"/>
      <c r="AM431" s="3327"/>
      <c r="AN431" s="3327"/>
      <c r="AO431" s="3327"/>
      <c r="AP431" s="3327"/>
      <c r="AQ431" s="3327"/>
      <c r="AR431" s="3327"/>
      <c r="AS431" s="3327"/>
      <c r="AT431" s="3337"/>
      <c r="AU431" s="3338"/>
      <c r="AV431" s="1410">
        <f t="shared" si="243"/>
        <v>0</v>
      </c>
      <c r="AW431" s="1410">
        <f t="shared" si="244"/>
        <v>0</v>
      </c>
      <c r="AX431" s="1410">
        <f t="shared" si="245"/>
        <v>0</v>
      </c>
      <c r="AY431" s="3352">
        <f t="shared" si="246"/>
        <v>0</v>
      </c>
      <c r="AZ431" s="3307">
        <f t="shared" si="247"/>
        <v>0</v>
      </c>
      <c r="BA431" s="3307">
        <f t="shared" si="248"/>
        <v>0</v>
      </c>
      <c r="BB431" s="3307">
        <f t="shared" si="249"/>
        <v>0</v>
      </c>
      <c r="BC431" s="3307">
        <f t="shared" si="250"/>
        <v>0</v>
      </c>
      <c r="BD431" s="3307">
        <f t="shared" si="251"/>
        <v>0</v>
      </c>
      <c r="BE431" s="3307">
        <f t="shared" si="252"/>
        <v>0</v>
      </c>
      <c r="BF431" s="3307">
        <f t="shared" si="253"/>
        <v>0</v>
      </c>
      <c r="BG431" s="3307">
        <f t="shared" si="254"/>
        <v>0</v>
      </c>
      <c r="BH431" s="3307">
        <f t="shared" si="255"/>
        <v>0</v>
      </c>
      <c r="BI431" s="3307">
        <f t="shared" si="256"/>
        <v>0</v>
      </c>
      <c r="BJ431" s="3307">
        <f t="shared" si="257"/>
        <v>0</v>
      </c>
      <c r="BK431" s="3307">
        <f t="shared" si="258"/>
        <v>0</v>
      </c>
      <c r="BL431" s="3307">
        <f t="shared" si="259"/>
        <v>0</v>
      </c>
      <c r="BM431" s="3307">
        <f t="shared" si="260"/>
        <v>0</v>
      </c>
      <c r="BN431" s="3307">
        <f t="shared" si="261"/>
        <v>0</v>
      </c>
      <c r="BO431" s="3307">
        <f t="shared" si="262"/>
        <v>0</v>
      </c>
      <c r="BP431" s="3307">
        <f t="shared" si="263"/>
        <v>0</v>
      </c>
      <c r="BQ431" s="3307">
        <f t="shared" si="264"/>
        <v>0</v>
      </c>
      <c r="BR431" s="3307">
        <f t="shared" si="265"/>
        <v>0</v>
      </c>
      <c r="BS431" s="3307">
        <f t="shared" si="266"/>
        <v>0</v>
      </c>
      <c r="BT431" s="3359">
        <f t="shared" si="267"/>
        <v>0</v>
      </c>
    </row>
    <row r="432" spans="1:72">
      <c r="A432" s="3304"/>
      <c r="B432" s="3305"/>
      <c r="C432" s="3305"/>
      <c r="D432" s="3306"/>
      <c r="E432" s="3307">
        <f t="shared" si="239"/>
        <v>0</v>
      </c>
      <c r="F432" s="3308"/>
      <c r="G432" s="3309">
        <f t="shared" si="240"/>
        <v>0</v>
      </c>
      <c r="H432" s="3310">
        <f t="shared" si="241"/>
        <v>0</v>
      </c>
      <c r="I432" s="3317"/>
      <c r="J432" s="3317"/>
      <c r="K432" s="3317"/>
      <c r="L432" s="3317"/>
      <c r="M432" s="3317"/>
      <c r="N432" s="3317"/>
      <c r="O432" s="3317"/>
      <c r="P432" s="3317"/>
      <c r="Q432" s="3317"/>
      <c r="R432" s="3317"/>
      <c r="S432" s="3317"/>
      <c r="T432" s="3317"/>
      <c r="U432" s="3317"/>
      <c r="V432" s="3317"/>
      <c r="W432" s="3317"/>
      <c r="X432" s="3317"/>
      <c r="Y432" s="3317"/>
      <c r="Z432" s="3317"/>
      <c r="AA432" s="3317"/>
      <c r="AB432" s="3317"/>
      <c r="AC432" s="3307">
        <f t="shared" si="242"/>
        <v>0</v>
      </c>
      <c r="AD432" s="3327"/>
      <c r="AE432" s="3327"/>
      <c r="AF432" s="3327"/>
      <c r="AG432" s="3327"/>
      <c r="AH432" s="3327"/>
      <c r="AI432" s="3327"/>
      <c r="AJ432" s="3327"/>
      <c r="AK432" s="3327"/>
      <c r="AL432" s="3327"/>
      <c r="AM432" s="3327"/>
      <c r="AN432" s="3327"/>
      <c r="AO432" s="3327"/>
      <c r="AP432" s="3327"/>
      <c r="AQ432" s="3327"/>
      <c r="AR432" s="3327"/>
      <c r="AS432" s="3327"/>
      <c r="AT432" s="3337"/>
      <c r="AU432" s="3338"/>
      <c r="AV432" s="1410">
        <f t="shared" si="243"/>
        <v>0</v>
      </c>
      <c r="AW432" s="1410">
        <f t="shared" si="244"/>
        <v>0</v>
      </c>
      <c r="AX432" s="1410">
        <f t="shared" si="245"/>
        <v>0</v>
      </c>
      <c r="AY432" s="3352">
        <f t="shared" si="246"/>
        <v>0</v>
      </c>
      <c r="AZ432" s="3307">
        <f t="shared" si="247"/>
        <v>0</v>
      </c>
      <c r="BA432" s="3307">
        <f t="shared" si="248"/>
        <v>0</v>
      </c>
      <c r="BB432" s="3307">
        <f t="shared" si="249"/>
        <v>0</v>
      </c>
      <c r="BC432" s="3307">
        <f t="shared" si="250"/>
        <v>0</v>
      </c>
      <c r="BD432" s="3307">
        <f t="shared" si="251"/>
        <v>0</v>
      </c>
      <c r="BE432" s="3307">
        <f t="shared" si="252"/>
        <v>0</v>
      </c>
      <c r="BF432" s="3307">
        <f t="shared" si="253"/>
        <v>0</v>
      </c>
      <c r="BG432" s="3307">
        <f t="shared" si="254"/>
        <v>0</v>
      </c>
      <c r="BH432" s="3307">
        <f t="shared" si="255"/>
        <v>0</v>
      </c>
      <c r="BI432" s="3307">
        <f t="shared" si="256"/>
        <v>0</v>
      </c>
      <c r="BJ432" s="3307">
        <f t="shared" si="257"/>
        <v>0</v>
      </c>
      <c r="BK432" s="3307">
        <f t="shared" si="258"/>
        <v>0</v>
      </c>
      <c r="BL432" s="3307">
        <f t="shared" si="259"/>
        <v>0</v>
      </c>
      <c r="BM432" s="3307">
        <f t="shared" si="260"/>
        <v>0</v>
      </c>
      <c r="BN432" s="3307">
        <f t="shared" si="261"/>
        <v>0</v>
      </c>
      <c r="BO432" s="3307">
        <f t="shared" si="262"/>
        <v>0</v>
      </c>
      <c r="BP432" s="3307">
        <f t="shared" si="263"/>
        <v>0</v>
      </c>
      <c r="BQ432" s="3307">
        <f t="shared" si="264"/>
        <v>0</v>
      </c>
      <c r="BR432" s="3307">
        <f t="shared" si="265"/>
        <v>0</v>
      </c>
      <c r="BS432" s="3307">
        <f t="shared" si="266"/>
        <v>0</v>
      </c>
      <c r="BT432" s="3359">
        <f t="shared" si="267"/>
        <v>0</v>
      </c>
    </row>
    <row r="433" spans="1:72">
      <c r="A433" s="3304"/>
      <c r="B433" s="3305"/>
      <c r="C433" s="3305"/>
      <c r="D433" s="3306"/>
      <c r="E433" s="3307">
        <f t="shared" si="239"/>
        <v>0</v>
      </c>
      <c r="F433" s="3308"/>
      <c r="G433" s="3309">
        <f t="shared" si="240"/>
        <v>0</v>
      </c>
      <c r="H433" s="3310">
        <f t="shared" si="241"/>
        <v>0</v>
      </c>
      <c r="I433" s="3317"/>
      <c r="J433" s="3317"/>
      <c r="K433" s="3317"/>
      <c r="L433" s="3317"/>
      <c r="M433" s="3317"/>
      <c r="N433" s="3317"/>
      <c r="O433" s="3317"/>
      <c r="P433" s="3317"/>
      <c r="Q433" s="3317"/>
      <c r="R433" s="3317"/>
      <c r="S433" s="3317"/>
      <c r="T433" s="3317"/>
      <c r="U433" s="3317"/>
      <c r="V433" s="3317"/>
      <c r="W433" s="3317"/>
      <c r="X433" s="3317"/>
      <c r="Y433" s="3317"/>
      <c r="Z433" s="3317"/>
      <c r="AA433" s="3317"/>
      <c r="AB433" s="3317"/>
      <c r="AC433" s="3307">
        <f t="shared" si="242"/>
        <v>0</v>
      </c>
      <c r="AD433" s="3327"/>
      <c r="AE433" s="3327"/>
      <c r="AF433" s="3327"/>
      <c r="AG433" s="3327"/>
      <c r="AH433" s="3327"/>
      <c r="AI433" s="3327"/>
      <c r="AJ433" s="3327"/>
      <c r="AK433" s="3327"/>
      <c r="AL433" s="3327"/>
      <c r="AM433" s="3327"/>
      <c r="AN433" s="3327"/>
      <c r="AO433" s="3327"/>
      <c r="AP433" s="3327"/>
      <c r="AQ433" s="3327"/>
      <c r="AR433" s="3327"/>
      <c r="AS433" s="3327"/>
      <c r="AT433" s="3337"/>
      <c r="AU433" s="3338"/>
      <c r="AV433" s="1410">
        <f t="shared" si="243"/>
        <v>0</v>
      </c>
      <c r="AW433" s="1410">
        <f t="shared" si="244"/>
        <v>0</v>
      </c>
      <c r="AX433" s="1410">
        <f t="shared" si="245"/>
        <v>0</v>
      </c>
      <c r="AY433" s="3352">
        <f t="shared" si="246"/>
        <v>0</v>
      </c>
      <c r="AZ433" s="3307">
        <f t="shared" si="247"/>
        <v>0</v>
      </c>
      <c r="BA433" s="3307">
        <f t="shared" si="248"/>
        <v>0</v>
      </c>
      <c r="BB433" s="3307">
        <f t="shared" si="249"/>
        <v>0</v>
      </c>
      <c r="BC433" s="3307">
        <f t="shared" si="250"/>
        <v>0</v>
      </c>
      <c r="BD433" s="3307">
        <f t="shared" si="251"/>
        <v>0</v>
      </c>
      <c r="BE433" s="3307">
        <f t="shared" si="252"/>
        <v>0</v>
      </c>
      <c r="BF433" s="3307">
        <f t="shared" si="253"/>
        <v>0</v>
      </c>
      <c r="BG433" s="3307">
        <f t="shared" si="254"/>
        <v>0</v>
      </c>
      <c r="BH433" s="3307">
        <f t="shared" si="255"/>
        <v>0</v>
      </c>
      <c r="BI433" s="3307">
        <f t="shared" si="256"/>
        <v>0</v>
      </c>
      <c r="BJ433" s="3307">
        <f t="shared" si="257"/>
        <v>0</v>
      </c>
      <c r="BK433" s="3307">
        <f t="shared" si="258"/>
        <v>0</v>
      </c>
      <c r="BL433" s="3307">
        <f t="shared" si="259"/>
        <v>0</v>
      </c>
      <c r="BM433" s="3307">
        <f t="shared" si="260"/>
        <v>0</v>
      </c>
      <c r="BN433" s="3307">
        <f t="shared" si="261"/>
        <v>0</v>
      </c>
      <c r="BO433" s="3307">
        <f t="shared" si="262"/>
        <v>0</v>
      </c>
      <c r="BP433" s="3307">
        <f t="shared" si="263"/>
        <v>0</v>
      </c>
      <c r="BQ433" s="3307">
        <f t="shared" si="264"/>
        <v>0</v>
      </c>
      <c r="BR433" s="3307">
        <f t="shared" si="265"/>
        <v>0</v>
      </c>
      <c r="BS433" s="3307">
        <f t="shared" si="266"/>
        <v>0</v>
      </c>
      <c r="BT433" s="3359">
        <f t="shared" si="267"/>
        <v>0</v>
      </c>
    </row>
    <row r="434" spans="1:72">
      <c r="A434" s="3304"/>
      <c r="B434" s="3305"/>
      <c r="C434" s="3305"/>
      <c r="D434" s="3306"/>
      <c r="E434" s="3307">
        <f t="shared" si="239"/>
        <v>0</v>
      </c>
      <c r="F434" s="3308"/>
      <c r="G434" s="3309">
        <f t="shared" si="240"/>
        <v>0</v>
      </c>
      <c r="H434" s="3310">
        <f t="shared" si="241"/>
        <v>0</v>
      </c>
      <c r="I434" s="3317"/>
      <c r="J434" s="3317"/>
      <c r="K434" s="3317"/>
      <c r="L434" s="3317"/>
      <c r="M434" s="3317"/>
      <c r="N434" s="3317"/>
      <c r="O434" s="3317"/>
      <c r="P434" s="3317"/>
      <c r="Q434" s="3317"/>
      <c r="R434" s="3317"/>
      <c r="S434" s="3317"/>
      <c r="T434" s="3317"/>
      <c r="U434" s="3317"/>
      <c r="V434" s="3317"/>
      <c r="W434" s="3317"/>
      <c r="X434" s="3317"/>
      <c r="Y434" s="3317"/>
      <c r="Z434" s="3317"/>
      <c r="AA434" s="3317"/>
      <c r="AB434" s="3317"/>
      <c r="AC434" s="3307">
        <f t="shared" si="242"/>
        <v>0</v>
      </c>
      <c r="AD434" s="3327"/>
      <c r="AE434" s="3327"/>
      <c r="AF434" s="3327"/>
      <c r="AG434" s="3327"/>
      <c r="AH434" s="3327"/>
      <c r="AI434" s="3327"/>
      <c r="AJ434" s="3327"/>
      <c r="AK434" s="3327"/>
      <c r="AL434" s="3327"/>
      <c r="AM434" s="3327"/>
      <c r="AN434" s="3327"/>
      <c r="AO434" s="3327"/>
      <c r="AP434" s="3327"/>
      <c r="AQ434" s="3327"/>
      <c r="AR434" s="3327"/>
      <c r="AS434" s="3327"/>
      <c r="AT434" s="3337"/>
      <c r="AU434" s="3338"/>
      <c r="AV434" s="1410">
        <f t="shared" si="243"/>
        <v>0</v>
      </c>
      <c r="AW434" s="1410">
        <f t="shared" si="244"/>
        <v>0</v>
      </c>
      <c r="AX434" s="1410">
        <f t="shared" si="245"/>
        <v>0</v>
      </c>
      <c r="AY434" s="3352">
        <f t="shared" si="246"/>
        <v>0</v>
      </c>
      <c r="AZ434" s="3307">
        <f t="shared" si="247"/>
        <v>0</v>
      </c>
      <c r="BA434" s="3307">
        <f t="shared" si="248"/>
        <v>0</v>
      </c>
      <c r="BB434" s="3307">
        <f t="shared" si="249"/>
        <v>0</v>
      </c>
      <c r="BC434" s="3307">
        <f t="shared" si="250"/>
        <v>0</v>
      </c>
      <c r="BD434" s="3307">
        <f t="shared" si="251"/>
        <v>0</v>
      </c>
      <c r="BE434" s="3307">
        <f t="shared" si="252"/>
        <v>0</v>
      </c>
      <c r="BF434" s="3307">
        <f t="shared" si="253"/>
        <v>0</v>
      </c>
      <c r="BG434" s="3307">
        <f t="shared" si="254"/>
        <v>0</v>
      </c>
      <c r="BH434" s="3307">
        <f t="shared" si="255"/>
        <v>0</v>
      </c>
      <c r="BI434" s="3307">
        <f t="shared" si="256"/>
        <v>0</v>
      </c>
      <c r="BJ434" s="3307">
        <f t="shared" si="257"/>
        <v>0</v>
      </c>
      <c r="BK434" s="3307">
        <f t="shared" si="258"/>
        <v>0</v>
      </c>
      <c r="BL434" s="3307">
        <f t="shared" si="259"/>
        <v>0</v>
      </c>
      <c r="BM434" s="3307">
        <f t="shared" si="260"/>
        <v>0</v>
      </c>
      <c r="BN434" s="3307">
        <f t="shared" si="261"/>
        <v>0</v>
      </c>
      <c r="BO434" s="3307">
        <f t="shared" si="262"/>
        <v>0</v>
      </c>
      <c r="BP434" s="3307">
        <f t="shared" si="263"/>
        <v>0</v>
      </c>
      <c r="BQ434" s="3307">
        <f t="shared" si="264"/>
        <v>0</v>
      </c>
      <c r="BR434" s="3307">
        <f t="shared" si="265"/>
        <v>0</v>
      </c>
      <c r="BS434" s="3307">
        <f t="shared" si="266"/>
        <v>0</v>
      </c>
      <c r="BT434" s="3359">
        <f t="shared" si="267"/>
        <v>0</v>
      </c>
    </row>
    <row r="435" spans="1:72">
      <c r="A435" s="3304"/>
      <c r="B435" s="3305"/>
      <c r="C435" s="3305"/>
      <c r="D435" s="3306"/>
      <c r="E435" s="3307">
        <f t="shared" si="239"/>
        <v>0</v>
      </c>
      <c r="F435" s="3308"/>
      <c r="G435" s="3309">
        <f t="shared" si="240"/>
        <v>0</v>
      </c>
      <c r="H435" s="3310">
        <f t="shared" si="241"/>
        <v>0</v>
      </c>
      <c r="I435" s="3317"/>
      <c r="J435" s="3317"/>
      <c r="K435" s="3317"/>
      <c r="L435" s="3317"/>
      <c r="M435" s="3317"/>
      <c r="N435" s="3317"/>
      <c r="O435" s="3317"/>
      <c r="P435" s="3317"/>
      <c r="Q435" s="3317"/>
      <c r="R435" s="3317"/>
      <c r="S435" s="3317"/>
      <c r="T435" s="3317"/>
      <c r="U435" s="3317"/>
      <c r="V435" s="3317"/>
      <c r="W435" s="3317"/>
      <c r="X435" s="3317"/>
      <c r="Y435" s="3317"/>
      <c r="Z435" s="3317"/>
      <c r="AA435" s="3317"/>
      <c r="AB435" s="3317"/>
      <c r="AC435" s="3307">
        <f t="shared" si="242"/>
        <v>0</v>
      </c>
      <c r="AD435" s="3327"/>
      <c r="AE435" s="3327"/>
      <c r="AF435" s="3327"/>
      <c r="AG435" s="3327"/>
      <c r="AH435" s="3327"/>
      <c r="AI435" s="3327"/>
      <c r="AJ435" s="3327"/>
      <c r="AK435" s="3327"/>
      <c r="AL435" s="3327"/>
      <c r="AM435" s="3327"/>
      <c r="AN435" s="3327"/>
      <c r="AO435" s="3327"/>
      <c r="AP435" s="3327"/>
      <c r="AQ435" s="3327"/>
      <c r="AR435" s="3327"/>
      <c r="AS435" s="3327"/>
      <c r="AT435" s="3337"/>
      <c r="AU435" s="3338"/>
      <c r="AV435" s="1410">
        <f t="shared" si="243"/>
        <v>0</v>
      </c>
      <c r="AW435" s="1410">
        <f t="shared" si="244"/>
        <v>0</v>
      </c>
      <c r="AX435" s="1410">
        <f t="shared" si="245"/>
        <v>0</v>
      </c>
      <c r="AY435" s="3352">
        <f t="shared" si="246"/>
        <v>0</v>
      </c>
      <c r="AZ435" s="3307">
        <f t="shared" si="247"/>
        <v>0</v>
      </c>
      <c r="BA435" s="3307">
        <f t="shared" si="248"/>
        <v>0</v>
      </c>
      <c r="BB435" s="3307">
        <f t="shared" si="249"/>
        <v>0</v>
      </c>
      <c r="BC435" s="3307">
        <f t="shared" si="250"/>
        <v>0</v>
      </c>
      <c r="BD435" s="3307">
        <f t="shared" si="251"/>
        <v>0</v>
      </c>
      <c r="BE435" s="3307">
        <f t="shared" si="252"/>
        <v>0</v>
      </c>
      <c r="BF435" s="3307">
        <f t="shared" si="253"/>
        <v>0</v>
      </c>
      <c r="BG435" s="3307">
        <f t="shared" si="254"/>
        <v>0</v>
      </c>
      <c r="BH435" s="3307">
        <f t="shared" si="255"/>
        <v>0</v>
      </c>
      <c r="BI435" s="3307">
        <f t="shared" si="256"/>
        <v>0</v>
      </c>
      <c r="BJ435" s="3307">
        <f t="shared" si="257"/>
        <v>0</v>
      </c>
      <c r="BK435" s="3307">
        <f t="shared" si="258"/>
        <v>0</v>
      </c>
      <c r="BL435" s="3307">
        <f t="shared" si="259"/>
        <v>0</v>
      </c>
      <c r="BM435" s="3307">
        <f t="shared" si="260"/>
        <v>0</v>
      </c>
      <c r="BN435" s="3307">
        <f t="shared" si="261"/>
        <v>0</v>
      </c>
      <c r="BO435" s="3307">
        <f t="shared" si="262"/>
        <v>0</v>
      </c>
      <c r="BP435" s="3307">
        <f t="shared" si="263"/>
        <v>0</v>
      </c>
      <c r="BQ435" s="3307">
        <f t="shared" si="264"/>
        <v>0</v>
      </c>
      <c r="BR435" s="3307">
        <f t="shared" si="265"/>
        <v>0</v>
      </c>
      <c r="BS435" s="3307">
        <f t="shared" si="266"/>
        <v>0</v>
      </c>
      <c r="BT435" s="3359">
        <f t="shared" si="267"/>
        <v>0</v>
      </c>
    </row>
    <row r="436" spans="1:72">
      <c r="A436" s="3304"/>
      <c r="B436" s="3305"/>
      <c r="C436" s="3305"/>
      <c r="D436" s="3306"/>
      <c r="E436" s="3307">
        <f t="shared" si="239"/>
        <v>0</v>
      </c>
      <c r="F436" s="3308"/>
      <c r="G436" s="3309">
        <f t="shared" si="240"/>
        <v>0</v>
      </c>
      <c r="H436" s="3310">
        <f t="shared" si="241"/>
        <v>0</v>
      </c>
      <c r="I436" s="3317"/>
      <c r="J436" s="3317"/>
      <c r="K436" s="3317"/>
      <c r="L436" s="3317"/>
      <c r="M436" s="3317"/>
      <c r="N436" s="3317"/>
      <c r="O436" s="3317"/>
      <c r="P436" s="3317"/>
      <c r="Q436" s="3317"/>
      <c r="R436" s="3317"/>
      <c r="S436" s="3317"/>
      <c r="T436" s="3317"/>
      <c r="U436" s="3317"/>
      <c r="V436" s="3317"/>
      <c r="W436" s="3317"/>
      <c r="X436" s="3317"/>
      <c r="Y436" s="3317"/>
      <c r="Z436" s="3317"/>
      <c r="AA436" s="3317"/>
      <c r="AB436" s="3317"/>
      <c r="AC436" s="3307">
        <f t="shared" si="242"/>
        <v>0</v>
      </c>
      <c r="AD436" s="3327"/>
      <c r="AE436" s="3327"/>
      <c r="AF436" s="3327"/>
      <c r="AG436" s="3327"/>
      <c r="AH436" s="3327"/>
      <c r="AI436" s="3327"/>
      <c r="AJ436" s="3327"/>
      <c r="AK436" s="3327"/>
      <c r="AL436" s="3327"/>
      <c r="AM436" s="3327"/>
      <c r="AN436" s="3327"/>
      <c r="AO436" s="3327"/>
      <c r="AP436" s="3327"/>
      <c r="AQ436" s="3327"/>
      <c r="AR436" s="3327"/>
      <c r="AS436" s="3327"/>
      <c r="AT436" s="3337"/>
      <c r="AU436" s="3338"/>
      <c r="AV436" s="1410">
        <f t="shared" si="243"/>
        <v>0</v>
      </c>
      <c r="AW436" s="1410">
        <f t="shared" si="244"/>
        <v>0</v>
      </c>
      <c r="AX436" s="1410">
        <f t="shared" si="245"/>
        <v>0</v>
      </c>
      <c r="AY436" s="3352">
        <f t="shared" si="246"/>
        <v>0</v>
      </c>
      <c r="AZ436" s="3307">
        <f t="shared" si="247"/>
        <v>0</v>
      </c>
      <c r="BA436" s="3307">
        <f t="shared" si="248"/>
        <v>0</v>
      </c>
      <c r="BB436" s="3307">
        <f t="shared" si="249"/>
        <v>0</v>
      </c>
      <c r="BC436" s="3307">
        <f t="shared" si="250"/>
        <v>0</v>
      </c>
      <c r="BD436" s="3307">
        <f t="shared" si="251"/>
        <v>0</v>
      </c>
      <c r="BE436" s="3307">
        <f t="shared" si="252"/>
        <v>0</v>
      </c>
      <c r="BF436" s="3307">
        <f t="shared" si="253"/>
        <v>0</v>
      </c>
      <c r="BG436" s="3307">
        <f t="shared" si="254"/>
        <v>0</v>
      </c>
      <c r="BH436" s="3307">
        <f t="shared" si="255"/>
        <v>0</v>
      </c>
      <c r="BI436" s="3307">
        <f t="shared" si="256"/>
        <v>0</v>
      </c>
      <c r="BJ436" s="3307">
        <f t="shared" si="257"/>
        <v>0</v>
      </c>
      <c r="BK436" s="3307">
        <f t="shared" si="258"/>
        <v>0</v>
      </c>
      <c r="BL436" s="3307">
        <f t="shared" si="259"/>
        <v>0</v>
      </c>
      <c r="BM436" s="3307">
        <f t="shared" si="260"/>
        <v>0</v>
      </c>
      <c r="BN436" s="3307">
        <f t="shared" si="261"/>
        <v>0</v>
      </c>
      <c r="BO436" s="3307">
        <f t="shared" si="262"/>
        <v>0</v>
      </c>
      <c r="BP436" s="3307">
        <f t="shared" si="263"/>
        <v>0</v>
      </c>
      <c r="BQ436" s="3307">
        <f t="shared" si="264"/>
        <v>0</v>
      </c>
      <c r="BR436" s="3307">
        <f t="shared" si="265"/>
        <v>0</v>
      </c>
      <c r="BS436" s="3307">
        <f t="shared" si="266"/>
        <v>0</v>
      </c>
      <c r="BT436" s="3359">
        <f t="shared" si="267"/>
        <v>0</v>
      </c>
    </row>
    <row r="437" spans="1:72">
      <c r="A437" s="3304"/>
      <c r="B437" s="3305"/>
      <c r="C437" s="3305"/>
      <c r="D437" s="3306"/>
      <c r="E437" s="3307">
        <f t="shared" si="239"/>
        <v>0</v>
      </c>
      <c r="F437" s="3308"/>
      <c r="G437" s="3309">
        <f t="shared" si="240"/>
        <v>0</v>
      </c>
      <c r="H437" s="3310">
        <f t="shared" si="241"/>
        <v>0</v>
      </c>
      <c r="I437" s="3317"/>
      <c r="J437" s="3317"/>
      <c r="K437" s="3317"/>
      <c r="L437" s="3317"/>
      <c r="M437" s="3317"/>
      <c r="N437" s="3317"/>
      <c r="O437" s="3317"/>
      <c r="P437" s="3317"/>
      <c r="Q437" s="3317"/>
      <c r="R437" s="3317"/>
      <c r="S437" s="3317"/>
      <c r="T437" s="3317"/>
      <c r="U437" s="3317"/>
      <c r="V437" s="3317"/>
      <c r="W437" s="3317"/>
      <c r="X437" s="3317"/>
      <c r="Y437" s="3317"/>
      <c r="Z437" s="3317"/>
      <c r="AA437" s="3317"/>
      <c r="AB437" s="3317"/>
      <c r="AC437" s="3307">
        <f t="shared" si="242"/>
        <v>0</v>
      </c>
      <c r="AD437" s="3327"/>
      <c r="AE437" s="3327"/>
      <c r="AF437" s="3327"/>
      <c r="AG437" s="3327"/>
      <c r="AH437" s="3327"/>
      <c r="AI437" s="3327"/>
      <c r="AJ437" s="3327"/>
      <c r="AK437" s="3327"/>
      <c r="AL437" s="3327"/>
      <c r="AM437" s="3327"/>
      <c r="AN437" s="3327"/>
      <c r="AO437" s="3327"/>
      <c r="AP437" s="3327"/>
      <c r="AQ437" s="3327"/>
      <c r="AR437" s="3327"/>
      <c r="AS437" s="3327"/>
      <c r="AT437" s="3337"/>
      <c r="AU437" s="3338"/>
      <c r="AV437" s="1410">
        <f t="shared" si="243"/>
        <v>0</v>
      </c>
      <c r="AW437" s="1410">
        <f t="shared" si="244"/>
        <v>0</v>
      </c>
      <c r="AX437" s="1410">
        <f t="shared" si="245"/>
        <v>0</v>
      </c>
      <c r="AY437" s="3352">
        <f t="shared" si="246"/>
        <v>0</v>
      </c>
      <c r="AZ437" s="3307">
        <f t="shared" si="247"/>
        <v>0</v>
      </c>
      <c r="BA437" s="3307">
        <f t="shared" si="248"/>
        <v>0</v>
      </c>
      <c r="BB437" s="3307">
        <f t="shared" si="249"/>
        <v>0</v>
      </c>
      <c r="BC437" s="3307">
        <f t="shared" si="250"/>
        <v>0</v>
      </c>
      <c r="BD437" s="3307">
        <f t="shared" si="251"/>
        <v>0</v>
      </c>
      <c r="BE437" s="3307">
        <f t="shared" si="252"/>
        <v>0</v>
      </c>
      <c r="BF437" s="3307">
        <f t="shared" si="253"/>
        <v>0</v>
      </c>
      <c r="BG437" s="3307">
        <f t="shared" si="254"/>
        <v>0</v>
      </c>
      <c r="BH437" s="3307">
        <f t="shared" si="255"/>
        <v>0</v>
      </c>
      <c r="BI437" s="3307">
        <f t="shared" si="256"/>
        <v>0</v>
      </c>
      <c r="BJ437" s="3307">
        <f t="shared" si="257"/>
        <v>0</v>
      </c>
      <c r="BK437" s="3307">
        <f t="shared" si="258"/>
        <v>0</v>
      </c>
      <c r="BL437" s="3307">
        <f t="shared" si="259"/>
        <v>0</v>
      </c>
      <c r="BM437" s="3307">
        <f t="shared" si="260"/>
        <v>0</v>
      </c>
      <c r="BN437" s="3307">
        <f t="shared" si="261"/>
        <v>0</v>
      </c>
      <c r="BO437" s="3307">
        <f t="shared" si="262"/>
        <v>0</v>
      </c>
      <c r="BP437" s="3307">
        <f t="shared" si="263"/>
        <v>0</v>
      </c>
      <c r="BQ437" s="3307">
        <f t="shared" si="264"/>
        <v>0</v>
      </c>
      <c r="BR437" s="3307">
        <f t="shared" si="265"/>
        <v>0</v>
      </c>
      <c r="BS437" s="3307">
        <f t="shared" si="266"/>
        <v>0</v>
      </c>
      <c r="BT437" s="3359">
        <f t="shared" si="267"/>
        <v>0</v>
      </c>
    </row>
    <row r="438" spans="1:72">
      <c r="A438" s="3304"/>
      <c r="B438" s="3305"/>
      <c r="C438" s="3305"/>
      <c r="D438" s="3306"/>
      <c r="E438" s="3307">
        <f t="shared" si="239"/>
        <v>0</v>
      </c>
      <c r="F438" s="3308"/>
      <c r="G438" s="3309">
        <f t="shared" si="240"/>
        <v>0</v>
      </c>
      <c r="H438" s="3310">
        <f t="shared" si="241"/>
        <v>0</v>
      </c>
      <c r="I438" s="3317"/>
      <c r="J438" s="3317"/>
      <c r="K438" s="3317"/>
      <c r="L438" s="3317"/>
      <c r="M438" s="3317"/>
      <c r="N438" s="3317"/>
      <c r="O438" s="3317"/>
      <c r="P438" s="3317"/>
      <c r="Q438" s="3317"/>
      <c r="R438" s="3317"/>
      <c r="S438" s="3317"/>
      <c r="T438" s="3317"/>
      <c r="U438" s="3317"/>
      <c r="V438" s="3317"/>
      <c r="W438" s="3317"/>
      <c r="X438" s="3317"/>
      <c r="Y438" s="3317"/>
      <c r="Z438" s="3317"/>
      <c r="AA438" s="3317"/>
      <c r="AB438" s="3317"/>
      <c r="AC438" s="3307">
        <f t="shared" si="242"/>
        <v>0</v>
      </c>
      <c r="AD438" s="3327"/>
      <c r="AE438" s="3327"/>
      <c r="AF438" s="3327"/>
      <c r="AG438" s="3327"/>
      <c r="AH438" s="3327"/>
      <c r="AI438" s="3327"/>
      <c r="AJ438" s="3327"/>
      <c r="AK438" s="3327"/>
      <c r="AL438" s="3327"/>
      <c r="AM438" s="3327"/>
      <c r="AN438" s="3327"/>
      <c r="AO438" s="3327"/>
      <c r="AP438" s="3327"/>
      <c r="AQ438" s="3327"/>
      <c r="AR438" s="3327"/>
      <c r="AS438" s="3327"/>
      <c r="AT438" s="3337"/>
      <c r="AU438" s="3338"/>
      <c r="AV438" s="1410">
        <f t="shared" si="243"/>
        <v>0</v>
      </c>
      <c r="AW438" s="1410">
        <f t="shared" si="244"/>
        <v>0</v>
      </c>
      <c r="AX438" s="1410">
        <f t="shared" si="245"/>
        <v>0</v>
      </c>
      <c r="AY438" s="3352">
        <f t="shared" si="246"/>
        <v>0</v>
      </c>
      <c r="AZ438" s="3307">
        <f t="shared" si="247"/>
        <v>0</v>
      </c>
      <c r="BA438" s="3307">
        <f t="shared" si="248"/>
        <v>0</v>
      </c>
      <c r="BB438" s="3307">
        <f t="shared" si="249"/>
        <v>0</v>
      </c>
      <c r="BC438" s="3307">
        <f t="shared" si="250"/>
        <v>0</v>
      </c>
      <c r="BD438" s="3307">
        <f t="shared" si="251"/>
        <v>0</v>
      </c>
      <c r="BE438" s="3307">
        <f t="shared" si="252"/>
        <v>0</v>
      </c>
      <c r="BF438" s="3307">
        <f t="shared" si="253"/>
        <v>0</v>
      </c>
      <c r="BG438" s="3307">
        <f t="shared" si="254"/>
        <v>0</v>
      </c>
      <c r="BH438" s="3307">
        <f t="shared" si="255"/>
        <v>0</v>
      </c>
      <c r="BI438" s="3307">
        <f t="shared" si="256"/>
        <v>0</v>
      </c>
      <c r="BJ438" s="3307">
        <f t="shared" si="257"/>
        <v>0</v>
      </c>
      <c r="BK438" s="3307">
        <f t="shared" si="258"/>
        <v>0</v>
      </c>
      <c r="BL438" s="3307">
        <f t="shared" si="259"/>
        <v>0</v>
      </c>
      <c r="BM438" s="3307">
        <f t="shared" si="260"/>
        <v>0</v>
      </c>
      <c r="BN438" s="3307">
        <f t="shared" si="261"/>
        <v>0</v>
      </c>
      <c r="BO438" s="3307">
        <f t="shared" si="262"/>
        <v>0</v>
      </c>
      <c r="BP438" s="3307">
        <f t="shared" si="263"/>
        <v>0</v>
      </c>
      <c r="BQ438" s="3307">
        <f t="shared" si="264"/>
        <v>0</v>
      </c>
      <c r="BR438" s="3307">
        <f t="shared" si="265"/>
        <v>0</v>
      </c>
      <c r="BS438" s="3307">
        <f t="shared" si="266"/>
        <v>0</v>
      </c>
      <c r="BT438" s="3359">
        <f t="shared" si="267"/>
        <v>0</v>
      </c>
    </row>
    <row r="439" spans="1:72">
      <c r="A439" s="3304"/>
      <c r="B439" s="3305"/>
      <c r="C439" s="3305"/>
      <c r="D439" s="3306"/>
      <c r="E439" s="3307">
        <f t="shared" si="239"/>
        <v>0</v>
      </c>
      <c r="F439" s="3308"/>
      <c r="G439" s="3309">
        <f t="shared" si="240"/>
        <v>0</v>
      </c>
      <c r="H439" s="3310">
        <f t="shared" si="241"/>
        <v>0</v>
      </c>
      <c r="I439" s="3317"/>
      <c r="J439" s="3317"/>
      <c r="K439" s="3317"/>
      <c r="L439" s="3317"/>
      <c r="M439" s="3317"/>
      <c r="N439" s="3317"/>
      <c r="O439" s="3317"/>
      <c r="P439" s="3317"/>
      <c r="Q439" s="3317"/>
      <c r="R439" s="3317"/>
      <c r="S439" s="3317"/>
      <c r="T439" s="3317"/>
      <c r="U439" s="3317"/>
      <c r="V439" s="3317"/>
      <c r="W439" s="3317"/>
      <c r="X439" s="3317"/>
      <c r="Y439" s="3317"/>
      <c r="Z439" s="3317"/>
      <c r="AA439" s="3317"/>
      <c r="AB439" s="3317"/>
      <c r="AC439" s="3307">
        <f t="shared" si="242"/>
        <v>0</v>
      </c>
      <c r="AD439" s="3327"/>
      <c r="AE439" s="3327"/>
      <c r="AF439" s="3327"/>
      <c r="AG439" s="3327"/>
      <c r="AH439" s="3327"/>
      <c r="AI439" s="3327"/>
      <c r="AJ439" s="3327"/>
      <c r="AK439" s="3327"/>
      <c r="AL439" s="3327"/>
      <c r="AM439" s="3327"/>
      <c r="AN439" s="3327"/>
      <c r="AO439" s="3327"/>
      <c r="AP439" s="3327"/>
      <c r="AQ439" s="3327"/>
      <c r="AR439" s="3327"/>
      <c r="AS439" s="3327"/>
      <c r="AT439" s="3337"/>
      <c r="AU439" s="3338"/>
      <c r="AV439" s="1410">
        <f t="shared" si="243"/>
        <v>0</v>
      </c>
      <c r="AW439" s="1410">
        <f t="shared" si="244"/>
        <v>0</v>
      </c>
      <c r="AX439" s="1410">
        <f t="shared" si="245"/>
        <v>0</v>
      </c>
      <c r="AY439" s="3352">
        <f t="shared" si="246"/>
        <v>0</v>
      </c>
      <c r="AZ439" s="3307">
        <f t="shared" si="247"/>
        <v>0</v>
      </c>
      <c r="BA439" s="3307">
        <f t="shared" si="248"/>
        <v>0</v>
      </c>
      <c r="BB439" s="3307">
        <f t="shared" si="249"/>
        <v>0</v>
      </c>
      <c r="BC439" s="3307">
        <f t="shared" si="250"/>
        <v>0</v>
      </c>
      <c r="BD439" s="3307">
        <f t="shared" si="251"/>
        <v>0</v>
      </c>
      <c r="BE439" s="3307">
        <f t="shared" si="252"/>
        <v>0</v>
      </c>
      <c r="BF439" s="3307">
        <f t="shared" si="253"/>
        <v>0</v>
      </c>
      <c r="BG439" s="3307">
        <f t="shared" si="254"/>
        <v>0</v>
      </c>
      <c r="BH439" s="3307">
        <f t="shared" si="255"/>
        <v>0</v>
      </c>
      <c r="BI439" s="3307">
        <f t="shared" si="256"/>
        <v>0</v>
      </c>
      <c r="BJ439" s="3307">
        <f t="shared" si="257"/>
        <v>0</v>
      </c>
      <c r="BK439" s="3307">
        <f t="shared" si="258"/>
        <v>0</v>
      </c>
      <c r="BL439" s="3307">
        <f t="shared" si="259"/>
        <v>0</v>
      </c>
      <c r="BM439" s="3307">
        <f t="shared" si="260"/>
        <v>0</v>
      </c>
      <c r="BN439" s="3307">
        <f t="shared" si="261"/>
        <v>0</v>
      </c>
      <c r="BO439" s="3307">
        <f t="shared" si="262"/>
        <v>0</v>
      </c>
      <c r="BP439" s="3307">
        <f t="shared" si="263"/>
        <v>0</v>
      </c>
      <c r="BQ439" s="3307">
        <f t="shared" si="264"/>
        <v>0</v>
      </c>
      <c r="BR439" s="3307">
        <f t="shared" si="265"/>
        <v>0</v>
      </c>
      <c r="BS439" s="3307">
        <f t="shared" si="266"/>
        <v>0</v>
      </c>
      <c r="BT439" s="3359">
        <f t="shared" si="267"/>
        <v>0</v>
      </c>
    </row>
    <row r="440" spans="1:72">
      <c r="A440" s="3304"/>
      <c r="B440" s="3305"/>
      <c r="C440" s="3305"/>
      <c r="D440" s="3306"/>
      <c r="E440" s="3307">
        <f t="shared" si="239"/>
        <v>0</v>
      </c>
      <c r="F440" s="3308"/>
      <c r="G440" s="3309">
        <f t="shared" si="240"/>
        <v>0</v>
      </c>
      <c r="H440" s="3310">
        <f t="shared" si="241"/>
        <v>0</v>
      </c>
      <c r="I440" s="3317"/>
      <c r="J440" s="3317"/>
      <c r="K440" s="3317"/>
      <c r="L440" s="3317"/>
      <c r="M440" s="3317"/>
      <c r="N440" s="3317"/>
      <c r="O440" s="3317"/>
      <c r="P440" s="3317"/>
      <c r="Q440" s="3317"/>
      <c r="R440" s="3317"/>
      <c r="S440" s="3317"/>
      <c r="T440" s="3317"/>
      <c r="U440" s="3317"/>
      <c r="V440" s="3317"/>
      <c r="W440" s="3317"/>
      <c r="X440" s="3317"/>
      <c r="Y440" s="3317"/>
      <c r="Z440" s="3317"/>
      <c r="AA440" s="3317"/>
      <c r="AB440" s="3317"/>
      <c r="AC440" s="3307">
        <f t="shared" si="242"/>
        <v>0</v>
      </c>
      <c r="AD440" s="3327"/>
      <c r="AE440" s="3327"/>
      <c r="AF440" s="3327"/>
      <c r="AG440" s="3327"/>
      <c r="AH440" s="3327"/>
      <c r="AI440" s="3327"/>
      <c r="AJ440" s="3327"/>
      <c r="AK440" s="3327"/>
      <c r="AL440" s="3327"/>
      <c r="AM440" s="3327"/>
      <c r="AN440" s="3327"/>
      <c r="AO440" s="3327"/>
      <c r="AP440" s="3327"/>
      <c r="AQ440" s="3327"/>
      <c r="AR440" s="3327"/>
      <c r="AS440" s="3327"/>
      <c r="AT440" s="3337"/>
      <c r="AU440" s="3338"/>
      <c r="AV440" s="1410">
        <f t="shared" si="243"/>
        <v>0</v>
      </c>
      <c r="AW440" s="1410">
        <f t="shared" si="244"/>
        <v>0</v>
      </c>
      <c r="AX440" s="1410">
        <f t="shared" si="245"/>
        <v>0</v>
      </c>
      <c r="AY440" s="3352">
        <f t="shared" si="246"/>
        <v>0</v>
      </c>
      <c r="AZ440" s="3307">
        <f t="shared" si="247"/>
        <v>0</v>
      </c>
      <c r="BA440" s="3307">
        <f t="shared" si="248"/>
        <v>0</v>
      </c>
      <c r="BB440" s="3307">
        <f t="shared" si="249"/>
        <v>0</v>
      </c>
      <c r="BC440" s="3307">
        <f t="shared" si="250"/>
        <v>0</v>
      </c>
      <c r="BD440" s="3307">
        <f t="shared" si="251"/>
        <v>0</v>
      </c>
      <c r="BE440" s="3307">
        <f t="shared" si="252"/>
        <v>0</v>
      </c>
      <c r="BF440" s="3307">
        <f t="shared" si="253"/>
        <v>0</v>
      </c>
      <c r="BG440" s="3307">
        <f t="shared" si="254"/>
        <v>0</v>
      </c>
      <c r="BH440" s="3307">
        <f t="shared" si="255"/>
        <v>0</v>
      </c>
      <c r="BI440" s="3307">
        <f t="shared" si="256"/>
        <v>0</v>
      </c>
      <c r="BJ440" s="3307">
        <f t="shared" si="257"/>
        <v>0</v>
      </c>
      <c r="BK440" s="3307">
        <f t="shared" si="258"/>
        <v>0</v>
      </c>
      <c r="BL440" s="3307">
        <f t="shared" si="259"/>
        <v>0</v>
      </c>
      <c r="BM440" s="3307">
        <f t="shared" si="260"/>
        <v>0</v>
      </c>
      <c r="BN440" s="3307">
        <f t="shared" si="261"/>
        <v>0</v>
      </c>
      <c r="BO440" s="3307">
        <f t="shared" si="262"/>
        <v>0</v>
      </c>
      <c r="BP440" s="3307">
        <f t="shared" si="263"/>
        <v>0</v>
      </c>
      <c r="BQ440" s="3307">
        <f t="shared" si="264"/>
        <v>0</v>
      </c>
      <c r="BR440" s="3307">
        <f t="shared" si="265"/>
        <v>0</v>
      </c>
      <c r="BS440" s="3307">
        <f t="shared" si="266"/>
        <v>0</v>
      </c>
      <c r="BT440" s="3359">
        <f t="shared" si="267"/>
        <v>0</v>
      </c>
    </row>
    <row r="441" spans="1:72">
      <c r="A441" s="3304"/>
      <c r="B441" s="3305"/>
      <c r="C441" s="3305"/>
      <c r="D441" s="3306"/>
      <c r="E441" s="3307">
        <f t="shared" si="239"/>
        <v>0</v>
      </c>
      <c r="F441" s="3308"/>
      <c r="G441" s="3309">
        <f t="shared" si="240"/>
        <v>0</v>
      </c>
      <c r="H441" s="3310">
        <f t="shared" si="241"/>
        <v>0</v>
      </c>
      <c r="I441" s="3317"/>
      <c r="J441" s="3317"/>
      <c r="K441" s="3317"/>
      <c r="L441" s="3317"/>
      <c r="M441" s="3317"/>
      <c r="N441" s="3317"/>
      <c r="O441" s="3317"/>
      <c r="P441" s="3317"/>
      <c r="Q441" s="3317"/>
      <c r="R441" s="3317"/>
      <c r="S441" s="3317"/>
      <c r="T441" s="3317"/>
      <c r="U441" s="3317"/>
      <c r="V441" s="3317"/>
      <c r="W441" s="3317"/>
      <c r="X441" s="3317"/>
      <c r="Y441" s="3317"/>
      <c r="Z441" s="3317"/>
      <c r="AA441" s="3317"/>
      <c r="AB441" s="3317"/>
      <c r="AC441" s="3307">
        <f t="shared" si="242"/>
        <v>0</v>
      </c>
      <c r="AD441" s="3327"/>
      <c r="AE441" s="3327"/>
      <c r="AF441" s="3327"/>
      <c r="AG441" s="3327"/>
      <c r="AH441" s="3327"/>
      <c r="AI441" s="3327"/>
      <c r="AJ441" s="3327"/>
      <c r="AK441" s="3327"/>
      <c r="AL441" s="3327"/>
      <c r="AM441" s="3327"/>
      <c r="AN441" s="3327"/>
      <c r="AO441" s="3327"/>
      <c r="AP441" s="3327"/>
      <c r="AQ441" s="3327"/>
      <c r="AR441" s="3327"/>
      <c r="AS441" s="3327"/>
      <c r="AT441" s="3337"/>
      <c r="AU441" s="3338"/>
      <c r="AV441" s="1410">
        <f t="shared" si="243"/>
        <v>0</v>
      </c>
      <c r="AW441" s="1410">
        <f t="shared" si="244"/>
        <v>0</v>
      </c>
      <c r="AX441" s="1410">
        <f t="shared" si="245"/>
        <v>0</v>
      </c>
      <c r="AY441" s="3352">
        <f t="shared" si="246"/>
        <v>0</v>
      </c>
      <c r="AZ441" s="3307">
        <f t="shared" si="247"/>
        <v>0</v>
      </c>
      <c r="BA441" s="3307">
        <f t="shared" si="248"/>
        <v>0</v>
      </c>
      <c r="BB441" s="3307">
        <f t="shared" si="249"/>
        <v>0</v>
      </c>
      <c r="BC441" s="3307">
        <f t="shared" si="250"/>
        <v>0</v>
      </c>
      <c r="BD441" s="3307">
        <f t="shared" si="251"/>
        <v>0</v>
      </c>
      <c r="BE441" s="3307">
        <f t="shared" si="252"/>
        <v>0</v>
      </c>
      <c r="BF441" s="3307">
        <f t="shared" si="253"/>
        <v>0</v>
      </c>
      <c r="BG441" s="3307">
        <f t="shared" si="254"/>
        <v>0</v>
      </c>
      <c r="BH441" s="3307">
        <f t="shared" si="255"/>
        <v>0</v>
      </c>
      <c r="BI441" s="3307">
        <f t="shared" si="256"/>
        <v>0</v>
      </c>
      <c r="BJ441" s="3307">
        <f t="shared" si="257"/>
        <v>0</v>
      </c>
      <c r="BK441" s="3307">
        <f t="shared" si="258"/>
        <v>0</v>
      </c>
      <c r="BL441" s="3307">
        <f t="shared" si="259"/>
        <v>0</v>
      </c>
      <c r="BM441" s="3307">
        <f t="shared" si="260"/>
        <v>0</v>
      </c>
      <c r="BN441" s="3307">
        <f t="shared" si="261"/>
        <v>0</v>
      </c>
      <c r="BO441" s="3307">
        <f t="shared" si="262"/>
        <v>0</v>
      </c>
      <c r="BP441" s="3307">
        <f t="shared" si="263"/>
        <v>0</v>
      </c>
      <c r="BQ441" s="3307">
        <f t="shared" si="264"/>
        <v>0</v>
      </c>
      <c r="BR441" s="3307">
        <f t="shared" si="265"/>
        <v>0</v>
      </c>
      <c r="BS441" s="3307">
        <f t="shared" si="266"/>
        <v>0</v>
      </c>
      <c r="BT441" s="3359">
        <f t="shared" si="267"/>
        <v>0</v>
      </c>
    </row>
    <row r="442" spans="1:72">
      <c r="A442" s="3304"/>
      <c r="B442" s="3305"/>
      <c r="C442" s="3305"/>
      <c r="D442" s="3306"/>
      <c r="E442" s="3307">
        <f t="shared" si="239"/>
        <v>0</v>
      </c>
      <c r="F442" s="3308"/>
      <c r="G442" s="3309">
        <f t="shared" si="240"/>
        <v>0</v>
      </c>
      <c r="H442" s="3310">
        <f t="shared" si="241"/>
        <v>0</v>
      </c>
      <c r="I442" s="3317"/>
      <c r="J442" s="3317"/>
      <c r="K442" s="3317"/>
      <c r="L442" s="3317"/>
      <c r="M442" s="3317"/>
      <c r="N442" s="3317"/>
      <c r="O442" s="3317"/>
      <c r="P442" s="3317"/>
      <c r="Q442" s="3317"/>
      <c r="R442" s="3317"/>
      <c r="S442" s="3317"/>
      <c r="T442" s="3317"/>
      <c r="U442" s="3317"/>
      <c r="V442" s="3317"/>
      <c r="W442" s="3317"/>
      <c r="X442" s="3317"/>
      <c r="Y442" s="3317"/>
      <c r="Z442" s="3317"/>
      <c r="AA442" s="3317"/>
      <c r="AB442" s="3317"/>
      <c r="AC442" s="3307">
        <f t="shared" si="242"/>
        <v>0</v>
      </c>
      <c r="AD442" s="3327"/>
      <c r="AE442" s="3327"/>
      <c r="AF442" s="3327"/>
      <c r="AG442" s="3327"/>
      <c r="AH442" s="3327"/>
      <c r="AI442" s="3327"/>
      <c r="AJ442" s="3327"/>
      <c r="AK442" s="3327"/>
      <c r="AL442" s="3327"/>
      <c r="AM442" s="3327"/>
      <c r="AN442" s="3327"/>
      <c r="AO442" s="3327"/>
      <c r="AP442" s="3327"/>
      <c r="AQ442" s="3327"/>
      <c r="AR442" s="3327"/>
      <c r="AS442" s="3327"/>
      <c r="AT442" s="3337"/>
      <c r="AU442" s="3338"/>
      <c r="AV442" s="1410">
        <f t="shared" si="243"/>
        <v>0</v>
      </c>
      <c r="AW442" s="1410">
        <f t="shared" si="244"/>
        <v>0</v>
      </c>
      <c r="AX442" s="1410">
        <f t="shared" si="245"/>
        <v>0</v>
      </c>
      <c r="AY442" s="3352">
        <f t="shared" si="246"/>
        <v>0</v>
      </c>
      <c r="AZ442" s="3307">
        <f t="shared" si="247"/>
        <v>0</v>
      </c>
      <c r="BA442" s="3307">
        <f t="shared" si="248"/>
        <v>0</v>
      </c>
      <c r="BB442" s="3307">
        <f t="shared" si="249"/>
        <v>0</v>
      </c>
      <c r="BC442" s="3307">
        <f t="shared" si="250"/>
        <v>0</v>
      </c>
      <c r="BD442" s="3307">
        <f t="shared" si="251"/>
        <v>0</v>
      </c>
      <c r="BE442" s="3307">
        <f t="shared" si="252"/>
        <v>0</v>
      </c>
      <c r="BF442" s="3307">
        <f t="shared" si="253"/>
        <v>0</v>
      </c>
      <c r="BG442" s="3307">
        <f t="shared" si="254"/>
        <v>0</v>
      </c>
      <c r="BH442" s="3307">
        <f t="shared" si="255"/>
        <v>0</v>
      </c>
      <c r="BI442" s="3307">
        <f t="shared" si="256"/>
        <v>0</v>
      </c>
      <c r="BJ442" s="3307">
        <f t="shared" si="257"/>
        <v>0</v>
      </c>
      <c r="BK442" s="3307">
        <f t="shared" si="258"/>
        <v>0</v>
      </c>
      <c r="BL442" s="3307">
        <f t="shared" si="259"/>
        <v>0</v>
      </c>
      <c r="BM442" s="3307">
        <f t="shared" si="260"/>
        <v>0</v>
      </c>
      <c r="BN442" s="3307">
        <f t="shared" si="261"/>
        <v>0</v>
      </c>
      <c r="BO442" s="3307">
        <f t="shared" si="262"/>
        <v>0</v>
      </c>
      <c r="BP442" s="3307">
        <f t="shared" si="263"/>
        <v>0</v>
      </c>
      <c r="BQ442" s="3307">
        <f t="shared" si="264"/>
        <v>0</v>
      </c>
      <c r="BR442" s="3307">
        <f t="shared" si="265"/>
        <v>0</v>
      </c>
      <c r="BS442" s="3307">
        <f t="shared" si="266"/>
        <v>0</v>
      </c>
      <c r="BT442" s="3359">
        <f t="shared" si="267"/>
        <v>0</v>
      </c>
    </row>
    <row r="443" spans="1:72">
      <c r="A443" s="3304"/>
      <c r="B443" s="3305"/>
      <c r="C443" s="3305"/>
      <c r="D443" s="3306"/>
      <c r="E443" s="3307">
        <f t="shared" si="239"/>
        <v>0</v>
      </c>
      <c r="F443" s="3308"/>
      <c r="G443" s="3309">
        <f t="shared" si="240"/>
        <v>0</v>
      </c>
      <c r="H443" s="3310">
        <f t="shared" si="241"/>
        <v>0</v>
      </c>
      <c r="I443" s="3317"/>
      <c r="J443" s="3317"/>
      <c r="K443" s="3317"/>
      <c r="L443" s="3317"/>
      <c r="M443" s="3317"/>
      <c r="N443" s="3317"/>
      <c r="O443" s="3317"/>
      <c r="P443" s="3317"/>
      <c r="Q443" s="3317"/>
      <c r="R443" s="3317"/>
      <c r="S443" s="3317"/>
      <c r="T443" s="3317"/>
      <c r="U443" s="3317"/>
      <c r="V443" s="3317"/>
      <c r="W443" s="3317"/>
      <c r="X443" s="3317"/>
      <c r="Y443" s="3317"/>
      <c r="Z443" s="3317"/>
      <c r="AA443" s="3317"/>
      <c r="AB443" s="3317"/>
      <c r="AC443" s="3307">
        <f t="shared" si="242"/>
        <v>0</v>
      </c>
      <c r="AD443" s="3327"/>
      <c r="AE443" s="3327"/>
      <c r="AF443" s="3327"/>
      <c r="AG443" s="3327"/>
      <c r="AH443" s="3327"/>
      <c r="AI443" s="3327"/>
      <c r="AJ443" s="3327"/>
      <c r="AK443" s="3327"/>
      <c r="AL443" s="3327"/>
      <c r="AM443" s="3327"/>
      <c r="AN443" s="3327"/>
      <c r="AO443" s="3327"/>
      <c r="AP443" s="3327"/>
      <c r="AQ443" s="3327"/>
      <c r="AR443" s="3327"/>
      <c r="AS443" s="3327"/>
      <c r="AT443" s="3337"/>
      <c r="AU443" s="3338"/>
      <c r="AV443" s="1410">
        <f t="shared" si="243"/>
        <v>0</v>
      </c>
      <c r="AW443" s="1410">
        <f t="shared" si="244"/>
        <v>0</v>
      </c>
      <c r="AX443" s="1410">
        <f t="shared" si="245"/>
        <v>0</v>
      </c>
      <c r="AY443" s="3352">
        <f t="shared" si="246"/>
        <v>0</v>
      </c>
      <c r="AZ443" s="3307">
        <f t="shared" si="247"/>
        <v>0</v>
      </c>
      <c r="BA443" s="3307">
        <f t="shared" si="248"/>
        <v>0</v>
      </c>
      <c r="BB443" s="3307">
        <f t="shared" si="249"/>
        <v>0</v>
      </c>
      <c r="BC443" s="3307">
        <f t="shared" si="250"/>
        <v>0</v>
      </c>
      <c r="BD443" s="3307">
        <f t="shared" si="251"/>
        <v>0</v>
      </c>
      <c r="BE443" s="3307">
        <f t="shared" si="252"/>
        <v>0</v>
      </c>
      <c r="BF443" s="3307">
        <f t="shared" si="253"/>
        <v>0</v>
      </c>
      <c r="BG443" s="3307">
        <f t="shared" si="254"/>
        <v>0</v>
      </c>
      <c r="BH443" s="3307">
        <f t="shared" si="255"/>
        <v>0</v>
      </c>
      <c r="BI443" s="3307">
        <f t="shared" si="256"/>
        <v>0</v>
      </c>
      <c r="BJ443" s="3307">
        <f t="shared" si="257"/>
        <v>0</v>
      </c>
      <c r="BK443" s="3307">
        <f t="shared" si="258"/>
        <v>0</v>
      </c>
      <c r="BL443" s="3307">
        <f t="shared" si="259"/>
        <v>0</v>
      </c>
      <c r="BM443" s="3307">
        <f t="shared" si="260"/>
        <v>0</v>
      </c>
      <c r="BN443" s="3307">
        <f t="shared" si="261"/>
        <v>0</v>
      </c>
      <c r="BO443" s="3307">
        <f t="shared" si="262"/>
        <v>0</v>
      </c>
      <c r="BP443" s="3307">
        <f t="shared" si="263"/>
        <v>0</v>
      </c>
      <c r="BQ443" s="3307">
        <f t="shared" si="264"/>
        <v>0</v>
      </c>
      <c r="BR443" s="3307">
        <f t="shared" si="265"/>
        <v>0</v>
      </c>
      <c r="BS443" s="3307">
        <f t="shared" si="266"/>
        <v>0</v>
      </c>
      <c r="BT443" s="3359">
        <f t="shared" si="267"/>
        <v>0</v>
      </c>
    </row>
    <row r="444" spans="1:72">
      <c r="A444" s="3304"/>
      <c r="B444" s="3305"/>
      <c r="C444" s="3305"/>
      <c r="D444" s="3306"/>
      <c r="E444" s="3307">
        <f t="shared" si="239"/>
        <v>0</v>
      </c>
      <c r="F444" s="3308"/>
      <c r="G444" s="3309">
        <f t="shared" si="240"/>
        <v>0</v>
      </c>
      <c r="H444" s="3310">
        <f t="shared" si="241"/>
        <v>0</v>
      </c>
      <c r="I444" s="3317"/>
      <c r="J444" s="3317"/>
      <c r="K444" s="3317"/>
      <c r="L444" s="3317"/>
      <c r="M444" s="3317"/>
      <c r="N444" s="3317"/>
      <c r="O444" s="3317"/>
      <c r="P444" s="3317"/>
      <c r="Q444" s="3317"/>
      <c r="R444" s="3317"/>
      <c r="S444" s="3317"/>
      <c r="T444" s="3317"/>
      <c r="U444" s="3317"/>
      <c r="V444" s="3317"/>
      <c r="W444" s="3317"/>
      <c r="X444" s="3317"/>
      <c r="Y444" s="3317"/>
      <c r="Z444" s="3317"/>
      <c r="AA444" s="3317"/>
      <c r="AB444" s="3317"/>
      <c r="AC444" s="3307">
        <f t="shared" si="242"/>
        <v>0</v>
      </c>
      <c r="AD444" s="3327"/>
      <c r="AE444" s="3327"/>
      <c r="AF444" s="3327"/>
      <c r="AG444" s="3327"/>
      <c r="AH444" s="3327"/>
      <c r="AI444" s="3327"/>
      <c r="AJ444" s="3327"/>
      <c r="AK444" s="3327"/>
      <c r="AL444" s="3327"/>
      <c r="AM444" s="3327"/>
      <c r="AN444" s="3327"/>
      <c r="AO444" s="3327"/>
      <c r="AP444" s="3327"/>
      <c r="AQ444" s="3327"/>
      <c r="AR444" s="3327"/>
      <c r="AS444" s="3327"/>
      <c r="AT444" s="3337"/>
      <c r="AU444" s="3338"/>
      <c r="AV444" s="1410">
        <f t="shared" si="243"/>
        <v>0</v>
      </c>
      <c r="AW444" s="1410">
        <f t="shared" si="244"/>
        <v>0</v>
      </c>
      <c r="AX444" s="1410">
        <f t="shared" si="245"/>
        <v>0</v>
      </c>
      <c r="AY444" s="3352">
        <f t="shared" si="246"/>
        <v>0</v>
      </c>
      <c r="AZ444" s="3307">
        <f t="shared" si="247"/>
        <v>0</v>
      </c>
      <c r="BA444" s="3307">
        <f t="shared" si="248"/>
        <v>0</v>
      </c>
      <c r="BB444" s="3307">
        <f t="shared" si="249"/>
        <v>0</v>
      </c>
      <c r="BC444" s="3307">
        <f t="shared" si="250"/>
        <v>0</v>
      </c>
      <c r="BD444" s="3307">
        <f t="shared" si="251"/>
        <v>0</v>
      </c>
      <c r="BE444" s="3307">
        <f t="shared" si="252"/>
        <v>0</v>
      </c>
      <c r="BF444" s="3307">
        <f t="shared" si="253"/>
        <v>0</v>
      </c>
      <c r="BG444" s="3307">
        <f t="shared" si="254"/>
        <v>0</v>
      </c>
      <c r="BH444" s="3307">
        <f t="shared" si="255"/>
        <v>0</v>
      </c>
      <c r="BI444" s="3307">
        <f t="shared" si="256"/>
        <v>0</v>
      </c>
      <c r="BJ444" s="3307">
        <f t="shared" si="257"/>
        <v>0</v>
      </c>
      <c r="BK444" s="3307">
        <f t="shared" si="258"/>
        <v>0</v>
      </c>
      <c r="BL444" s="3307">
        <f t="shared" si="259"/>
        <v>0</v>
      </c>
      <c r="BM444" s="3307">
        <f t="shared" si="260"/>
        <v>0</v>
      </c>
      <c r="BN444" s="3307">
        <f t="shared" si="261"/>
        <v>0</v>
      </c>
      <c r="BO444" s="3307">
        <f t="shared" si="262"/>
        <v>0</v>
      </c>
      <c r="BP444" s="3307">
        <f t="shared" si="263"/>
        <v>0</v>
      </c>
      <c r="BQ444" s="3307">
        <f t="shared" si="264"/>
        <v>0</v>
      </c>
      <c r="BR444" s="3307">
        <f t="shared" si="265"/>
        <v>0</v>
      </c>
      <c r="BS444" s="3307">
        <f t="shared" si="266"/>
        <v>0</v>
      </c>
      <c r="BT444" s="3359">
        <f t="shared" si="267"/>
        <v>0</v>
      </c>
    </row>
    <row r="445" spans="1:72">
      <c r="A445" s="3304"/>
      <c r="B445" s="3305"/>
      <c r="C445" s="3305"/>
      <c r="D445" s="3306"/>
      <c r="E445" s="3307">
        <f t="shared" si="239"/>
        <v>0</v>
      </c>
      <c r="F445" s="3308"/>
      <c r="G445" s="3309">
        <f t="shared" si="240"/>
        <v>0</v>
      </c>
      <c r="H445" s="3310">
        <f t="shared" si="241"/>
        <v>0</v>
      </c>
      <c r="I445" s="3317"/>
      <c r="J445" s="3317"/>
      <c r="K445" s="3317"/>
      <c r="L445" s="3317"/>
      <c r="M445" s="3317"/>
      <c r="N445" s="3317"/>
      <c r="O445" s="3317"/>
      <c r="P445" s="3317"/>
      <c r="Q445" s="3317"/>
      <c r="R445" s="3317"/>
      <c r="S445" s="3317"/>
      <c r="T445" s="3317"/>
      <c r="U445" s="3317"/>
      <c r="V445" s="3317"/>
      <c r="W445" s="3317"/>
      <c r="X445" s="3317"/>
      <c r="Y445" s="3317"/>
      <c r="Z445" s="3317"/>
      <c r="AA445" s="3317"/>
      <c r="AB445" s="3317"/>
      <c r="AC445" s="3307">
        <f t="shared" si="242"/>
        <v>0</v>
      </c>
      <c r="AD445" s="3327"/>
      <c r="AE445" s="3327"/>
      <c r="AF445" s="3327"/>
      <c r="AG445" s="3327"/>
      <c r="AH445" s="3327"/>
      <c r="AI445" s="3327"/>
      <c r="AJ445" s="3327"/>
      <c r="AK445" s="3327"/>
      <c r="AL445" s="3327"/>
      <c r="AM445" s="3327"/>
      <c r="AN445" s="3327"/>
      <c r="AO445" s="3327"/>
      <c r="AP445" s="3327"/>
      <c r="AQ445" s="3327"/>
      <c r="AR445" s="3327"/>
      <c r="AS445" s="3327"/>
      <c r="AT445" s="3337"/>
      <c r="AU445" s="3338"/>
      <c r="AV445" s="1410">
        <f t="shared" si="243"/>
        <v>0</v>
      </c>
      <c r="AW445" s="1410">
        <f t="shared" si="244"/>
        <v>0</v>
      </c>
      <c r="AX445" s="1410">
        <f t="shared" si="245"/>
        <v>0</v>
      </c>
      <c r="AY445" s="3352">
        <f t="shared" si="246"/>
        <v>0</v>
      </c>
      <c r="AZ445" s="3307">
        <f t="shared" si="247"/>
        <v>0</v>
      </c>
      <c r="BA445" s="3307">
        <f t="shared" si="248"/>
        <v>0</v>
      </c>
      <c r="BB445" s="3307">
        <f t="shared" si="249"/>
        <v>0</v>
      </c>
      <c r="BC445" s="3307">
        <f t="shared" si="250"/>
        <v>0</v>
      </c>
      <c r="BD445" s="3307">
        <f t="shared" si="251"/>
        <v>0</v>
      </c>
      <c r="BE445" s="3307">
        <f t="shared" si="252"/>
        <v>0</v>
      </c>
      <c r="BF445" s="3307">
        <f t="shared" si="253"/>
        <v>0</v>
      </c>
      <c r="BG445" s="3307">
        <f t="shared" si="254"/>
        <v>0</v>
      </c>
      <c r="BH445" s="3307">
        <f t="shared" si="255"/>
        <v>0</v>
      </c>
      <c r="BI445" s="3307">
        <f t="shared" si="256"/>
        <v>0</v>
      </c>
      <c r="BJ445" s="3307">
        <f t="shared" si="257"/>
        <v>0</v>
      </c>
      <c r="BK445" s="3307">
        <f t="shared" si="258"/>
        <v>0</v>
      </c>
      <c r="BL445" s="3307">
        <f t="shared" si="259"/>
        <v>0</v>
      </c>
      <c r="BM445" s="3307">
        <f t="shared" si="260"/>
        <v>0</v>
      </c>
      <c r="BN445" s="3307">
        <f t="shared" si="261"/>
        <v>0</v>
      </c>
      <c r="BO445" s="3307">
        <f t="shared" si="262"/>
        <v>0</v>
      </c>
      <c r="BP445" s="3307">
        <f t="shared" si="263"/>
        <v>0</v>
      </c>
      <c r="BQ445" s="3307">
        <f t="shared" si="264"/>
        <v>0</v>
      </c>
      <c r="BR445" s="3307">
        <f t="shared" si="265"/>
        <v>0</v>
      </c>
      <c r="BS445" s="3307">
        <f t="shared" si="266"/>
        <v>0</v>
      </c>
      <c r="BT445" s="3359">
        <f t="shared" si="267"/>
        <v>0</v>
      </c>
    </row>
    <row r="446" spans="1:72">
      <c r="A446" s="3304"/>
      <c r="B446" s="3305"/>
      <c r="C446" s="3305"/>
      <c r="D446" s="3306"/>
      <c r="E446" s="3307">
        <f t="shared" si="239"/>
        <v>0</v>
      </c>
      <c r="F446" s="3308"/>
      <c r="G446" s="3309">
        <f t="shared" si="240"/>
        <v>0</v>
      </c>
      <c r="H446" s="3310">
        <f t="shared" si="241"/>
        <v>0</v>
      </c>
      <c r="I446" s="3317"/>
      <c r="J446" s="3317"/>
      <c r="K446" s="3317"/>
      <c r="L446" s="3317"/>
      <c r="M446" s="3317"/>
      <c r="N446" s="3317"/>
      <c r="O446" s="3317"/>
      <c r="P446" s="3317"/>
      <c r="Q446" s="3317"/>
      <c r="R446" s="3317"/>
      <c r="S446" s="3317"/>
      <c r="T446" s="3317"/>
      <c r="U446" s="3317"/>
      <c r="V446" s="3317"/>
      <c r="W446" s="3317"/>
      <c r="X446" s="3317"/>
      <c r="Y446" s="3317"/>
      <c r="Z446" s="3317"/>
      <c r="AA446" s="3317"/>
      <c r="AB446" s="3317"/>
      <c r="AC446" s="3307">
        <f t="shared" si="242"/>
        <v>0</v>
      </c>
      <c r="AD446" s="3327"/>
      <c r="AE446" s="3327"/>
      <c r="AF446" s="3327"/>
      <c r="AG446" s="3327"/>
      <c r="AH446" s="3327"/>
      <c r="AI446" s="3327"/>
      <c r="AJ446" s="3327"/>
      <c r="AK446" s="3327"/>
      <c r="AL446" s="3327"/>
      <c r="AM446" s="3327"/>
      <c r="AN446" s="3327"/>
      <c r="AO446" s="3327"/>
      <c r="AP446" s="3327"/>
      <c r="AQ446" s="3327"/>
      <c r="AR446" s="3327"/>
      <c r="AS446" s="3327"/>
      <c r="AT446" s="3337"/>
      <c r="AU446" s="3338"/>
      <c r="AV446" s="1410">
        <f t="shared" si="243"/>
        <v>0</v>
      </c>
      <c r="AW446" s="1410">
        <f t="shared" si="244"/>
        <v>0</v>
      </c>
      <c r="AX446" s="1410">
        <f t="shared" si="245"/>
        <v>0</v>
      </c>
      <c r="AY446" s="3352">
        <f t="shared" si="246"/>
        <v>0</v>
      </c>
      <c r="AZ446" s="3307">
        <f t="shared" si="247"/>
        <v>0</v>
      </c>
      <c r="BA446" s="3307">
        <f t="shared" si="248"/>
        <v>0</v>
      </c>
      <c r="BB446" s="3307">
        <f t="shared" si="249"/>
        <v>0</v>
      </c>
      <c r="BC446" s="3307">
        <f t="shared" si="250"/>
        <v>0</v>
      </c>
      <c r="BD446" s="3307">
        <f t="shared" si="251"/>
        <v>0</v>
      </c>
      <c r="BE446" s="3307">
        <f t="shared" si="252"/>
        <v>0</v>
      </c>
      <c r="BF446" s="3307">
        <f t="shared" si="253"/>
        <v>0</v>
      </c>
      <c r="BG446" s="3307">
        <f t="shared" si="254"/>
        <v>0</v>
      </c>
      <c r="BH446" s="3307">
        <f t="shared" si="255"/>
        <v>0</v>
      </c>
      <c r="BI446" s="3307">
        <f t="shared" si="256"/>
        <v>0</v>
      </c>
      <c r="BJ446" s="3307">
        <f t="shared" si="257"/>
        <v>0</v>
      </c>
      <c r="BK446" s="3307">
        <f t="shared" si="258"/>
        <v>0</v>
      </c>
      <c r="BL446" s="3307">
        <f t="shared" si="259"/>
        <v>0</v>
      </c>
      <c r="BM446" s="3307">
        <f t="shared" si="260"/>
        <v>0</v>
      </c>
      <c r="BN446" s="3307">
        <f t="shared" si="261"/>
        <v>0</v>
      </c>
      <c r="BO446" s="3307">
        <f t="shared" si="262"/>
        <v>0</v>
      </c>
      <c r="BP446" s="3307">
        <f t="shared" si="263"/>
        <v>0</v>
      </c>
      <c r="BQ446" s="3307">
        <f t="shared" si="264"/>
        <v>0</v>
      </c>
      <c r="BR446" s="3307">
        <f t="shared" si="265"/>
        <v>0</v>
      </c>
      <c r="BS446" s="3307">
        <f t="shared" si="266"/>
        <v>0</v>
      </c>
      <c r="BT446" s="3359">
        <f t="shared" si="267"/>
        <v>0</v>
      </c>
    </row>
    <row r="447" spans="1:72">
      <c r="A447" s="3304"/>
      <c r="B447" s="3305"/>
      <c r="C447" s="3305"/>
      <c r="D447" s="3306"/>
      <c r="E447" s="3307">
        <f t="shared" si="239"/>
        <v>0</v>
      </c>
      <c r="F447" s="3308"/>
      <c r="G447" s="3309">
        <f t="shared" si="240"/>
        <v>0</v>
      </c>
      <c r="H447" s="3310">
        <f t="shared" si="241"/>
        <v>0</v>
      </c>
      <c r="I447" s="3317"/>
      <c r="J447" s="3317"/>
      <c r="K447" s="3317"/>
      <c r="L447" s="3317"/>
      <c r="M447" s="3317"/>
      <c r="N447" s="3317"/>
      <c r="O447" s="3317"/>
      <c r="P447" s="3317"/>
      <c r="Q447" s="3317"/>
      <c r="R447" s="3317"/>
      <c r="S447" s="3317"/>
      <c r="T447" s="3317"/>
      <c r="U447" s="3317"/>
      <c r="V447" s="3317"/>
      <c r="W447" s="3317"/>
      <c r="X447" s="3317"/>
      <c r="Y447" s="3317"/>
      <c r="Z447" s="3317"/>
      <c r="AA447" s="3317"/>
      <c r="AB447" s="3317"/>
      <c r="AC447" s="3307">
        <f t="shared" si="242"/>
        <v>0</v>
      </c>
      <c r="AD447" s="3327"/>
      <c r="AE447" s="3327"/>
      <c r="AF447" s="3327"/>
      <c r="AG447" s="3327"/>
      <c r="AH447" s="3327"/>
      <c r="AI447" s="3327"/>
      <c r="AJ447" s="3327"/>
      <c r="AK447" s="3327"/>
      <c r="AL447" s="3327"/>
      <c r="AM447" s="3327"/>
      <c r="AN447" s="3327"/>
      <c r="AO447" s="3327"/>
      <c r="AP447" s="3327"/>
      <c r="AQ447" s="3327"/>
      <c r="AR447" s="3327"/>
      <c r="AS447" s="3327"/>
      <c r="AT447" s="3337"/>
      <c r="AU447" s="3338"/>
      <c r="AV447" s="1410">
        <f t="shared" si="243"/>
        <v>0</v>
      </c>
      <c r="AW447" s="1410">
        <f t="shared" si="244"/>
        <v>0</v>
      </c>
      <c r="AX447" s="1410">
        <f t="shared" si="245"/>
        <v>0</v>
      </c>
      <c r="AY447" s="3352">
        <f t="shared" si="246"/>
        <v>0</v>
      </c>
      <c r="AZ447" s="3307">
        <f t="shared" si="247"/>
        <v>0</v>
      </c>
      <c r="BA447" s="3307">
        <f t="shared" si="248"/>
        <v>0</v>
      </c>
      <c r="BB447" s="3307">
        <f t="shared" si="249"/>
        <v>0</v>
      </c>
      <c r="BC447" s="3307">
        <f t="shared" si="250"/>
        <v>0</v>
      </c>
      <c r="BD447" s="3307">
        <f t="shared" si="251"/>
        <v>0</v>
      </c>
      <c r="BE447" s="3307">
        <f t="shared" si="252"/>
        <v>0</v>
      </c>
      <c r="BF447" s="3307">
        <f t="shared" si="253"/>
        <v>0</v>
      </c>
      <c r="BG447" s="3307">
        <f t="shared" si="254"/>
        <v>0</v>
      </c>
      <c r="BH447" s="3307">
        <f t="shared" si="255"/>
        <v>0</v>
      </c>
      <c r="BI447" s="3307">
        <f t="shared" si="256"/>
        <v>0</v>
      </c>
      <c r="BJ447" s="3307">
        <f t="shared" si="257"/>
        <v>0</v>
      </c>
      <c r="BK447" s="3307">
        <f t="shared" si="258"/>
        <v>0</v>
      </c>
      <c r="BL447" s="3307">
        <f t="shared" si="259"/>
        <v>0</v>
      </c>
      <c r="BM447" s="3307">
        <f t="shared" si="260"/>
        <v>0</v>
      </c>
      <c r="BN447" s="3307">
        <f t="shared" si="261"/>
        <v>0</v>
      </c>
      <c r="BO447" s="3307">
        <f t="shared" si="262"/>
        <v>0</v>
      </c>
      <c r="BP447" s="3307">
        <f t="shared" si="263"/>
        <v>0</v>
      </c>
      <c r="BQ447" s="3307">
        <f t="shared" si="264"/>
        <v>0</v>
      </c>
      <c r="BR447" s="3307">
        <f t="shared" si="265"/>
        <v>0</v>
      </c>
      <c r="BS447" s="3307">
        <f t="shared" si="266"/>
        <v>0</v>
      </c>
      <c r="BT447" s="3359">
        <f t="shared" si="267"/>
        <v>0</v>
      </c>
    </row>
    <row r="448" spans="1:72">
      <c r="A448" s="3304"/>
      <c r="B448" s="3305"/>
      <c r="C448" s="3305"/>
      <c r="D448" s="3306"/>
      <c r="E448" s="3307">
        <f t="shared" si="239"/>
        <v>0</v>
      </c>
      <c r="F448" s="3308"/>
      <c r="G448" s="3309">
        <f t="shared" si="240"/>
        <v>0</v>
      </c>
      <c r="H448" s="3310">
        <f t="shared" si="241"/>
        <v>0</v>
      </c>
      <c r="I448" s="3317"/>
      <c r="J448" s="3317"/>
      <c r="K448" s="3317"/>
      <c r="L448" s="3317"/>
      <c r="M448" s="3317"/>
      <c r="N448" s="3317"/>
      <c r="O448" s="3317"/>
      <c r="P448" s="3317"/>
      <c r="Q448" s="3317"/>
      <c r="R448" s="3317"/>
      <c r="S448" s="3317"/>
      <c r="T448" s="3317"/>
      <c r="U448" s="3317"/>
      <c r="V448" s="3317"/>
      <c r="W448" s="3317"/>
      <c r="X448" s="3317"/>
      <c r="Y448" s="3317"/>
      <c r="Z448" s="3317"/>
      <c r="AA448" s="3317"/>
      <c r="AB448" s="3317"/>
      <c r="AC448" s="3307">
        <f t="shared" si="242"/>
        <v>0</v>
      </c>
      <c r="AD448" s="3327"/>
      <c r="AE448" s="3327"/>
      <c r="AF448" s="3327"/>
      <c r="AG448" s="3327"/>
      <c r="AH448" s="3327"/>
      <c r="AI448" s="3327"/>
      <c r="AJ448" s="3327"/>
      <c r="AK448" s="3327"/>
      <c r="AL448" s="3327"/>
      <c r="AM448" s="3327"/>
      <c r="AN448" s="3327"/>
      <c r="AO448" s="3327"/>
      <c r="AP448" s="3327"/>
      <c r="AQ448" s="3327"/>
      <c r="AR448" s="3327"/>
      <c r="AS448" s="3327"/>
      <c r="AT448" s="3337"/>
      <c r="AU448" s="3338"/>
      <c r="AV448" s="1410">
        <f t="shared" si="243"/>
        <v>0</v>
      </c>
      <c r="AW448" s="1410">
        <f t="shared" si="244"/>
        <v>0</v>
      </c>
      <c r="AX448" s="1410">
        <f t="shared" si="245"/>
        <v>0</v>
      </c>
      <c r="AY448" s="3352">
        <f t="shared" si="246"/>
        <v>0</v>
      </c>
      <c r="AZ448" s="3307">
        <f t="shared" si="247"/>
        <v>0</v>
      </c>
      <c r="BA448" s="3307">
        <f t="shared" si="248"/>
        <v>0</v>
      </c>
      <c r="BB448" s="3307">
        <f t="shared" si="249"/>
        <v>0</v>
      </c>
      <c r="BC448" s="3307">
        <f t="shared" si="250"/>
        <v>0</v>
      </c>
      <c r="BD448" s="3307">
        <f t="shared" si="251"/>
        <v>0</v>
      </c>
      <c r="BE448" s="3307">
        <f t="shared" si="252"/>
        <v>0</v>
      </c>
      <c r="BF448" s="3307">
        <f t="shared" si="253"/>
        <v>0</v>
      </c>
      <c r="BG448" s="3307">
        <f t="shared" si="254"/>
        <v>0</v>
      </c>
      <c r="BH448" s="3307">
        <f t="shared" si="255"/>
        <v>0</v>
      </c>
      <c r="BI448" s="3307">
        <f t="shared" si="256"/>
        <v>0</v>
      </c>
      <c r="BJ448" s="3307">
        <f t="shared" si="257"/>
        <v>0</v>
      </c>
      <c r="BK448" s="3307">
        <f t="shared" si="258"/>
        <v>0</v>
      </c>
      <c r="BL448" s="3307">
        <f t="shared" si="259"/>
        <v>0</v>
      </c>
      <c r="BM448" s="3307">
        <f t="shared" si="260"/>
        <v>0</v>
      </c>
      <c r="BN448" s="3307">
        <f t="shared" si="261"/>
        <v>0</v>
      </c>
      <c r="BO448" s="3307">
        <f t="shared" si="262"/>
        <v>0</v>
      </c>
      <c r="BP448" s="3307">
        <f t="shared" si="263"/>
        <v>0</v>
      </c>
      <c r="BQ448" s="3307">
        <f t="shared" si="264"/>
        <v>0</v>
      </c>
      <c r="BR448" s="3307">
        <f t="shared" si="265"/>
        <v>0</v>
      </c>
      <c r="BS448" s="3307">
        <f t="shared" si="266"/>
        <v>0</v>
      </c>
      <c r="BT448" s="3359">
        <f t="shared" si="267"/>
        <v>0</v>
      </c>
    </row>
    <row r="449" spans="1:72">
      <c r="A449" s="3304"/>
      <c r="B449" s="3305"/>
      <c r="C449" s="3305"/>
      <c r="D449" s="3306"/>
      <c r="E449" s="3307">
        <f t="shared" si="239"/>
        <v>0</v>
      </c>
      <c r="F449" s="3308"/>
      <c r="G449" s="3309">
        <f t="shared" si="240"/>
        <v>0</v>
      </c>
      <c r="H449" s="3310">
        <f t="shared" si="241"/>
        <v>0</v>
      </c>
      <c r="I449" s="3317"/>
      <c r="J449" s="3317"/>
      <c r="K449" s="3317"/>
      <c r="L449" s="3317"/>
      <c r="M449" s="3317"/>
      <c r="N449" s="3317"/>
      <c r="O449" s="3317"/>
      <c r="P449" s="3317"/>
      <c r="Q449" s="3317"/>
      <c r="R449" s="3317"/>
      <c r="S449" s="3317"/>
      <c r="T449" s="3317"/>
      <c r="U449" s="3317"/>
      <c r="V449" s="3317"/>
      <c r="W449" s="3317"/>
      <c r="X449" s="3317"/>
      <c r="Y449" s="3317"/>
      <c r="Z449" s="3317"/>
      <c r="AA449" s="3317"/>
      <c r="AB449" s="3317"/>
      <c r="AC449" s="3307">
        <f t="shared" si="242"/>
        <v>0</v>
      </c>
      <c r="AD449" s="3327"/>
      <c r="AE449" s="3327"/>
      <c r="AF449" s="3327"/>
      <c r="AG449" s="3327"/>
      <c r="AH449" s="3327"/>
      <c r="AI449" s="3327"/>
      <c r="AJ449" s="3327"/>
      <c r="AK449" s="3327"/>
      <c r="AL449" s="3327"/>
      <c r="AM449" s="3327"/>
      <c r="AN449" s="3327"/>
      <c r="AO449" s="3327"/>
      <c r="AP449" s="3327"/>
      <c r="AQ449" s="3327"/>
      <c r="AR449" s="3327"/>
      <c r="AS449" s="3327"/>
      <c r="AT449" s="3337"/>
      <c r="AU449" s="3338"/>
      <c r="AV449" s="1410">
        <f t="shared" si="243"/>
        <v>0</v>
      </c>
      <c r="AW449" s="1410">
        <f t="shared" si="244"/>
        <v>0</v>
      </c>
      <c r="AX449" s="1410">
        <f t="shared" si="245"/>
        <v>0</v>
      </c>
      <c r="AY449" s="3352">
        <f t="shared" si="246"/>
        <v>0</v>
      </c>
      <c r="AZ449" s="3307">
        <f t="shared" si="247"/>
        <v>0</v>
      </c>
      <c r="BA449" s="3307">
        <f t="shared" si="248"/>
        <v>0</v>
      </c>
      <c r="BB449" s="3307">
        <f t="shared" si="249"/>
        <v>0</v>
      </c>
      <c r="BC449" s="3307">
        <f t="shared" si="250"/>
        <v>0</v>
      </c>
      <c r="BD449" s="3307">
        <f t="shared" si="251"/>
        <v>0</v>
      </c>
      <c r="BE449" s="3307">
        <f t="shared" si="252"/>
        <v>0</v>
      </c>
      <c r="BF449" s="3307">
        <f t="shared" si="253"/>
        <v>0</v>
      </c>
      <c r="BG449" s="3307">
        <f t="shared" si="254"/>
        <v>0</v>
      </c>
      <c r="BH449" s="3307">
        <f t="shared" si="255"/>
        <v>0</v>
      </c>
      <c r="BI449" s="3307">
        <f t="shared" si="256"/>
        <v>0</v>
      </c>
      <c r="BJ449" s="3307">
        <f t="shared" si="257"/>
        <v>0</v>
      </c>
      <c r="BK449" s="3307">
        <f t="shared" si="258"/>
        <v>0</v>
      </c>
      <c r="BL449" s="3307">
        <f t="shared" si="259"/>
        <v>0</v>
      </c>
      <c r="BM449" s="3307">
        <f t="shared" si="260"/>
        <v>0</v>
      </c>
      <c r="BN449" s="3307">
        <f t="shared" si="261"/>
        <v>0</v>
      </c>
      <c r="BO449" s="3307">
        <f t="shared" si="262"/>
        <v>0</v>
      </c>
      <c r="BP449" s="3307">
        <f t="shared" si="263"/>
        <v>0</v>
      </c>
      <c r="BQ449" s="3307">
        <f t="shared" si="264"/>
        <v>0</v>
      </c>
      <c r="BR449" s="3307">
        <f t="shared" si="265"/>
        <v>0</v>
      </c>
      <c r="BS449" s="3307">
        <f t="shared" si="266"/>
        <v>0</v>
      </c>
      <c r="BT449" s="3359">
        <f t="shared" si="267"/>
        <v>0</v>
      </c>
    </row>
    <row r="450" spans="1:72">
      <c r="A450" s="3304"/>
      <c r="B450" s="3305"/>
      <c r="C450" s="3305"/>
      <c r="D450" s="3306"/>
      <c r="E450" s="3307">
        <f t="shared" si="239"/>
        <v>0</v>
      </c>
      <c r="F450" s="3308"/>
      <c r="G450" s="3309">
        <f t="shared" si="240"/>
        <v>0</v>
      </c>
      <c r="H450" s="3310">
        <f t="shared" si="241"/>
        <v>0</v>
      </c>
      <c r="I450" s="3317"/>
      <c r="J450" s="3317"/>
      <c r="K450" s="3317"/>
      <c r="L450" s="3317"/>
      <c r="M450" s="3317"/>
      <c r="N450" s="3317"/>
      <c r="O450" s="3317"/>
      <c r="P450" s="3317"/>
      <c r="Q450" s="3317"/>
      <c r="R450" s="3317"/>
      <c r="S450" s="3317"/>
      <c r="T450" s="3317"/>
      <c r="U450" s="3317"/>
      <c r="V450" s="3317"/>
      <c r="W450" s="3317"/>
      <c r="X450" s="3317"/>
      <c r="Y450" s="3317"/>
      <c r="Z450" s="3317"/>
      <c r="AA450" s="3317"/>
      <c r="AB450" s="3317"/>
      <c r="AC450" s="3307">
        <f t="shared" si="242"/>
        <v>0</v>
      </c>
      <c r="AD450" s="3327"/>
      <c r="AE450" s="3327"/>
      <c r="AF450" s="3327"/>
      <c r="AG450" s="3327"/>
      <c r="AH450" s="3327"/>
      <c r="AI450" s="3327"/>
      <c r="AJ450" s="3327"/>
      <c r="AK450" s="3327"/>
      <c r="AL450" s="3327"/>
      <c r="AM450" s="3327"/>
      <c r="AN450" s="3327"/>
      <c r="AO450" s="3327"/>
      <c r="AP450" s="3327"/>
      <c r="AQ450" s="3327"/>
      <c r="AR450" s="3327"/>
      <c r="AS450" s="3327"/>
      <c r="AT450" s="3337"/>
      <c r="AU450" s="3338"/>
      <c r="AV450" s="1410">
        <f t="shared" si="243"/>
        <v>0</v>
      </c>
      <c r="AW450" s="1410">
        <f t="shared" si="244"/>
        <v>0</v>
      </c>
      <c r="AX450" s="1410">
        <f t="shared" si="245"/>
        <v>0</v>
      </c>
      <c r="AY450" s="3352">
        <f t="shared" si="246"/>
        <v>0</v>
      </c>
      <c r="AZ450" s="3307">
        <f t="shared" si="247"/>
        <v>0</v>
      </c>
      <c r="BA450" s="3307">
        <f t="shared" si="248"/>
        <v>0</v>
      </c>
      <c r="BB450" s="3307">
        <f t="shared" si="249"/>
        <v>0</v>
      </c>
      <c r="BC450" s="3307">
        <f t="shared" si="250"/>
        <v>0</v>
      </c>
      <c r="BD450" s="3307">
        <f t="shared" si="251"/>
        <v>0</v>
      </c>
      <c r="BE450" s="3307">
        <f t="shared" si="252"/>
        <v>0</v>
      </c>
      <c r="BF450" s="3307">
        <f t="shared" si="253"/>
        <v>0</v>
      </c>
      <c r="BG450" s="3307">
        <f t="shared" si="254"/>
        <v>0</v>
      </c>
      <c r="BH450" s="3307">
        <f t="shared" si="255"/>
        <v>0</v>
      </c>
      <c r="BI450" s="3307">
        <f t="shared" si="256"/>
        <v>0</v>
      </c>
      <c r="BJ450" s="3307">
        <f t="shared" si="257"/>
        <v>0</v>
      </c>
      <c r="BK450" s="3307">
        <f t="shared" si="258"/>
        <v>0</v>
      </c>
      <c r="BL450" s="3307">
        <f t="shared" si="259"/>
        <v>0</v>
      </c>
      <c r="BM450" s="3307">
        <f t="shared" si="260"/>
        <v>0</v>
      </c>
      <c r="BN450" s="3307">
        <f t="shared" si="261"/>
        <v>0</v>
      </c>
      <c r="BO450" s="3307">
        <f t="shared" si="262"/>
        <v>0</v>
      </c>
      <c r="BP450" s="3307">
        <f t="shared" si="263"/>
        <v>0</v>
      </c>
      <c r="BQ450" s="3307">
        <f t="shared" si="264"/>
        <v>0</v>
      </c>
      <c r="BR450" s="3307">
        <f t="shared" si="265"/>
        <v>0</v>
      </c>
      <c r="BS450" s="3307">
        <f t="shared" si="266"/>
        <v>0</v>
      </c>
      <c r="BT450" s="3359">
        <f t="shared" si="267"/>
        <v>0</v>
      </c>
    </row>
    <row r="451" spans="1:72">
      <c r="A451" s="3304"/>
      <c r="B451" s="3305"/>
      <c r="C451" s="3305"/>
      <c r="D451" s="3306"/>
      <c r="E451" s="3307">
        <f t="shared" si="239"/>
        <v>0</v>
      </c>
      <c r="F451" s="3308"/>
      <c r="G451" s="3309">
        <f t="shared" si="240"/>
        <v>0</v>
      </c>
      <c r="H451" s="3310">
        <f t="shared" si="241"/>
        <v>0</v>
      </c>
      <c r="I451" s="3317"/>
      <c r="J451" s="3317"/>
      <c r="K451" s="3317"/>
      <c r="L451" s="3317"/>
      <c r="M451" s="3317"/>
      <c r="N451" s="3317"/>
      <c r="O451" s="3317"/>
      <c r="P451" s="3317"/>
      <c r="Q451" s="3317"/>
      <c r="R451" s="3317"/>
      <c r="S451" s="3317"/>
      <c r="T451" s="3317"/>
      <c r="U451" s="3317"/>
      <c r="V451" s="3317"/>
      <c r="W451" s="3317"/>
      <c r="X451" s="3317"/>
      <c r="Y451" s="3317"/>
      <c r="Z451" s="3317"/>
      <c r="AA451" s="3317"/>
      <c r="AB451" s="3317"/>
      <c r="AC451" s="3307">
        <f t="shared" si="242"/>
        <v>0</v>
      </c>
      <c r="AD451" s="3327"/>
      <c r="AE451" s="3327"/>
      <c r="AF451" s="3327"/>
      <c r="AG451" s="3327"/>
      <c r="AH451" s="3327"/>
      <c r="AI451" s="3327"/>
      <c r="AJ451" s="3327"/>
      <c r="AK451" s="3327"/>
      <c r="AL451" s="3327"/>
      <c r="AM451" s="3327"/>
      <c r="AN451" s="3327"/>
      <c r="AO451" s="3327"/>
      <c r="AP451" s="3327"/>
      <c r="AQ451" s="3327"/>
      <c r="AR451" s="3327"/>
      <c r="AS451" s="3327"/>
      <c r="AT451" s="3337"/>
      <c r="AU451" s="3338"/>
      <c r="AV451" s="1410">
        <f t="shared" si="243"/>
        <v>0</v>
      </c>
      <c r="AW451" s="1410">
        <f t="shared" si="244"/>
        <v>0</v>
      </c>
      <c r="AX451" s="1410">
        <f t="shared" si="245"/>
        <v>0</v>
      </c>
      <c r="AY451" s="3352">
        <f t="shared" si="246"/>
        <v>0</v>
      </c>
      <c r="AZ451" s="3307">
        <f t="shared" si="247"/>
        <v>0</v>
      </c>
      <c r="BA451" s="3307">
        <f t="shared" si="248"/>
        <v>0</v>
      </c>
      <c r="BB451" s="3307">
        <f t="shared" si="249"/>
        <v>0</v>
      </c>
      <c r="BC451" s="3307">
        <f t="shared" si="250"/>
        <v>0</v>
      </c>
      <c r="BD451" s="3307">
        <f t="shared" si="251"/>
        <v>0</v>
      </c>
      <c r="BE451" s="3307">
        <f t="shared" si="252"/>
        <v>0</v>
      </c>
      <c r="BF451" s="3307">
        <f t="shared" si="253"/>
        <v>0</v>
      </c>
      <c r="BG451" s="3307">
        <f t="shared" si="254"/>
        <v>0</v>
      </c>
      <c r="BH451" s="3307">
        <f t="shared" si="255"/>
        <v>0</v>
      </c>
      <c r="BI451" s="3307">
        <f t="shared" si="256"/>
        <v>0</v>
      </c>
      <c r="BJ451" s="3307">
        <f t="shared" si="257"/>
        <v>0</v>
      </c>
      <c r="BK451" s="3307">
        <f t="shared" si="258"/>
        <v>0</v>
      </c>
      <c r="BL451" s="3307">
        <f t="shared" si="259"/>
        <v>0</v>
      </c>
      <c r="BM451" s="3307">
        <f t="shared" si="260"/>
        <v>0</v>
      </c>
      <c r="BN451" s="3307">
        <f t="shared" si="261"/>
        <v>0</v>
      </c>
      <c r="BO451" s="3307">
        <f t="shared" si="262"/>
        <v>0</v>
      </c>
      <c r="BP451" s="3307">
        <f t="shared" si="263"/>
        <v>0</v>
      </c>
      <c r="BQ451" s="3307">
        <f t="shared" si="264"/>
        <v>0</v>
      </c>
      <c r="BR451" s="3307">
        <f t="shared" si="265"/>
        <v>0</v>
      </c>
      <c r="BS451" s="3307">
        <f t="shared" si="266"/>
        <v>0</v>
      </c>
      <c r="BT451" s="3359">
        <f t="shared" si="267"/>
        <v>0</v>
      </c>
    </row>
    <row r="452" spans="1:72">
      <c r="A452" s="3304"/>
      <c r="B452" s="3305"/>
      <c r="C452" s="3305"/>
      <c r="D452" s="3306"/>
      <c r="E452" s="3307">
        <f t="shared" si="239"/>
        <v>0</v>
      </c>
      <c r="F452" s="3308"/>
      <c r="G452" s="3309">
        <f t="shared" si="240"/>
        <v>0</v>
      </c>
      <c r="H452" s="3310">
        <f t="shared" si="241"/>
        <v>0</v>
      </c>
      <c r="I452" s="3317"/>
      <c r="J452" s="3317"/>
      <c r="K452" s="3317"/>
      <c r="L452" s="3317"/>
      <c r="M452" s="3317"/>
      <c r="N452" s="3317"/>
      <c r="O452" s="3317"/>
      <c r="P452" s="3317"/>
      <c r="Q452" s="3317"/>
      <c r="R452" s="3317"/>
      <c r="S452" s="3317"/>
      <c r="T452" s="3317"/>
      <c r="U452" s="3317"/>
      <c r="V452" s="3317"/>
      <c r="W452" s="3317"/>
      <c r="X452" s="3317"/>
      <c r="Y452" s="3317"/>
      <c r="Z452" s="3317"/>
      <c r="AA452" s="3317"/>
      <c r="AB452" s="3317"/>
      <c r="AC452" s="3307">
        <f t="shared" si="242"/>
        <v>0</v>
      </c>
      <c r="AD452" s="3327"/>
      <c r="AE452" s="3327"/>
      <c r="AF452" s="3327"/>
      <c r="AG452" s="3327"/>
      <c r="AH452" s="3327"/>
      <c r="AI452" s="3327"/>
      <c r="AJ452" s="3327"/>
      <c r="AK452" s="3327"/>
      <c r="AL452" s="3327"/>
      <c r="AM452" s="3327"/>
      <c r="AN452" s="3327"/>
      <c r="AO452" s="3327"/>
      <c r="AP452" s="3327"/>
      <c r="AQ452" s="3327"/>
      <c r="AR452" s="3327"/>
      <c r="AS452" s="3327"/>
      <c r="AT452" s="3337"/>
      <c r="AU452" s="3338"/>
      <c r="AV452" s="1410">
        <f t="shared" si="243"/>
        <v>0</v>
      </c>
      <c r="AW452" s="1410">
        <f t="shared" si="244"/>
        <v>0</v>
      </c>
      <c r="AX452" s="1410">
        <f t="shared" si="245"/>
        <v>0</v>
      </c>
      <c r="AY452" s="3352">
        <f t="shared" si="246"/>
        <v>0</v>
      </c>
      <c r="AZ452" s="3307">
        <f t="shared" si="247"/>
        <v>0</v>
      </c>
      <c r="BA452" s="3307">
        <f t="shared" si="248"/>
        <v>0</v>
      </c>
      <c r="BB452" s="3307">
        <f t="shared" si="249"/>
        <v>0</v>
      </c>
      <c r="BC452" s="3307">
        <f t="shared" si="250"/>
        <v>0</v>
      </c>
      <c r="BD452" s="3307">
        <f t="shared" si="251"/>
        <v>0</v>
      </c>
      <c r="BE452" s="3307">
        <f t="shared" si="252"/>
        <v>0</v>
      </c>
      <c r="BF452" s="3307">
        <f t="shared" si="253"/>
        <v>0</v>
      </c>
      <c r="BG452" s="3307">
        <f t="shared" si="254"/>
        <v>0</v>
      </c>
      <c r="BH452" s="3307">
        <f t="shared" si="255"/>
        <v>0</v>
      </c>
      <c r="BI452" s="3307">
        <f t="shared" si="256"/>
        <v>0</v>
      </c>
      <c r="BJ452" s="3307">
        <f t="shared" si="257"/>
        <v>0</v>
      </c>
      <c r="BK452" s="3307">
        <f t="shared" si="258"/>
        <v>0</v>
      </c>
      <c r="BL452" s="3307">
        <f t="shared" si="259"/>
        <v>0</v>
      </c>
      <c r="BM452" s="3307">
        <f t="shared" si="260"/>
        <v>0</v>
      </c>
      <c r="BN452" s="3307">
        <f t="shared" si="261"/>
        <v>0</v>
      </c>
      <c r="BO452" s="3307">
        <f t="shared" si="262"/>
        <v>0</v>
      </c>
      <c r="BP452" s="3307">
        <f t="shared" si="263"/>
        <v>0</v>
      </c>
      <c r="BQ452" s="3307">
        <f t="shared" si="264"/>
        <v>0</v>
      </c>
      <c r="BR452" s="3307">
        <f t="shared" si="265"/>
        <v>0</v>
      </c>
      <c r="BS452" s="3307">
        <f t="shared" si="266"/>
        <v>0</v>
      </c>
      <c r="BT452" s="3359">
        <f t="shared" si="267"/>
        <v>0</v>
      </c>
    </row>
    <row r="453" spans="1:72">
      <c r="A453" s="3304"/>
      <c r="B453" s="3305"/>
      <c r="C453" s="3305"/>
      <c r="D453" s="3306"/>
      <c r="E453" s="3307">
        <f t="shared" si="239"/>
        <v>0</v>
      </c>
      <c r="F453" s="3308"/>
      <c r="G453" s="3309">
        <f t="shared" si="240"/>
        <v>0</v>
      </c>
      <c r="H453" s="3310">
        <f t="shared" si="241"/>
        <v>0</v>
      </c>
      <c r="I453" s="3317"/>
      <c r="J453" s="3317"/>
      <c r="K453" s="3317"/>
      <c r="L453" s="3317"/>
      <c r="M453" s="3317"/>
      <c r="N453" s="3317"/>
      <c r="O453" s="3317"/>
      <c r="P453" s="3317"/>
      <c r="Q453" s="3317"/>
      <c r="R453" s="3317"/>
      <c r="S453" s="3317"/>
      <c r="T453" s="3317"/>
      <c r="U453" s="3317"/>
      <c r="V453" s="3317"/>
      <c r="W453" s="3317"/>
      <c r="X453" s="3317"/>
      <c r="Y453" s="3317"/>
      <c r="Z453" s="3317"/>
      <c r="AA453" s="3317"/>
      <c r="AB453" s="3317"/>
      <c r="AC453" s="3307">
        <f t="shared" si="242"/>
        <v>0</v>
      </c>
      <c r="AD453" s="3327"/>
      <c r="AE453" s="3327"/>
      <c r="AF453" s="3327"/>
      <c r="AG453" s="3327"/>
      <c r="AH453" s="3327"/>
      <c r="AI453" s="3327"/>
      <c r="AJ453" s="3327"/>
      <c r="AK453" s="3327"/>
      <c r="AL453" s="3327"/>
      <c r="AM453" s="3327"/>
      <c r="AN453" s="3327"/>
      <c r="AO453" s="3327"/>
      <c r="AP453" s="3327"/>
      <c r="AQ453" s="3327"/>
      <c r="AR453" s="3327"/>
      <c r="AS453" s="3327"/>
      <c r="AT453" s="3337"/>
      <c r="AU453" s="3338"/>
      <c r="AV453" s="1410">
        <f t="shared" si="243"/>
        <v>0</v>
      </c>
      <c r="AW453" s="1410">
        <f t="shared" si="244"/>
        <v>0</v>
      </c>
      <c r="AX453" s="1410">
        <f t="shared" si="245"/>
        <v>0</v>
      </c>
      <c r="AY453" s="3352">
        <f t="shared" si="246"/>
        <v>0</v>
      </c>
      <c r="AZ453" s="3307">
        <f t="shared" si="247"/>
        <v>0</v>
      </c>
      <c r="BA453" s="3307">
        <f t="shared" si="248"/>
        <v>0</v>
      </c>
      <c r="BB453" s="3307">
        <f t="shared" si="249"/>
        <v>0</v>
      </c>
      <c r="BC453" s="3307">
        <f t="shared" si="250"/>
        <v>0</v>
      </c>
      <c r="BD453" s="3307">
        <f t="shared" si="251"/>
        <v>0</v>
      </c>
      <c r="BE453" s="3307">
        <f t="shared" si="252"/>
        <v>0</v>
      </c>
      <c r="BF453" s="3307">
        <f t="shared" si="253"/>
        <v>0</v>
      </c>
      <c r="BG453" s="3307">
        <f t="shared" si="254"/>
        <v>0</v>
      </c>
      <c r="BH453" s="3307">
        <f t="shared" si="255"/>
        <v>0</v>
      </c>
      <c r="BI453" s="3307">
        <f t="shared" si="256"/>
        <v>0</v>
      </c>
      <c r="BJ453" s="3307">
        <f t="shared" si="257"/>
        <v>0</v>
      </c>
      <c r="BK453" s="3307">
        <f t="shared" si="258"/>
        <v>0</v>
      </c>
      <c r="BL453" s="3307">
        <f t="shared" si="259"/>
        <v>0</v>
      </c>
      <c r="BM453" s="3307">
        <f t="shared" si="260"/>
        <v>0</v>
      </c>
      <c r="BN453" s="3307">
        <f t="shared" si="261"/>
        <v>0</v>
      </c>
      <c r="BO453" s="3307">
        <f t="shared" si="262"/>
        <v>0</v>
      </c>
      <c r="BP453" s="3307">
        <f t="shared" si="263"/>
        <v>0</v>
      </c>
      <c r="BQ453" s="3307">
        <f t="shared" si="264"/>
        <v>0</v>
      </c>
      <c r="BR453" s="3307">
        <f t="shared" si="265"/>
        <v>0</v>
      </c>
      <c r="BS453" s="3307">
        <f t="shared" si="266"/>
        <v>0</v>
      </c>
      <c r="BT453" s="3359">
        <f t="shared" si="267"/>
        <v>0</v>
      </c>
    </row>
    <row r="454" spans="1:72">
      <c r="A454" s="3304"/>
      <c r="B454" s="3305"/>
      <c r="C454" s="3305"/>
      <c r="D454" s="3306"/>
      <c r="E454" s="3307">
        <f t="shared" si="239"/>
        <v>0</v>
      </c>
      <c r="F454" s="3308"/>
      <c r="G454" s="3309">
        <f t="shared" si="240"/>
        <v>0</v>
      </c>
      <c r="H454" s="3310">
        <f t="shared" si="241"/>
        <v>0</v>
      </c>
      <c r="I454" s="3317"/>
      <c r="J454" s="3317"/>
      <c r="K454" s="3317"/>
      <c r="L454" s="3317"/>
      <c r="M454" s="3317"/>
      <c r="N454" s="3317"/>
      <c r="O454" s="3317"/>
      <c r="P454" s="3317"/>
      <c r="Q454" s="3317"/>
      <c r="R454" s="3317"/>
      <c r="S454" s="3317"/>
      <c r="T454" s="3317"/>
      <c r="U454" s="3317"/>
      <c r="V454" s="3317"/>
      <c r="W454" s="3317"/>
      <c r="X454" s="3317"/>
      <c r="Y454" s="3317"/>
      <c r="Z454" s="3317"/>
      <c r="AA454" s="3317"/>
      <c r="AB454" s="3317"/>
      <c r="AC454" s="3307">
        <f t="shared" si="242"/>
        <v>0</v>
      </c>
      <c r="AD454" s="3327"/>
      <c r="AE454" s="3327"/>
      <c r="AF454" s="3327"/>
      <c r="AG454" s="3327"/>
      <c r="AH454" s="3327"/>
      <c r="AI454" s="3327"/>
      <c r="AJ454" s="3327"/>
      <c r="AK454" s="3327"/>
      <c r="AL454" s="3327"/>
      <c r="AM454" s="3327"/>
      <c r="AN454" s="3327"/>
      <c r="AO454" s="3327"/>
      <c r="AP454" s="3327"/>
      <c r="AQ454" s="3327"/>
      <c r="AR454" s="3327"/>
      <c r="AS454" s="3327"/>
      <c r="AT454" s="3337"/>
      <c r="AU454" s="3338"/>
      <c r="AV454" s="1410">
        <f t="shared" si="243"/>
        <v>0</v>
      </c>
      <c r="AW454" s="1410">
        <f t="shared" si="244"/>
        <v>0</v>
      </c>
      <c r="AX454" s="1410">
        <f t="shared" si="245"/>
        <v>0</v>
      </c>
      <c r="AY454" s="3352">
        <f t="shared" si="246"/>
        <v>0</v>
      </c>
      <c r="AZ454" s="3307">
        <f t="shared" si="247"/>
        <v>0</v>
      </c>
      <c r="BA454" s="3307">
        <f t="shared" si="248"/>
        <v>0</v>
      </c>
      <c r="BB454" s="3307">
        <f t="shared" si="249"/>
        <v>0</v>
      </c>
      <c r="BC454" s="3307">
        <f t="shared" si="250"/>
        <v>0</v>
      </c>
      <c r="BD454" s="3307">
        <f t="shared" si="251"/>
        <v>0</v>
      </c>
      <c r="BE454" s="3307">
        <f t="shared" si="252"/>
        <v>0</v>
      </c>
      <c r="BF454" s="3307">
        <f t="shared" si="253"/>
        <v>0</v>
      </c>
      <c r="BG454" s="3307">
        <f t="shared" si="254"/>
        <v>0</v>
      </c>
      <c r="BH454" s="3307">
        <f t="shared" si="255"/>
        <v>0</v>
      </c>
      <c r="BI454" s="3307">
        <f t="shared" si="256"/>
        <v>0</v>
      </c>
      <c r="BJ454" s="3307">
        <f t="shared" si="257"/>
        <v>0</v>
      </c>
      <c r="BK454" s="3307">
        <f t="shared" si="258"/>
        <v>0</v>
      </c>
      <c r="BL454" s="3307">
        <f t="shared" si="259"/>
        <v>0</v>
      </c>
      <c r="BM454" s="3307">
        <f t="shared" si="260"/>
        <v>0</v>
      </c>
      <c r="BN454" s="3307">
        <f t="shared" si="261"/>
        <v>0</v>
      </c>
      <c r="BO454" s="3307">
        <f t="shared" si="262"/>
        <v>0</v>
      </c>
      <c r="BP454" s="3307">
        <f t="shared" si="263"/>
        <v>0</v>
      </c>
      <c r="BQ454" s="3307">
        <f t="shared" si="264"/>
        <v>0</v>
      </c>
      <c r="BR454" s="3307">
        <f t="shared" si="265"/>
        <v>0</v>
      </c>
      <c r="BS454" s="3307">
        <f t="shared" si="266"/>
        <v>0</v>
      </c>
      <c r="BT454" s="3359">
        <f t="shared" si="267"/>
        <v>0</v>
      </c>
    </row>
    <row r="455" spans="1:72">
      <c r="A455" s="3304"/>
      <c r="B455" s="3305"/>
      <c r="C455" s="3305"/>
      <c r="D455" s="3306"/>
      <c r="E455" s="3307">
        <f t="shared" si="239"/>
        <v>0</v>
      </c>
      <c r="F455" s="3308"/>
      <c r="G455" s="3309">
        <f t="shared" si="240"/>
        <v>0</v>
      </c>
      <c r="H455" s="3310">
        <f t="shared" si="241"/>
        <v>0</v>
      </c>
      <c r="I455" s="3317"/>
      <c r="J455" s="3317"/>
      <c r="K455" s="3317"/>
      <c r="L455" s="3317"/>
      <c r="M455" s="3317"/>
      <c r="N455" s="3317"/>
      <c r="O455" s="3317"/>
      <c r="P455" s="3317"/>
      <c r="Q455" s="3317"/>
      <c r="R455" s="3317"/>
      <c r="S455" s="3317"/>
      <c r="T455" s="3317"/>
      <c r="U455" s="3317"/>
      <c r="V455" s="3317"/>
      <c r="W455" s="3317"/>
      <c r="X455" s="3317"/>
      <c r="Y455" s="3317"/>
      <c r="Z455" s="3317"/>
      <c r="AA455" s="3317"/>
      <c r="AB455" s="3317"/>
      <c r="AC455" s="3307">
        <f t="shared" si="242"/>
        <v>0</v>
      </c>
      <c r="AD455" s="3327"/>
      <c r="AE455" s="3327"/>
      <c r="AF455" s="3327"/>
      <c r="AG455" s="3327"/>
      <c r="AH455" s="3327"/>
      <c r="AI455" s="3327"/>
      <c r="AJ455" s="3327"/>
      <c r="AK455" s="3327"/>
      <c r="AL455" s="3327"/>
      <c r="AM455" s="3327"/>
      <c r="AN455" s="3327"/>
      <c r="AO455" s="3327"/>
      <c r="AP455" s="3327"/>
      <c r="AQ455" s="3327"/>
      <c r="AR455" s="3327"/>
      <c r="AS455" s="3327"/>
      <c r="AT455" s="3337"/>
      <c r="AU455" s="3338"/>
      <c r="AV455" s="1410">
        <f t="shared" si="243"/>
        <v>0</v>
      </c>
      <c r="AW455" s="1410">
        <f t="shared" si="244"/>
        <v>0</v>
      </c>
      <c r="AX455" s="1410">
        <f t="shared" si="245"/>
        <v>0</v>
      </c>
      <c r="AY455" s="3352">
        <f t="shared" si="246"/>
        <v>0</v>
      </c>
      <c r="AZ455" s="3307">
        <f t="shared" si="247"/>
        <v>0</v>
      </c>
      <c r="BA455" s="3307">
        <f t="shared" si="248"/>
        <v>0</v>
      </c>
      <c r="BB455" s="3307">
        <f t="shared" si="249"/>
        <v>0</v>
      </c>
      <c r="BC455" s="3307">
        <f t="shared" si="250"/>
        <v>0</v>
      </c>
      <c r="BD455" s="3307">
        <f t="shared" si="251"/>
        <v>0</v>
      </c>
      <c r="BE455" s="3307">
        <f t="shared" si="252"/>
        <v>0</v>
      </c>
      <c r="BF455" s="3307">
        <f t="shared" si="253"/>
        <v>0</v>
      </c>
      <c r="BG455" s="3307">
        <f t="shared" si="254"/>
        <v>0</v>
      </c>
      <c r="BH455" s="3307">
        <f t="shared" si="255"/>
        <v>0</v>
      </c>
      <c r="BI455" s="3307">
        <f t="shared" si="256"/>
        <v>0</v>
      </c>
      <c r="BJ455" s="3307">
        <f t="shared" si="257"/>
        <v>0</v>
      </c>
      <c r="BK455" s="3307">
        <f t="shared" si="258"/>
        <v>0</v>
      </c>
      <c r="BL455" s="3307">
        <f t="shared" si="259"/>
        <v>0</v>
      </c>
      <c r="BM455" s="3307">
        <f t="shared" si="260"/>
        <v>0</v>
      </c>
      <c r="BN455" s="3307">
        <f t="shared" si="261"/>
        <v>0</v>
      </c>
      <c r="BO455" s="3307">
        <f t="shared" si="262"/>
        <v>0</v>
      </c>
      <c r="BP455" s="3307">
        <f t="shared" si="263"/>
        <v>0</v>
      </c>
      <c r="BQ455" s="3307">
        <f t="shared" si="264"/>
        <v>0</v>
      </c>
      <c r="BR455" s="3307">
        <f t="shared" si="265"/>
        <v>0</v>
      </c>
      <c r="BS455" s="3307">
        <f t="shared" si="266"/>
        <v>0</v>
      </c>
      <c r="BT455" s="3359">
        <f t="shared" si="267"/>
        <v>0</v>
      </c>
    </row>
    <row r="456" spans="1:72">
      <c r="A456" s="3304"/>
      <c r="B456" s="3305"/>
      <c r="C456" s="3305"/>
      <c r="D456" s="3306"/>
      <c r="E456" s="3307">
        <f t="shared" si="239"/>
        <v>0</v>
      </c>
      <c r="F456" s="3308"/>
      <c r="G456" s="3309">
        <f t="shared" si="240"/>
        <v>0</v>
      </c>
      <c r="H456" s="3310">
        <f t="shared" si="241"/>
        <v>0</v>
      </c>
      <c r="I456" s="3317"/>
      <c r="J456" s="3317"/>
      <c r="K456" s="3317"/>
      <c r="L456" s="3317"/>
      <c r="M456" s="3317"/>
      <c r="N456" s="3317"/>
      <c r="O456" s="3317"/>
      <c r="P456" s="3317"/>
      <c r="Q456" s="3317"/>
      <c r="R456" s="3317"/>
      <c r="S456" s="3317"/>
      <c r="T456" s="3317"/>
      <c r="U456" s="3317"/>
      <c r="V456" s="3317"/>
      <c r="W456" s="3317"/>
      <c r="X456" s="3317"/>
      <c r="Y456" s="3317"/>
      <c r="Z456" s="3317"/>
      <c r="AA456" s="3317"/>
      <c r="AB456" s="3317"/>
      <c r="AC456" s="3307">
        <f t="shared" si="242"/>
        <v>0</v>
      </c>
      <c r="AD456" s="3327"/>
      <c r="AE456" s="3327"/>
      <c r="AF456" s="3327"/>
      <c r="AG456" s="3327"/>
      <c r="AH456" s="3327"/>
      <c r="AI456" s="3327"/>
      <c r="AJ456" s="3327"/>
      <c r="AK456" s="3327"/>
      <c r="AL456" s="3327"/>
      <c r="AM456" s="3327"/>
      <c r="AN456" s="3327"/>
      <c r="AO456" s="3327"/>
      <c r="AP456" s="3327"/>
      <c r="AQ456" s="3327"/>
      <c r="AR456" s="3327"/>
      <c r="AS456" s="3327"/>
      <c r="AT456" s="3337"/>
      <c r="AU456" s="3338"/>
      <c r="AV456" s="1410">
        <f t="shared" si="243"/>
        <v>0</v>
      </c>
      <c r="AW456" s="1410">
        <f t="shared" si="244"/>
        <v>0</v>
      </c>
      <c r="AX456" s="1410">
        <f t="shared" si="245"/>
        <v>0</v>
      </c>
      <c r="AY456" s="3352">
        <f t="shared" si="246"/>
        <v>0</v>
      </c>
      <c r="AZ456" s="3307">
        <f t="shared" si="247"/>
        <v>0</v>
      </c>
      <c r="BA456" s="3307">
        <f t="shared" si="248"/>
        <v>0</v>
      </c>
      <c r="BB456" s="3307">
        <f t="shared" si="249"/>
        <v>0</v>
      </c>
      <c r="BC456" s="3307">
        <f t="shared" si="250"/>
        <v>0</v>
      </c>
      <c r="BD456" s="3307">
        <f t="shared" si="251"/>
        <v>0</v>
      </c>
      <c r="BE456" s="3307">
        <f t="shared" si="252"/>
        <v>0</v>
      </c>
      <c r="BF456" s="3307">
        <f t="shared" si="253"/>
        <v>0</v>
      </c>
      <c r="BG456" s="3307">
        <f t="shared" si="254"/>
        <v>0</v>
      </c>
      <c r="BH456" s="3307">
        <f t="shared" si="255"/>
        <v>0</v>
      </c>
      <c r="BI456" s="3307">
        <f t="shared" si="256"/>
        <v>0</v>
      </c>
      <c r="BJ456" s="3307">
        <f t="shared" si="257"/>
        <v>0</v>
      </c>
      <c r="BK456" s="3307">
        <f t="shared" si="258"/>
        <v>0</v>
      </c>
      <c r="BL456" s="3307">
        <f t="shared" si="259"/>
        <v>0</v>
      </c>
      <c r="BM456" s="3307">
        <f t="shared" si="260"/>
        <v>0</v>
      </c>
      <c r="BN456" s="3307">
        <f t="shared" si="261"/>
        <v>0</v>
      </c>
      <c r="BO456" s="3307">
        <f t="shared" si="262"/>
        <v>0</v>
      </c>
      <c r="BP456" s="3307">
        <f t="shared" si="263"/>
        <v>0</v>
      </c>
      <c r="BQ456" s="3307">
        <f t="shared" si="264"/>
        <v>0</v>
      </c>
      <c r="BR456" s="3307">
        <f t="shared" si="265"/>
        <v>0</v>
      </c>
      <c r="BS456" s="3307">
        <f t="shared" si="266"/>
        <v>0</v>
      </c>
      <c r="BT456" s="3359">
        <f t="shared" si="267"/>
        <v>0</v>
      </c>
    </row>
    <row r="457" spans="1:72">
      <c r="A457" s="3304"/>
      <c r="B457" s="3305"/>
      <c r="C457" s="3305"/>
      <c r="D457" s="3306"/>
      <c r="E457" s="3307">
        <f t="shared" si="239"/>
        <v>0</v>
      </c>
      <c r="F457" s="3308"/>
      <c r="G457" s="3309">
        <f t="shared" si="240"/>
        <v>0</v>
      </c>
      <c r="H457" s="3310">
        <f t="shared" si="241"/>
        <v>0</v>
      </c>
      <c r="I457" s="3317"/>
      <c r="J457" s="3317"/>
      <c r="K457" s="3317"/>
      <c r="L457" s="3317"/>
      <c r="M457" s="3317"/>
      <c r="N457" s="3317"/>
      <c r="O457" s="3317"/>
      <c r="P457" s="3317"/>
      <c r="Q457" s="3317"/>
      <c r="R457" s="3317"/>
      <c r="S457" s="3317"/>
      <c r="T457" s="3317"/>
      <c r="U457" s="3317"/>
      <c r="V457" s="3317"/>
      <c r="W457" s="3317"/>
      <c r="X457" s="3317"/>
      <c r="Y457" s="3317"/>
      <c r="Z457" s="3317"/>
      <c r="AA457" s="3317"/>
      <c r="AB457" s="3317"/>
      <c r="AC457" s="3307">
        <f t="shared" si="242"/>
        <v>0</v>
      </c>
      <c r="AD457" s="3327"/>
      <c r="AE457" s="3327"/>
      <c r="AF457" s="3327"/>
      <c r="AG457" s="3327"/>
      <c r="AH457" s="3327"/>
      <c r="AI457" s="3327"/>
      <c r="AJ457" s="3327"/>
      <c r="AK457" s="3327"/>
      <c r="AL457" s="3327"/>
      <c r="AM457" s="3327"/>
      <c r="AN457" s="3327"/>
      <c r="AO457" s="3327"/>
      <c r="AP457" s="3327"/>
      <c r="AQ457" s="3327"/>
      <c r="AR457" s="3327"/>
      <c r="AS457" s="3327"/>
      <c r="AT457" s="3337"/>
      <c r="AU457" s="3338"/>
      <c r="AV457" s="1410">
        <f t="shared" si="243"/>
        <v>0</v>
      </c>
      <c r="AW457" s="1410">
        <f t="shared" si="244"/>
        <v>0</v>
      </c>
      <c r="AX457" s="1410">
        <f t="shared" si="245"/>
        <v>0</v>
      </c>
      <c r="AY457" s="3352">
        <f t="shared" si="246"/>
        <v>0</v>
      </c>
      <c r="AZ457" s="3307">
        <f t="shared" si="247"/>
        <v>0</v>
      </c>
      <c r="BA457" s="3307">
        <f t="shared" si="248"/>
        <v>0</v>
      </c>
      <c r="BB457" s="3307">
        <f t="shared" si="249"/>
        <v>0</v>
      </c>
      <c r="BC457" s="3307">
        <f t="shared" si="250"/>
        <v>0</v>
      </c>
      <c r="BD457" s="3307">
        <f t="shared" si="251"/>
        <v>0</v>
      </c>
      <c r="BE457" s="3307">
        <f t="shared" si="252"/>
        <v>0</v>
      </c>
      <c r="BF457" s="3307">
        <f t="shared" si="253"/>
        <v>0</v>
      </c>
      <c r="BG457" s="3307">
        <f t="shared" si="254"/>
        <v>0</v>
      </c>
      <c r="BH457" s="3307">
        <f t="shared" si="255"/>
        <v>0</v>
      </c>
      <c r="BI457" s="3307">
        <f t="shared" si="256"/>
        <v>0</v>
      </c>
      <c r="BJ457" s="3307">
        <f t="shared" si="257"/>
        <v>0</v>
      </c>
      <c r="BK457" s="3307">
        <f t="shared" si="258"/>
        <v>0</v>
      </c>
      <c r="BL457" s="3307">
        <f t="shared" si="259"/>
        <v>0</v>
      </c>
      <c r="BM457" s="3307">
        <f t="shared" si="260"/>
        <v>0</v>
      </c>
      <c r="BN457" s="3307">
        <f t="shared" si="261"/>
        <v>0</v>
      </c>
      <c r="BO457" s="3307">
        <f t="shared" si="262"/>
        <v>0</v>
      </c>
      <c r="BP457" s="3307">
        <f t="shared" si="263"/>
        <v>0</v>
      </c>
      <c r="BQ457" s="3307">
        <f t="shared" si="264"/>
        <v>0</v>
      </c>
      <c r="BR457" s="3307">
        <f t="shared" si="265"/>
        <v>0</v>
      </c>
      <c r="BS457" s="3307">
        <f t="shared" si="266"/>
        <v>0</v>
      </c>
      <c r="BT457" s="3359">
        <f t="shared" si="267"/>
        <v>0</v>
      </c>
    </row>
    <row r="458" spans="1:72">
      <c r="A458" s="3304"/>
      <c r="B458" s="3305"/>
      <c r="C458" s="3305"/>
      <c r="D458" s="3306"/>
      <c r="E458" s="3307">
        <f t="shared" si="239"/>
        <v>0</v>
      </c>
      <c r="F458" s="3308"/>
      <c r="G458" s="3309">
        <f t="shared" si="240"/>
        <v>0</v>
      </c>
      <c r="H458" s="3310">
        <f t="shared" si="241"/>
        <v>0</v>
      </c>
      <c r="I458" s="3317"/>
      <c r="J458" s="3317"/>
      <c r="K458" s="3317"/>
      <c r="L458" s="3317"/>
      <c r="M458" s="3317"/>
      <c r="N458" s="3317"/>
      <c r="O458" s="3317"/>
      <c r="P458" s="3317"/>
      <c r="Q458" s="3317"/>
      <c r="R458" s="3317"/>
      <c r="S458" s="3317"/>
      <c r="T458" s="3317"/>
      <c r="U458" s="3317"/>
      <c r="V458" s="3317"/>
      <c r="W458" s="3317"/>
      <c r="X458" s="3317"/>
      <c r="Y458" s="3317"/>
      <c r="Z458" s="3317"/>
      <c r="AA458" s="3317"/>
      <c r="AB458" s="3317"/>
      <c r="AC458" s="3307">
        <f t="shared" si="242"/>
        <v>0</v>
      </c>
      <c r="AD458" s="3327"/>
      <c r="AE458" s="3327"/>
      <c r="AF458" s="3327"/>
      <c r="AG458" s="3327"/>
      <c r="AH458" s="3327"/>
      <c r="AI458" s="3327"/>
      <c r="AJ458" s="3327"/>
      <c r="AK458" s="3327"/>
      <c r="AL458" s="3327"/>
      <c r="AM458" s="3327"/>
      <c r="AN458" s="3327"/>
      <c r="AO458" s="3327"/>
      <c r="AP458" s="3327"/>
      <c r="AQ458" s="3327"/>
      <c r="AR458" s="3327"/>
      <c r="AS458" s="3327"/>
      <c r="AT458" s="3337"/>
      <c r="AU458" s="3338"/>
      <c r="AV458" s="1410">
        <f t="shared" si="243"/>
        <v>0</v>
      </c>
      <c r="AW458" s="1410">
        <f t="shared" si="244"/>
        <v>0</v>
      </c>
      <c r="AX458" s="1410">
        <f t="shared" si="245"/>
        <v>0</v>
      </c>
      <c r="AY458" s="3352">
        <f t="shared" si="246"/>
        <v>0</v>
      </c>
      <c r="AZ458" s="3307">
        <f t="shared" si="247"/>
        <v>0</v>
      </c>
      <c r="BA458" s="3307">
        <f t="shared" si="248"/>
        <v>0</v>
      </c>
      <c r="BB458" s="3307">
        <f t="shared" si="249"/>
        <v>0</v>
      </c>
      <c r="BC458" s="3307">
        <f t="shared" si="250"/>
        <v>0</v>
      </c>
      <c r="BD458" s="3307">
        <f t="shared" si="251"/>
        <v>0</v>
      </c>
      <c r="BE458" s="3307">
        <f t="shared" si="252"/>
        <v>0</v>
      </c>
      <c r="BF458" s="3307">
        <f t="shared" si="253"/>
        <v>0</v>
      </c>
      <c r="BG458" s="3307">
        <f t="shared" si="254"/>
        <v>0</v>
      </c>
      <c r="BH458" s="3307">
        <f t="shared" si="255"/>
        <v>0</v>
      </c>
      <c r="BI458" s="3307">
        <f t="shared" si="256"/>
        <v>0</v>
      </c>
      <c r="BJ458" s="3307">
        <f t="shared" si="257"/>
        <v>0</v>
      </c>
      <c r="BK458" s="3307">
        <f t="shared" si="258"/>
        <v>0</v>
      </c>
      <c r="BL458" s="3307">
        <f t="shared" si="259"/>
        <v>0</v>
      </c>
      <c r="BM458" s="3307">
        <f t="shared" si="260"/>
        <v>0</v>
      </c>
      <c r="BN458" s="3307">
        <f t="shared" si="261"/>
        <v>0</v>
      </c>
      <c r="BO458" s="3307">
        <f t="shared" si="262"/>
        <v>0</v>
      </c>
      <c r="BP458" s="3307">
        <f t="shared" si="263"/>
        <v>0</v>
      </c>
      <c r="BQ458" s="3307">
        <f t="shared" si="264"/>
        <v>0</v>
      </c>
      <c r="BR458" s="3307">
        <f t="shared" si="265"/>
        <v>0</v>
      </c>
      <c r="BS458" s="3307">
        <f t="shared" si="266"/>
        <v>0</v>
      </c>
      <c r="BT458" s="3359">
        <f t="shared" si="267"/>
        <v>0</v>
      </c>
    </row>
    <row r="459" spans="1:72">
      <c r="A459" s="3304"/>
      <c r="B459" s="3305"/>
      <c r="C459" s="3305"/>
      <c r="D459" s="3306"/>
      <c r="E459" s="3307">
        <f t="shared" si="239"/>
        <v>0</v>
      </c>
      <c r="F459" s="3308"/>
      <c r="G459" s="3309">
        <f t="shared" si="240"/>
        <v>0</v>
      </c>
      <c r="H459" s="3310">
        <f t="shared" si="241"/>
        <v>0</v>
      </c>
      <c r="I459" s="3317"/>
      <c r="J459" s="3317"/>
      <c r="K459" s="3317"/>
      <c r="L459" s="3317"/>
      <c r="M459" s="3317"/>
      <c r="N459" s="3317"/>
      <c r="O459" s="3317"/>
      <c r="P459" s="3317"/>
      <c r="Q459" s="3317"/>
      <c r="R459" s="3317"/>
      <c r="S459" s="3317"/>
      <c r="T459" s="3317"/>
      <c r="U459" s="3317"/>
      <c r="V459" s="3317"/>
      <c r="W459" s="3317"/>
      <c r="X459" s="3317"/>
      <c r="Y459" s="3317"/>
      <c r="Z459" s="3317"/>
      <c r="AA459" s="3317"/>
      <c r="AB459" s="3317"/>
      <c r="AC459" s="3307">
        <f t="shared" si="242"/>
        <v>0</v>
      </c>
      <c r="AD459" s="3327"/>
      <c r="AE459" s="3327"/>
      <c r="AF459" s="3327"/>
      <c r="AG459" s="3327"/>
      <c r="AH459" s="3327"/>
      <c r="AI459" s="3327"/>
      <c r="AJ459" s="3327"/>
      <c r="AK459" s="3327"/>
      <c r="AL459" s="3327"/>
      <c r="AM459" s="3327"/>
      <c r="AN459" s="3327"/>
      <c r="AO459" s="3327"/>
      <c r="AP459" s="3327"/>
      <c r="AQ459" s="3327"/>
      <c r="AR459" s="3327"/>
      <c r="AS459" s="3327"/>
      <c r="AT459" s="3337"/>
      <c r="AU459" s="3338"/>
      <c r="AV459" s="1410">
        <f t="shared" si="243"/>
        <v>0</v>
      </c>
      <c r="AW459" s="1410">
        <f t="shared" si="244"/>
        <v>0</v>
      </c>
      <c r="AX459" s="1410">
        <f t="shared" si="245"/>
        <v>0</v>
      </c>
      <c r="AY459" s="3352">
        <f t="shared" si="246"/>
        <v>0</v>
      </c>
      <c r="AZ459" s="3307">
        <f t="shared" si="247"/>
        <v>0</v>
      </c>
      <c r="BA459" s="3307">
        <f t="shared" si="248"/>
        <v>0</v>
      </c>
      <c r="BB459" s="3307">
        <f t="shared" si="249"/>
        <v>0</v>
      </c>
      <c r="BC459" s="3307">
        <f t="shared" si="250"/>
        <v>0</v>
      </c>
      <c r="BD459" s="3307">
        <f t="shared" si="251"/>
        <v>0</v>
      </c>
      <c r="BE459" s="3307">
        <f t="shared" si="252"/>
        <v>0</v>
      </c>
      <c r="BF459" s="3307">
        <f t="shared" si="253"/>
        <v>0</v>
      </c>
      <c r="BG459" s="3307">
        <f t="shared" si="254"/>
        <v>0</v>
      </c>
      <c r="BH459" s="3307">
        <f t="shared" si="255"/>
        <v>0</v>
      </c>
      <c r="BI459" s="3307">
        <f t="shared" si="256"/>
        <v>0</v>
      </c>
      <c r="BJ459" s="3307">
        <f t="shared" si="257"/>
        <v>0</v>
      </c>
      <c r="BK459" s="3307">
        <f t="shared" si="258"/>
        <v>0</v>
      </c>
      <c r="BL459" s="3307">
        <f t="shared" si="259"/>
        <v>0</v>
      </c>
      <c r="BM459" s="3307">
        <f t="shared" si="260"/>
        <v>0</v>
      </c>
      <c r="BN459" s="3307">
        <f t="shared" si="261"/>
        <v>0</v>
      </c>
      <c r="BO459" s="3307">
        <f t="shared" si="262"/>
        <v>0</v>
      </c>
      <c r="BP459" s="3307">
        <f t="shared" si="263"/>
        <v>0</v>
      </c>
      <c r="BQ459" s="3307">
        <f t="shared" si="264"/>
        <v>0</v>
      </c>
      <c r="BR459" s="3307">
        <f t="shared" si="265"/>
        <v>0</v>
      </c>
      <c r="BS459" s="3307">
        <f t="shared" si="266"/>
        <v>0</v>
      </c>
      <c r="BT459" s="3359">
        <f t="shared" si="267"/>
        <v>0</v>
      </c>
    </row>
    <row r="460" spans="1:72">
      <c r="A460" s="3304"/>
      <c r="B460" s="3305"/>
      <c r="C460" s="3305"/>
      <c r="D460" s="3306"/>
      <c r="E460" s="3307">
        <f t="shared" si="239"/>
        <v>0</v>
      </c>
      <c r="F460" s="3308"/>
      <c r="G460" s="3309">
        <f t="shared" si="240"/>
        <v>0</v>
      </c>
      <c r="H460" s="3310">
        <f t="shared" si="241"/>
        <v>0</v>
      </c>
      <c r="I460" s="3317"/>
      <c r="J460" s="3317"/>
      <c r="K460" s="3317"/>
      <c r="L460" s="3317"/>
      <c r="M460" s="3317"/>
      <c r="N460" s="3317"/>
      <c r="O460" s="3317"/>
      <c r="P460" s="3317"/>
      <c r="Q460" s="3317"/>
      <c r="R460" s="3317"/>
      <c r="S460" s="3317"/>
      <c r="T460" s="3317"/>
      <c r="U460" s="3317"/>
      <c r="V460" s="3317"/>
      <c r="W460" s="3317"/>
      <c r="X460" s="3317"/>
      <c r="Y460" s="3317"/>
      <c r="Z460" s="3317"/>
      <c r="AA460" s="3317"/>
      <c r="AB460" s="3317"/>
      <c r="AC460" s="3307">
        <f t="shared" si="242"/>
        <v>0</v>
      </c>
      <c r="AD460" s="3327"/>
      <c r="AE460" s="3327"/>
      <c r="AF460" s="3327"/>
      <c r="AG460" s="3327"/>
      <c r="AH460" s="3327"/>
      <c r="AI460" s="3327"/>
      <c r="AJ460" s="3327"/>
      <c r="AK460" s="3327"/>
      <c r="AL460" s="3327"/>
      <c r="AM460" s="3327"/>
      <c r="AN460" s="3327"/>
      <c r="AO460" s="3327"/>
      <c r="AP460" s="3327"/>
      <c r="AQ460" s="3327"/>
      <c r="AR460" s="3327"/>
      <c r="AS460" s="3327"/>
      <c r="AT460" s="3337"/>
      <c r="AU460" s="3338"/>
      <c r="AV460" s="1410">
        <f t="shared" si="243"/>
        <v>0</v>
      </c>
      <c r="AW460" s="1410">
        <f t="shared" si="244"/>
        <v>0</v>
      </c>
      <c r="AX460" s="1410">
        <f t="shared" si="245"/>
        <v>0</v>
      </c>
      <c r="AY460" s="3352">
        <f t="shared" si="246"/>
        <v>0</v>
      </c>
      <c r="AZ460" s="3307">
        <f t="shared" si="247"/>
        <v>0</v>
      </c>
      <c r="BA460" s="3307">
        <f t="shared" si="248"/>
        <v>0</v>
      </c>
      <c r="BB460" s="3307">
        <f t="shared" si="249"/>
        <v>0</v>
      </c>
      <c r="BC460" s="3307">
        <f t="shared" si="250"/>
        <v>0</v>
      </c>
      <c r="BD460" s="3307">
        <f t="shared" si="251"/>
        <v>0</v>
      </c>
      <c r="BE460" s="3307">
        <f t="shared" si="252"/>
        <v>0</v>
      </c>
      <c r="BF460" s="3307">
        <f t="shared" si="253"/>
        <v>0</v>
      </c>
      <c r="BG460" s="3307">
        <f t="shared" si="254"/>
        <v>0</v>
      </c>
      <c r="BH460" s="3307">
        <f t="shared" si="255"/>
        <v>0</v>
      </c>
      <c r="BI460" s="3307">
        <f t="shared" si="256"/>
        <v>0</v>
      </c>
      <c r="BJ460" s="3307">
        <f t="shared" si="257"/>
        <v>0</v>
      </c>
      <c r="BK460" s="3307">
        <f t="shared" si="258"/>
        <v>0</v>
      </c>
      <c r="BL460" s="3307">
        <f t="shared" si="259"/>
        <v>0</v>
      </c>
      <c r="BM460" s="3307">
        <f t="shared" si="260"/>
        <v>0</v>
      </c>
      <c r="BN460" s="3307">
        <f t="shared" si="261"/>
        <v>0</v>
      </c>
      <c r="BO460" s="3307">
        <f t="shared" si="262"/>
        <v>0</v>
      </c>
      <c r="BP460" s="3307">
        <f t="shared" si="263"/>
        <v>0</v>
      </c>
      <c r="BQ460" s="3307">
        <f t="shared" si="264"/>
        <v>0</v>
      </c>
      <c r="BR460" s="3307">
        <f t="shared" si="265"/>
        <v>0</v>
      </c>
      <c r="BS460" s="3307">
        <f t="shared" si="266"/>
        <v>0</v>
      </c>
      <c r="BT460" s="3359">
        <f t="shared" si="267"/>
        <v>0</v>
      </c>
    </row>
    <row r="461" spans="1:72">
      <c r="A461" s="3304"/>
      <c r="B461" s="3305"/>
      <c r="C461" s="3305"/>
      <c r="D461" s="3306"/>
      <c r="E461" s="3307">
        <f t="shared" si="239"/>
        <v>0</v>
      </c>
      <c r="F461" s="3308"/>
      <c r="G461" s="3309">
        <f t="shared" si="240"/>
        <v>0</v>
      </c>
      <c r="H461" s="3310">
        <f t="shared" si="241"/>
        <v>0</v>
      </c>
      <c r="I461" s="3317"/>
      <c r="J461" s="3317"/>
      <c r="K461" s="3317"/>
      <c r="L461" s="3317"/>
      <c r="M461" s="3317"/>
      <c r="N461" s="3317"/>
      <c r="O461" s="3317"/>
      <c r="P461" s="3317"/>
      <c r="Q461" s="3317"/>
      <c r="R461" s="3317"/>
      <c r="S461" s="3317"/>
      <c r="T461" s="3317"/>
      <c r="U461" s="3317"/>
      <c r="V461" s="3317"/>
      <c r="W461" s="3317"/>
      <c r="X461" s="3317"/>
      <c r="Y461" s="3317"/>
      <c r="Z461" s="3317"/>
      <c r="AA461" s="3317"/>
      <c r="AB461" s="3317"/>
      <c r="AC461" s="3307">
        <f t="shared" si="242"/>
        <v>0</v>
      </c>
      <c r="AD461" s="3327"/>
      <c r="AE461" s="3327"/>
      <c r="AF461" s="3327"/>
      <c r="AG461" s="3327"/>
      <c r="AH461" s="3327"/>
      <c r="AI461" s="3327"/>
      <c r="AJ461" s="3327"/>
      <c r="AK461" s="3327"/>
      <c r="AL461" s="3327"/>
      <c r="AM461" s="3327"/>
      <c r="AN461" s="3327"/>
      <c r="AO461" s="3327"/>
      <c r="AP461" s="3327"/>
      <c r="AQ461" s="3327"/>
      <c r="AR461" s="3327"/>
      <c r="AS461" s="3327"/>
      <c r="AT461" s="3337"/>
      <c r="AU461" s="3338"/>
      <c r="AV461" s="1410">
        <f t="shared" si="243"/>
        <v>0</v>
      </c>
      <c r="AW461" s="1410">
        <f t="shared" si="244"/>
        <v>0</v>
      </c>
      <c r="AX461" s="1410">
        <f t="shared" si="245"/>
        <v>0</v>
      </c>
      <c r="AY461" s="3352">
        <f t="shared" si="246"/>
        <v>0</v>
      </c>
      <c r="AZ461" s="3307">
        <f t="shared" si="247"/>
        <v>0</v>
      </c>
      <c r="BA461" s="3307">
        <f t="shared" si="248"/>
        <v>0</v>
      </c>
      <c r="BB461" s="3307">
        <f t="shared" si="249"/>
        <v>0</v>
      </c>
      <c r="BC461" s="3307">
        <f t="shared" si="250"/>
        <v>0</v>
      </c>
      <c r="BD461" s="3307">
        <f t="shared" si="251"/>
        <v>0</v>
      </c>
      <c r="BE461" s="3307">
        <f t="shared" si="252"/>
        <v>0</v>
      </c>
      <c r="BF461" s="3307">
        <f t="shared" si="253"/>
        <v>0</v>
      </c>
      <c r="BG461" s="3307">
        <f t="shared" si="254"/>
        <v>0</v>
      </c>
      <c r="BH461" s="3307">
        <f t="shared" si="255"/>
        <v>0</v>
      </c>
      <c r="BI461" s="3307">
        <f t="shared" si="256"/>
        <v>0</v>
      </c>
      <c r="BJ461" s="3307">
        <f t="shared" si="257"/>
        <v>0</v>
      </c>
      <c r="BK461" s="3307">
        <f t="shared" si="258"/>
        <v>0</v>
      </c>
      <c r="BL461" s="3307">
        <f t="shared" si="259"/>
        <v>0</v>
      </c>
      <c r="BM461" s="3307">
        <f t="shared" si="260"/>
        <v>0</v>
      </c>
      <c r="BN461" s="3307">
        <f t="shared" si="261"/>
        <v>0</v>
      </c>
      <c r="BO461" s="3307">
        <f t="shared" si="262"/>
        <v>0</v>
      </c>
      <c r="BP461" s="3307">
        <f t="shared" si="263"/>
        <v>0</v>
      </c>
      <c r="BQ461" s="3307">
        <f t="shared" si="264"/>
        <v>0</v>
      </c>
      <c r="BR461" s="3307">
        <f t="shared" si="265"/>
        <v>0</v>
      </c>
      <c r="BS461" s="3307">
        <f t="shared" si="266"/>
        <v>0</v>
      </c>
      <c r="BT461" s="3359">
        <f t="shared" si="267"/>
        <v>0</v>
      </c>
    </row>
    <row r="462" spans="1:72">
      <c r="A462" s="3304"/>
      <c r="B462" s="3305"/>
      <c r="C462" s="3305"/>
      <c r="D462" s="3306"/>
      <c r="E462" s="3307">
        <f t="shared" si="239"/>
        <v>0</v>
      </c>
      <c r="F462" s="3308"/>
      <c r="G462" s="3309">
        <f t="shared" si="240"/>
        <v>0</v>
      </c>
      <c r="H462" s="3310">
        <f t="shared" si="241"/>
        <v>0</v>
      </c>
      <c r="I462" s="3317"/>
      <c r="J462" s="3317"/>
      <c r="K462" s="3317"/>
      <c r="L462" s="3317"/>
      <c r="M462" s="3317"/>
      <c r="N462" s="3317"/>
      <c r="O462" s="3317"/>
      <c r="P462" s="3317"/>
      <c r="Q462" s="3317"/>
      <c r="R462" s="3317"/>
      <c r="S462" s="3317"/>
      <c r="T462" s="3317"/>
      <c r="U462" s="3317"/>
      <c r="V462" s="3317"/>
      <c r="W462" s="3317"/>
      <c r="X462" s="3317"/>
      <c r="Y462" s="3317"/>
      <c r="Z462" s="3317"/>
      <c r="AA462" s="3317"/>
      <c r="AB462" s="3317"/>
      <c r="AC462" s="3307">
        <f t="shared" si="242"/>
        <v>0</v>
      </c>
      <c r="AD462" s="3327"/>
      <c r="AE462" s="3327"/>
      <c r="AF462" s="3327"/>
      <c r="AG462" s="3327"/>
      <c r="AH462" s="3327"/>
      <c r="AI462" s="3327"/>
      <c r="AJ462" s="3327"/>
      <c r="AK462" s="3327"/>
      <c r="AL462" s="3327"/>
      <c r="AM462" s="3327"/>
      <c r="AN462" s="3327"/>
      <c r="AO462" s="3327"/>
      <c r="AP462" s="3327"/>
      <c r="AQ462" s="3327"/>
      <c r="AR462" s="3327"/>
      <c r="AS462" s="3327"/>
      <c r="AT462" s="3337"/>
      <c r="AU462" s="3338"/>
      <c r="AV462" s="1410">
        <f t="shared" si="243"/>
        <v>0</v>
      </c>
      <c r="AW462" s="1410">
        <f t="shared" si="244"/>
        <v>0</v>
      </c>
      <c r="AX462" s="1410">
        <f t="shared" si="245"/>
        <v>0</v>
      </c>
      <c r="AY462" s="3352">
        <f t="shared" si="246"/>
        <v>0</v>
      </c>
      <c r="AZ462" s="3307">
        <f t="shared" si="247"/>
        <v>0</v>
      </c>
      <c r="BA462" s="3307">
        <f t="shared" si="248"/>
        <v>0</v>
      </c>
      <c r="BB462" s="3307">
        <f t="shared" si="249"/>
        <v>0</v>
      </c>
      <c r="BC462" s="3307">
        <f t="shared" si="250"/>
        <v>0</v>
      </c>
      <c r="BD462" s="3307">
        <f t="shared" si="251"/>
        <v>0</v>
      </c>
      <c r="BE462" s="3307">
        <f t="shared" si="252"/>
        <v>0</v>
      </c>
      <c r="BF462" s="3307">
        <f t="shared" si="253"/>
        <v>0</v>
      </c>
      <c r="BG462" s="3307">
        <f t="shared" si="254"/>
        <v>0</v>
      </c>
      <c r="BH462" s="3307">
        <f t="shared" si="255"/>
        <v>0</v>
      </c>
      <c r="BI462" s="3307">
        <f t="shared" si="256"/>
        <v>0</v>
      </c>
      <c r="BJ462" s="3307">
        <f t="shared" si="257"/>
        <v>0</v>
      </c>
      <c r="BK462" s="3307">
        <f t="shared" si="258"/>
        <v>0</v>
      </c>
      <c r="BL462" s="3307">
        <f t="shared" si="259"/>
        <v>0</v>
      </c>
      <c r="BM462" s="3307">
        <f t="shared" si="260"/>
        <v>0</v>
      </c>
      <c r="BN462" s="3307">
        <f t="shared" si="261"/>
        <v>0</v>
      </c>
      <c r="BO462" s="3307">
        <f t="shared" si="262"/>
        <v>0</v>
      </c>
      <c r="BP462" s="3307">
        <f t="shared" si="263"/>
        <v>0</v>
      </c>
      <c r="BQ462" s="3307">
        <f t="shared" si="264"/>
        <v>0</v>
      </c>
      <c r="BR462" s="3307">
        <f t="shared" si="265"/>
        <v>0</v>
      </c>
      <c r="BS462" s="3307">
        <f t="shared" si="266"/>
        <v>0</v>
      </c>
      <c r="BT462" s="3359">
        <f t="shared" si="267"/>
        <v>0</v>
      </c>
    </row>
    <row r="463" spans="1:72">
      <c r="A463" s="3304"/>
      <c r="B463" s="3305"/>
      <c r="C463" s="3305"/>
      <c r="D463" s="3306"/>
      <c r="E463" s="3307">
        <f t="shared" si="239"/>
        <v>0</v>
      </c>
      <c r="F463" s="3308"/>
      <c r="G463" s="3309">
        <f t="shared" si="240"/>
        <v>0</v>
      </c>
      <c r="H463" s="3310">
        <f t="shared" si="241"/>
        <v>0</v>
      </c>
      <c r="I463" s="3317"/>
      <c r="J463" s="3317"/>
      <c r="K463" s="3317"/>
      <c r="L463" s="3317"/>
      <c r="M463" s="3317"/>
      <c r="N463" s="3317"/>
      <c r="O463" s="3317"/>
      <c r="P463" s="3317"/>
      <c r="Q463" s="3317"/>
      <c r="R463" s="3317"/>
      <c r="S463" s="3317"/>
      <c r="T463" s="3317"/>
      <c r="U463" s="3317"/>
      <c r="V463" s="3317"/>
      <c r="W463" s="3317"/>
      <c r="X463" s="3317"/>
      <c r="Y463" s="3317"/>
      <c r="Z463" s="3317"/>
      <c r="AA463" s="3317"/>
      <c r="AB463" s="3317"/>
      <c r="AC463" s="3307">
        <f t="shared" si="242"/>
        <v>0</v>
      </c>
      <c r="AD463" s="3327"/>
      <c r="AE463" s="3327"/>
      <c r="AF463" s="3327"/>
      <c r="AG463" s="3327"/>
      <c r="AH463" s="3327"/>
      <c r="AI463" s="3327"/>
      <c r="AJ463" s="3327"/>
      <c r="AK463" s="3327"/>
      <c r="AL463" s="3327"/>
      <c r="AM463" s="3327"/>
      <c r="AN463" s="3327"/>
      <c r="AO463" s="3327"/>
      <c r="AP463" s="3327"/>
      <c r="AQ463" s="3327"/>
      <c r="AR463" s="3327"/>
      <c r="AS463" s="3327"/>
      <c r="AT463" s="3337"/>
      <c r="AU463" s="3338"/>
      <c r="AV463" s="1410">
        <f t="shared" si="243"/>
        <v>0</v>
      </c>
      <c r="AW463" s="1410">
        <f t="shared" si="244"/>
        <v>0</v>
      </c>
      <c r="AX463" s="1410">
        <f t="shared" si="245"/>
        <v>0</v>
      </c>
      <c r="AY463" s="3352">
        <f t="shared" si="246"/>
        <v>0</v>
      </c>
      <c r="AZ463" s="3307">
        <f t="shared" si="247"/>
        <v>0</v>
      </c>
      <c r="BA463" s="3307">
        <f t="shared" si="248"/>
        <v>0</v>
      </c>
      <c r="BB463" s="3307">
        <f t="shared" si="249"/>
        <v>0</v>
      </c>
      <c r="BC463" s="3307">
        <f t="shared" si="250"/>
        <v>0</v>
      </c>
      <c r="BD463" s="3307">
        <f t="shared" si="251"/>
        <v>0</v>
      </c>
      <c r="BE463" s="3307">
        <f t="shared" si="252"/>
        <v>0</v>
      </c>
      <c r="BF463" s="3307">
        <f t="shared" si="253"/>
        <v>0</v>
      </c>
      <c r="BG463" s="3307">
        <f t="shared" si="254"/>
        <v>0</v>
      </c>
      <c r="BH463" s="3307">
        <f t="shared" si="255"/>
        <v>0</v>
      </c>
      <c r="BI463" s="3307">
        <f t="shared" si="256"/>
        <v>0</v>
      </c>
      <c r="BJ463" s="3307">
        <f t="shared" si="257"/>
        <v>0</v>
      </c>
      <c r="BK463" s="3307">
        <f t="shared" si="258"/>
        <v>0</v>
      </c>
      <c r="BL463" s="3307">
        <f t="shared" si="259"/>
        <v>0</v>
      </c>
      <c r="BM463" s="3307">
        <f t="shared" si="260"/>
        <v>0</v>
      </c>
      <c r="BN463" s="3307">
        <f t="shared" si="261"/>
        <v>0</v>
      </c>
      <c r="BO463" s="3307">
        <f t="shared" si="262"/>
        <v>0</v>
      </c>
      <c r="BP463" s="3307">
        <f t="shared" si="263"/>
        <v>0</v>
      </c>
      <c r="BQ463" s="3307">
        <f t="shared" si="264"/>
        <v>0</v>
      </c>
      <c r="BR463" s="3307">
        <f t="shared" si="265"/>
        <v>0</v>
      </c>
      <c r="BS463" s="3307">
        <f t="shared" si="266"/>
        <v>0</v>
      </c>
      <c r="BT463" s="3359">
        <f t="shared" si="267"/>
        <v>0</v>
      </c>
    </row>
    <row r="464" spans="1:72">
      <c r="A464" s="3304"/>
      <c r="B464" s="3305"/>
      <c r="C464" s="3305"/>
      <c r="D464" s="3306"/>
      <c r="E464" s="3307">
        <f t="shared" si="239"/>
        <v>0</v>
      </c>
      <c r="F464" s="3308"/>
      <c r="G464" s="3309">
        <f t="shared" si="240"/>
        <v>0</v>
      </c>
      <c r="H464" s="3310">
        <f t="shared" si="241"/>
        <v>0</v>
      </c>
      <c r="I464" s="3317"/>
      <c r="J464" s="3317"/>
      <c r="K464" s="3317"/>
      <c r="L464" s="3317"/>
      <c r="M464" s="3317"/>
      <c r="N464" s="3317"/>
      <c r="O464" s="3317"/>
      <c r="P464" s="3317"/>
      <c r="Q464" s="3317"/>
      <c r="R464" s="3317"/>
      <c r="S464" s="3317"/>
      <c r="T464" s="3317"/>
      <c r="U464" s="3317"/>
      <c r="V464" s="3317"/>
      <c r="W464" s="3317"/>
      <c r="X464" s="3317"/>
      <c r="Y464" s="3317"/>
      <c r="Z464" s="3317"/>
      <c r="AA464" s="3317"/>
      <c r="AB464" s="3317"/>
      <c r="AC464" s="3307">
        <f t="shared" si="242"/>
        <v>0</v>
      </c>
      <c r="AD464" s="3327"/>
      <c r="AE464" s="3327"/>
      <c r="AF464" s="3327"/>
      <c r="AG464" s="3327"/>
      <c r="AH464" s="3327"/>
      <c r="AI464" s="3327"/>
      <c r="AJ464" s="3327"/>
      <c r="AK464" s="3327"/>
      <c r="AL464" s="3327"/>
      <c r="AM464" s="3327"/>
      <c r="AN464" s="3327"/>
      <c r="AO464" s="3327"/>
      <c r="AP464" s="3327"/>
      <c r="AQ464" s="3327"/>
      <c r="AR464" s="3327"/>
      <c r="AS464" s="3327"/>
      <c r="AT464" s="3337"/>
      <c r="AU464" s="3338"/>
      <c r="AV464" s="1410">
        <f t="shared" si="243"/>
        <v>0</v>
      </c>
      <c r="AW464" s="1410">
        <f t="shared" si="244"/>
        <v>0</v>
      </c>
      <c r="AX464" s="1410">
        <f t="shared" si="245"/>
        <v>0</v>
      </c>
      <c r="AY464" s="3352">
        <f t="shared" si="246"/>
        <v>0</v>
      </c>
      <c r="AZ464" s="3307">
        <f t="shared" si="247"/>
        <v>0</v>
      </c>
      <c r="BA464" s="3307">
        <f t="shared" si="248"/>
        <v>0</v>
      </c>
      <c r="BB464" s="3307">
        <f t="shared" si="249"/>
        <v>0</v>
      </c>
      <c r="BC464" s="3307">
        <f t="shared" si="250"/>
        <v>0</v>
      </c>
      <c r="BD464" s="3307">
        <f t="shared" si="251"/>
        <v>0</v>
      </c>
      <c r="BE464" s="3307">
        <f t="shared" si="252"/>
        <v>0</v>
      </c>
      <c r="BF464" s="3307">
        <f t="shared" si="253"/>
        <v>0</v>
      </c>
      <c r="BG464" s="3307">
        <f t="shared" si="254"/>
        <v>0</v>
      </c>
      <c r="BH464" s="3307">
        <f t="shared" si="255"/>
        <v>0</v>
      </c>
      <c r="BI464" s="3307">
        <f t="shared" si="256"/>
        <v>0</v>
      </c>
      <c r="BJ464" s="3307">
        <f t="shared" si="257"/>
        <v>0</v>
      </c>
      <c r="BK464" s="3307">
        <f t="shared" si="258"/>
        <v>0</v>
      </c>
      <c r="BL464" s="3307">
        <f t="shared" si="259"/>
        <v>0</v>
      </c>
      <c r="BM464" s="3307">
        <f t="shared" si="260"/>
        <v>0</v>
      </c>
      <c r="BN464" s="3307">
        <f t="shared" si="261"/>
        <v>0</v>
      </c>
      <c r="BO464" s="3307">
        <f t="shared" si="262"/>
        <v>0</v>
      </c>
      <c r="BP464" s="3307">
        <f t="shared" si="263"/>
        <v>0</v>
      </c>
      <c r="BQ464" s="3307">
        <f t="shared" si="264"/>
        <v>0</v>
      </c>
      <c r="BR464" s="3307">
        <f t="shared" si="265"/>
        <v>0</v>
      </c>
      <c r="BS464" s="3307">
        <f t="shared" si="266"/>
        <v>0</v>
      </c>
      <c r="BT464" s="3359">
        <f t="shared" si="267"/>
        <v>0</v>
      </c>
    </row>
    <row r="465" spans="1:72">
      <c r="A465" s="3304"/>
      <c r="B465" s="3305"/>
      <c r="C465" s="3305"/>
      <c r="D465" s="3306"/>
      <c r="E465" s="3307">
        <f t="shared" si="239"/>
        <v>0</v>
      </c>
      <c r="F465" s="3308"/>
      <c r="G465" s="3309">
        <f t="shared" si="240"/>
        <v>0</v>
      </c>
      <c r="H465" s="3310">
        <f t="shared" si="241"/>
        <v>0</v>
      </c>
      <c r="I465" s="3317"/>
      <c r="J465" s="3317"/>
      <c r="K465" s="3317"/>
      <c r="L465" s="3317"/>
      <c r="M465" s="3317"/>
      <c r="N465" s="3317"/>
      <c r="O465" s="3317"/>
      <c r="P465" s="3317"/>
      <c r="Q465" s="3317"/>
      <c r="R465" s="3317"/>
      <c r="S465" s="3317"/>
      <c r="T465" s="3317"/>
      <c r="U465" s="3317"/>
      <c r="V465" s="3317"/>
      <c r="W465" s="3317"/>
      <c r="X465" s="3317"/>
      <c r="Y465" s="3317"/>
      <c r="Z465" s="3317"/>
      <c r="AA465" s="3317"/>
      <c r="AB465" s="3317"/>
      <c r="AC465" s="3307">
        <f t="shared" si="242"/>
        <v>0</v>
      </c>
      <c r="AD465" s="3327"/>
      <c r="AE465" s="3327"/>
      <c r="AF465" s="3327"/>
      <c r="AG465" s="3327"/>
      <c r="AH465" s="3327"/>
      <c r="AI465" s="3327"/>
      <c r="AJ465" s="3327"/>
      <c r="AK465" s="3327"/>
      <c r="AL465" s="3327"/>
      <c r="AM465" s="3327"/>
      <c r="AN465" s="3327"/>
      <c r="AO465" s="3327"/>
      <c r="AP465" s="3327"/>
      <c r="AQ465" s="3327"/>
      <c r="AR465" s="3327"/>
      <c r="AS465" s="3327"/>
      <c r="AT465" s="3337"/>
      <c r="AU465" s="3338"/>
      <c r="AV465" s="1410">
        <f t="shared" si="243"/>
        <v>0</v>
      </c>
      <c r="AW465" s="1410">
        <f t="shared" si="244"/>
        <v>0</v>
      </c>
      <c r="AX465" s="1410">
        <f t="shared" si="245"/>
        <v>0</v>
      </c>
      <c r="AY465" s="3352">
        <f t="shared" si="246"/>
        <v>0</v>
      </c>
      <c r="AZ465" s="3307">
        <f t="shared" si="247"/>
        <v>0</v>
      </c>
      <c r="BA465" s="3307">
        <f t="shared" si="248"/>
        <v>0</v>
      </c>
      <c r="BB465" s="3307">
        <f t="shared" si="249"/>
        <v>0</v>
      </c>
      <c r="BC465" s="3307">
        <f t="shared" si="250"/>
        <v>0</v>
      </c>
      <c r="BD465" s="3307">
        <f t="shared" si="251"/>
        <v>0</v>
      </c>
      <c r="BE465" s="3307">
        <f t="shared" si="252"/>
        <v>0</v>
      </c>
      <c r="BF465" s="3307">
        <f t="shared" si="253"/>
        <v>0</v>
      </c>
      <c r="BG465" s="3307">
        <f t="shared" si="254"/>
        <v>0</v>
      </c>
      <c r="BH465" s="3307">
        <f t="shared" si="255"/>
        <v>0</v>
      </c>
      <c r="BI465" s="3307">
        <f t="shared" si="256"/>
        <v>0</v>
      </c>
      <c r="BJ465" s="3307">
        <f t="shared" si="257"/>
        <v>0</v>
      </c>
      <c r="BK465" s="3307">
        <f t="shared" si="258"/>
        <v>0</v>
      </c>
      <c r="BL465" s="3307">
        <f t="shared" si="259"/>
        <v>0</v>
      </c>
      <c r="BM465" s="3307">
        <f t="shared" si="260"/>
        <v>0</v>
      </c>
      <c r="BN465" s="3307">
        <f t="shared" si="261"/>
        <v>0</v>
      </c>
      <c r="BO465" s="3307">
        <f t="shared" si="262"/>
        <v>0</v>
      </c>
      <c r="BP465" s="3307">
        <f t="shared" si="263"/>
        <v>0</v>
      </c>
      <c r="BQ465" s="3307">
        <f t="shared" si="264"/>
        <v>0</v>
      </c>
      <c r="BR465" s="3307">
        <f t="shared" si="265"/>
        <v>0</v>
      </c>
      <c r="BS465" s="3307">
        <f t="shared" si="266"/>
        <v>0</v>
      </c>
      <c r="BT465" s="3359">
        <f t="shared" si="267"/>
        <v>0</v>
      </c>
    </row>
    <row r="466" spans="1:72">
      <c r="A466" s="3304"/>
      <c r="B466" s="3305"/>
      <c r="C466" s="3305"/>
      <c r="D466" s="3306"/>
      <c r="E466" s="3307">
        <f t="shared" si="239"/>
        <v>0</v>
      </c>
      <c r="F466" s="3308"/>
      <c r="G466" s="3309">
        <f t="shared" si="240"/>
        <v>0</v>
      </c>
      <c r="H466" s="3310">
        <f t="shared" si="241"/>
        <v>0</v>
      </c>
      <c r="I466" s="3317"/>
      <c r="J466" s="3317"/>
      <c r="K466" s="3317"/>
      <c r="L466" s="3317"/>
      <c r="M466" s="3317"/>
      <c r="N466" s="3317"/>
      <c r="O466" s="3317"/>
      <c r="P466" s="3317"/>
      <c r="Q466" s="3317"/>
      <c r="R466" s="3317"/>
      <c r="S466" s="3317"/>
      <c r="T466" s="3317"/>
      <c r="U466" s="3317"/>
      <c r="V466" s="3317"/>
      <c r="W466" s="3317"/>
      <c r="X466" s="3317"/>
      <c r="Y466" s="3317"/>
      <c r="Z466" s="3317"/>
      <c r="AA466" s="3317"/>
      <c r="AB466" s="3317"/>
      <c r="AC466" s="3307">
        <f t="shared" si="242"/>
        <v>0</v>
      </c>
      <c r="AD466" s="3327"/>
      <c r="AE466" s="3327"/>
      <c r="AF466" s="3327"/>
      <c r="AG466" s="3327"/>
      <c r="AH466" s="3327"/>
      <c r="AI466" s="3327"/>
      <c r="AJ466" s="3327"/>
      <c r="AK466" s="3327"/>
      <c r="AL466" s="3327"/>
      <c r="AM466" s="3327"/>
      <c r="AN466" s="3327"/>
      <c r="AO466" s="3327"/>
      <c r="AP466" s="3327"/>
      <c r="AQ466" s="3327"/>
      <c r="AR466" s="3327"/>
      <c r="AS466" s="3327"/>
      <c r="AT466" s="3337"/>
      <c r="AU466" s="3338"/>
      <c r="AV466" s="1410">
        <f t="shared" si="243"/>
        <v>0</v>
      </c>
      <c r="AW466" s="1410">
        <f t="shared" si="244"/>
        <v>0</v>
      </c>
      <c r="AX466" s="1410">
        <f t="shared" si="245"/>
        <v>0</v>
      </c>
      <c r="AY466" s="3352">
        <f t="shared" si="246"/>
        <v>0</v>
      </c>
      <c r="AZ466" s="3307">
        <f t="shared" si="247"/>
        <v>0</v>
      </c>
      <c r="BA466" s="3307">
        <f t="shared" si="248"/>
        <v>0</v>
      </c>
      <c r="BB466" s="3307">
        <f t="shared" si="249"/>
        <v>0</v>
      </c>
      <c r="BC466" s="3307">
        <f t="shared" si="250"/>
        <v>0</v>
      </c>
      <c r="BD466" s="3307">
        <f t="shared" si="251"/>
        <v>0</v>
      </c>
      <c r="BE466" s="3307">
        <f t="shared" si="252"/>
        <v>0</v>
      </c>
      <c r="BF466" s="3307">
        <f t="shared" si="253"/>
        <v>0</v>
      </c>
      <c r="BG466" s="3307">
        <f t="shared" si="254"/>
        <v>0</v>
      </c>
      <c r="BH466" s="3307">
        <f t="shared" si="255"/>
        <v>0</v>
      </c>
      <c r="BI466" s="3307">
        <f t="shared" si="256"/>
        <v>0</v>
      </c>
      <c r="BJ466" s="3307">
        <f t="shared" si="257"/>
        <v>0</v>
      </c>
      <c r="BK466" s="3307">
        <f t="shared" si="258"/>
        <v>0</v>
      </c>
      <c r="BL466" s="3307">
        <f t="shared" si="259"/>
        <v>0</v>
      </c>
      <c r="BM466" s="3307">
        <f t="shared" si="260"/>
        <v>0</v>
      </c>
      <c r="BN466" s="3307">
        <f t="shared" si="261"/>
        <v>0</v>
      </c>
      <c r="BO466" s="3307">
        <f t="shared" si="262"/>
        <v>0</v>
      </c>
      <c r="BP466" s="3307">
        <f t="shared" si="263"/>
        <v>0</v>
      </c>
      <c r="BQ466" s="3307">
        <f t="shared" si="264"/>
        <v>0</v>
      </c>
      <c r="BR466" s="3307">
        <f t="shared" si="265"/>
        <v>0</v>
      </c>
      <c r="BS466" s="3307">
        <f t="shared" si="266"/>
        <v>0</v>
      </c>
      <c r="BT466" s="3359">
        <f t="shared" si="267"/>
        <v>0</v>
      </c>
    </row>
    <row r="467" spans="1:72">
      <c r="A467" s="3304"/>
      <c r="B467" s="3305"/>
      <c r="C467" s="3305"/>
      <c r="D467" s="3306"/>
      <c r="E467" s="3307">
        <f t="shared" si="239"/>
        <v>0</v>
      </c>
      <c r="F467" s="3308"/>
      <c r="G467" s="3309">
        <f t="shared" si="240"/>
        <v>0</v>
      </c>
      <c r="H467" s="3310">
        <f t="shared" si="241"/>
        <v>0</v>
      </c>
      <c r="I467" s="3317"/>
      <c r="J467" s="3317"/>
      <c r="K467" s="3317"/>
      <c r="L467" s="3317"/>
      <c r="M467" s="3317"/>
      <c r="N467" s="3317"/>
      <c r="O467" s="3317"/>
      <c r="P467" s="3317"/>
      <c r="Q467" s="3317"/>
      <c r="R467" s="3317"/>
      <c r="S467" s="3317"/>
      <c r="T467" s="3317"/>
      <c r="U467" s="3317"/>
      <c r="V467" s="3317"/>
      <c r="W467" s="3317"/>
      <c r="X467" s="3317"/>
      <c r="Y467" s="3317"/>
      <c r="Z467" s="3317"/>
      <c r="AA467" s="3317"/>
      <c r="AB467" s="3317"/>
      <c r="AC467" s="3307">
        <f t="shared" si="242"/>
        <v>0</v>
      </c>
      <c r="AD467" s="3327"/>
      <c r="AE467" s="3327"/>
      <c r="AF467" s="3327"/>
      <c r="AG467" s="3327"/>
      <c r="AH467" s="3327"/>
      <c r="AI467" s="3327"/>
      <c r="AJ467" s="3327"/>
      <c r="AK467" s="3327"/>
      <c r="AL467" s="3327"/>
      <c r="AM467" s="3327"/>
      <c r="AN467" s="3327"/>
      <c r="AO467" s="3327"/>
      <c r="AP467" s="3327"/>
      <c r="AQ467" s="3327"/>
      <c r="AR467" s="3327"/>
      <c r="AS467" s="3327"/>
      <c r="AT467" s="3337"/>
      <c r="AU467" s="3338"/>
      <c r="AV467" s="1410">
        <f t="shared" si="243"/>
        <v>0</v>
      </c>
      <c r="AW467" s="1410">
        <f t="shared" si="244"/>
        <v>0</v>
      </c>
      <c r="AX467" s="1410">
        <f t="shared" si="245"/>
        <v>0</v>
      </c>
      <c r="AY467" s="3352">
        <f t="shared" si="246"/>
        <v>0</v>
      </c>
      <c r="AZ467" s="3307">
        <f t="shared" si="247"/>
        <v>0</v>
      </c>
      <c r="BA467" s="3307">
        <f t="shared" si="248"/>
        <v>0</v>
      </c>
      <c r="BB467" s="3307">
        <f t="shared" si="249"/>
        <v>0</v>
      </c>
      <c r="BC467" s="3307">
        <f t="shared" si="250"/>
        <v>0</v>
      </c>
      <c r="BD467" s="3307">
        <f t="shared" si="251"/>
        <v>0</v>
      </c>
      <c r="BE467" s="3307">
        <f t="shared" si="252"/>
        <v>0</v>
      </c>
      <c r="BF467" s="3307">
        <f t="shared" si="253"/>
        <v>0</v>
      </c>
      <c r="BG467" s="3307">
        <f t="shared" si="254"/>
        <v>0</v>
      </c>
      <c r="BH467" s="3307">
        <f t="shared" si="255"/>
        <v>0</v>
      </c>
      <c r="BI467" s="3307">
        <f t="shared" si="256"/>
        <v>0</v>
      </c>
      <c r="BJ467" s="3307">
        <f t="shared" si="257"/>
        <v>0</v>
      </c>
      <c r="BK467" s="3307">
        <f t="shared" si="258"/>
        <v>0</v>
      </c>
      <c r="BL467" s="3307">
        <f t="shared" si="259"/>
        <v>0</v>
      </c>
      <c r="BM467" s="3307">
        <f t="shared" si="260"/>
        <v>0</v>
      </c>
      <c r="BN467" s="3307">
        <f t="shared" si="261"/>
        <v>0</v>
      </c>
      <c r="BO467" s="3307">
        <f t="shared" si="262"/>
        <v>0</v>
      </c>
      <c r="BP467" s="3307">
        <f t="shared" si="263"/>
        <v>0</v>
      </c>
      <c r="BQ467" s="3307">
        <f t="shared" si="264"/>
        <v>0</v>
      </c>
      <c r="BR467" s="3307">
        <f t="shared" si="265"/>
        <v>0</v>
      </c>
      <c r="BS467" s="3307">
        <f t="shared" si="266"/>
        <v>0</v>
      </c>
      <c r="BT467" s="3359">
        <f t="shared" si="267"/>
        <v>0</v>
      </c>
    </row>
    <row r="468" spans="1:72">
      <c r="A468" s="3304"/>
      <c r="B468" s="3305"/>
      <c r="C468" s="3305"/>
      <c r="D468" s="3306"/>
      <c r="E468" s="3307">
        <f t="shared" si="239"/>
        <v>0</v>
      </c>
      <c r="F468" s="3308"/>
      <c r="G468" s="3309">
        <f t="shared" si="240"/>
        <v>0</v>
      </c>
      <c r="H468" s="3310">
        <f t="shared" si="241"/>
        <v>0</v>
      </c>
      <c r="I468" s="3317"/>
      <c r="J468" s="3317"/>
      <c r="K468" s="3317"/>
      <c r="L468" s="3317"/>
      <c r="M468" s="3317"/>
      <c r="N468" s="3317"/>
      <c r="O468" s="3317"/>
      <c r="P468" s="3317"/>
      <c r="Q468" s="3317"/>
      <c r="R468" s="3317"/>
      <c r="S468" s="3317"/>
      <c r="T468" s="3317"/>
      <c r="U468" s="3317"/>
      <c r="V468" s="3317"/>
      <c r="W468" s="3317"/>
      <c r="X468" s="3317"/>
      <c r="Y468" s="3317"/>
      <c r="Z468" s="3317"/>
      <c r="AA468" s="3317"/>
      <c r="AB468" s="3317"/>
      <c r="AC468" s="3307">
        <f t="shared" si="242"/>
        <v>0</v>
      </c>
      <c r="AD468" s="3327"/>
      <c r="AE468" s="3327"/>
      <c r="AF468" s="3327"/>
      <c r="AG468" s="3327"/>
      <c r="AH468" s="3327"/>
      <c r="AI468" s="3327"/>
      <c r="AJ468" s="3327"/>
      <c r="AK468" s="3327"/>
      <c r="AL468" s="3327"/>
      <c r="AM468" s="3327"/>
      <c r="AN468" s="3327"/>
      <c r="AO468" s="3327"/>
      <c r="AP468" s="3327"/>
      <c r="AQ468" s="3327"/>
      <c r="AR468" s="3327"/>
      <c r="AS468" s="3327"/>
      <c r="AT468" s="3337"/>
      <c r="AU468" s="3338"/>
      <c r="AV468" s="1410">
        <f t="shared" si="243"/>
        <v>0</v>
      </c>
      <c r="AW468" s="1410">
        <f t="shared" si="244"/>
        <v>0</v>
      </c>
      <c r="AX468" s="1410">
        <f t="shared" si="245"/>
        <v>0</v>
      </c>
      <c r="AY468" s="3352">
        <f t="shared" si="246"/>
        <v>0</v>
      </c>
      <c r="AZ468" s="3307">
        <f t="shared" si="247"/>
        <v>0</v>
      </c>
      <c r="BA468" s="3307">
        <f t="shared" si="248"/>
        <v>0</v>
      </c>
      <c r="BB468" s="3307">
        <f t="shared" si="249"/>
        <v>0</v>
      </c>
      <c r="BC468" s="3307">
        <f t="shared" si="250"/>
        <v>0</v>
      </c>
      <c r="BD468" s="3307">
        <f t="shared" si="251"/>
        <v>0</v>
      </c>
      <c r="BE468" s="3307">
        <f t="shared" si="252"/>
        <v>0</v>
      </c>
      <c r="BF468" s="3307">
        <f t="shared" si="253"/>
        <v>0</v>
      </c>
      <c r="BG468" s="3307">
        <f t="shared" si="254"/>
        <v>0</v>
      </c>
      <c r="BH468" s="3307">
        <f t="shared" si="255"/>
        <v>0</v>
      </c>
      <c r="BI468" s="3307">
        <f t="shared" si="256"/>
        <v>0</v>
      </c>
      <c r="BJ468" s="3307">
        <f t="shared" si="257"/>
        <v>0</v>
      </c>
      <c r="BK468" s="3307">
        <f t="shared" si="258"/>
        <v>0</v>
      </c>
      <c r="BL468" s="3307">
        <f t="shared" si="259"/>
        <v>0</v>
      </c>
      <c r="BM468" s="3307">
        <f t="shared" si="260"/>
        <v>0</v>
      </c>
      <c r="BN468" s="3307">
        <f t="shared" si="261"/>
        <v>0</v>
      </c>
      <c r="BO468" s="3307">
        <f t="shared" si="262"/>
        <v>0</v>
      </c>
      <c r="BP468" s="3307">
        <f t="shared" si="263"/>
        <v>0</v>
      </c>
      <c r="BQ468" s="3307">
        <f t="shared" si="264"/>
        <v>0</v>
      </c>
      <c r="BR468" s="3307">
        <f t="shared" si="265"/>
        <v>0</v>
      </c>
      <c r="BS468" s="3307">
        <f t="shared" si="266"/>
        <v>0</v>
      </c>
      <c r="BT468" s="3359">
        <f t="shared" si="267"/>
        <v>0</v>
      </c>
    </row>
    <row r="469" spans="1:72">
      <c r="A469" s="3304"/>
      <c r="B469" s="3305"/>
      <c r="C469" s="3305"/>
      <c r="D469" s="3306"/>
      <c r="E469" s="3307">
        <f t="shared" si="239"/>
        <v>0</v>
      </c>
      <c r="F469" s="3308"/>
      <c r="G469" s="3309">
        <f t="shared" si="240"/>
        <v>0</v>
      </c>
      <c r="H469" s="3310">
        <f t="shared" si="241"/>
        <v>0</v>
      </c>
      <c r="I469" s="3317"/>
      <c r="J469" s="3317"/>
      <c r="K469" s="3317"/>
      <c r="L469" s="3317"/>
      <c r="M469" s="3317"/>
      <c r="N469" s="3317"/>
      <c r="O469" s="3317"/>
      <c r="P469" s="3317"/>
      <c r="Q469" s="3317"/>
      <c r="R469" s="3317"/>
      <c r="S469" s="3317"/>
      <c r="T469" s="3317"/>
      <c r="U469" s="3317"/>
      <c r="V469" s="3317"/>
      <c r="W469" s="3317"/>
      <c r="X469" s="3317"/>
      <c r="Y469" s="3317"/>
      <c r="Z469" s="3317"/>
      <c r="AA469" s="3317"/>
      <c r="AB469" s="3317"/>
      <c r="AC469" s="3307">
        <f t="shared" si="242"/>
        <v>0</v>
      </c>
      <c r="AD469" s="3327"/>
      <c r="AE469" s="3327"/>
      <c r="AF469" s="3327"/>
      <c r="AG469" s="3327"/>
      <c r="AH469" s="3327"/>
      <c r="AI469" s="3327"/>
      <c r="AJ469" s="3327"/>
      <c r="AK469" s="3327"/>
      <c r="AL469" s="3327"/>
      <c r="AM469" s="3327"/>
      <c r="AN469" s="3327"/>
      <c r="AO469" s="3327"/>
      <c r="AP469" s="3327"/>
      <c r="AQ469" s="3327"/>
      <c r="AR469" s="3327"/>
      <c r="AS469" s="3327"/>
      <c r="AT469" s="3337"/>
      <c r="AU469" s="3338"/>
      <c r="AV469" s="1410">
        <f t="shared" si="243"/>
        <v>0</v>
      </c>
      <c r="AW469" s="1410">
        <f t="shared" si="244"/>
        <v>0</v>
      </c>
      <c r="AX469" s="1410">
        <f t="shared" si="245"/>
        <v>0</v>
      </c>
      <c r="AY469" s="3352">
        <f t="shared" si="246"/>
        <v>0</v>
      </c>
      <c r="AZ469" s="3307">
        <f t="shared" si="247"/>
        <v>0</v>
      </c>
      <c r="BA469" s="3307">
        <f t="shared" si="248"/>
        <v>0</v>
      </c>
      <c r="BB469" s="3307">
        <f t="shared" si="249"/>
        <v>0</v>
      </c>
      <c r="BC469" s="3307">
        <f t="shared" si="250"/>
        <v>0</v>
      </c>
      <c r="BD469" s="3307">
        <f t="shared" si="251"/>
        <v>0</v>
      </c>
      <c r="BE469" s="3307">
        <f t="shared" si="252"/>
        <v>0</v>
      </c>
      <c r="BF469" s="3307">
        <f t="shared" si="253"/>
        <v>0</v>
      </c>
      <c r="BG469" s="3307">
        <f t="shared" si="254"/>
        <v>0</v>
      </c>
      <c r="BH469" s="3307">
        <f t="shared" si="255"/>
        <v>0</v>
      </c>
      <c r="BI469" s="3307">
        <f t="shared" si="256"/>
        <v>0</v>
      </c>
      <c r="BJ469" s="3307">
        <f t="shared" si="257"/>
        <v>0</v>
      </c>
      <c r="BK469" s="3307">
        <f t="shared" si="258"/>
        <v>0</v>
      </c>
      <c r="BL469" s="3307">
        <f t="shared" si="259"/>
        <v>0</v>
      </c>
      <c r="BM469" s="3307">
        <f t="shared" si="260"/>
        <v>0</v>
      </c>
      <c r="BN469" s="3307">
        <f t="shared" si="261"/>
        <v>0</v>
      </c>
      <c r="BO469" s="3307">
        <f t="shared" si="262"/>
        <v>0</v>
      </c>
      <c r="BP469" s="3307">
        <f t="shared" si="263"/>
        <v>0</v>
      </c>
      <c r="BQ469" s="3307">
        <f t="shared" si="264"/>
        <v>0</v>
      </c>
      <c r="BR469" s="3307">
        <f t="shared" si="265"/>
        <v>0</v>
      </c>
      <c r="BS469" s="3307">
        <f t="shared" si="266"/>
        <v>0</v>
      </c>
      <c r="BT469" s="3359">
        <f t="shared" si="267"/>
        <v>0</v>
      </c>
    </row>
    <row r="470" spans="1:72">
      <c r="A470" s="3304"/>
      <c r="B470" s="3305"/>
      <c r="C470" s="3305"/>
      <c r="D470" s="3306"/>
      <c r="E470" s="3307">
        <f t="shared" si="239"/>
        <v>0</v>
      </c>
      <c r="F470" s="3308"/>
      <c r="G470" s="3309">
        <f t="shared" si="240"/>
        <v>0</v>
      </c>
      <c r="H470" s="3310">
        <f t="shared" si="241"/>
        <v>0</v>
      </c>
      <c r="I470" s="3317"/>
      <c r="J470" s="3317"/>
      <c r="K470" s="3317"/>
      <c r="L470" s="3317"/>
      <c r="M470" s="3317"/>
      <c r="N470" s="3317"/>
      <c r="O470" s="3317"/>
      <c r="P470" s="3317"/>
      <c r="Q470" s="3317"/>
      <c r="R470" s="3317"/>
      <c r="S470" s="3317"/>
      <c r="T470" s="3317"/>
      <c r="U470" s="3317"/>
      <c r="V470" s="3317"/>
      <c r="W470" s="3317"/>
      <c r="X470" s="3317"/>
      <c r="Y470" s="3317"/>
      <c r="Z470" s="3317"/>
      <c r="AA470" s="3317"/>
      <c r="AB470" s="3317"/>
      <c r="AC470" s="3307">
        <f t="shared" si="242"/>
        <v>0</v>
      </c>
      <c r="AD470" s="3327"/>
      <c r="AE470" s="3327"/>
      <c r="AF470" s="3327"/>
      <c r="AG470" s="3327"/>
      <c r="AH470" s="3327"/>
      <c r="AI470" s="3327"/>
      <c r="AJ470" s="3327"/>
      <c r="AK470" s="3327"/>
      <c r="AL470" s="3327"/>
      <c r="AM470" s="3327"/>
      <c r="AN470" s="3327"/>
      <c r="AO470" s="3327"/>
      <c r="AP470" s="3327"/>
      <c r="AQ470" s="3327"/>
      <c r="AR470" s="3327"/>
      <c r="AS470" s="3327"/>
      <c r="AT470" s="3337"/>
      <c r="AU470" s="3338"/>
      <c r="AV470" s="1410">
        <f t="shared" si="243"/>
        <v>0</v>
      </c>
      <c r="AW470" s="1410">
        <f t="shared" si="244"/>
        <v>0</v>
      </c>
      <c r="AX470" s="1410">
        <f t="shared" si="245"/>
        <v>0</v>
      </c>
      <c r="AY470" s="3352">
        <f t="shared" si="246"/>
        <v>0</v>
      </c>
      <c r="AZ470" s="3307">
        <f t="shared" si="247"/>
        <v>0</v>
      </c>
      <c r="BA470" s="3307">
        <f t="shared" si="248"/>
        <v>0</v>
      </c>
      <c r="BB470" s="3307">
        <f t="shared" si="249"/>
        <v>0</v>
      </c>
      <c r="BC470" s="3307">
        <f t="shared" si="250"/>
        <v>0</v>
      </c>
      <c r="BD470" s="3307">
        <f t="shared" si="251"/>
        <v>0</v>
      </c>
      <c r="BE470" s="3307">
        <f t="shared" si="252"/>
        <v>0</v>
      </c>
      <c r="BF470" s="3307">
        <f t="shared" si="253"/>
        <v>0</v>
      </c>
      <c r="BG470" s="3307">
        <f t="shared" si="254"/>
        <v>0</v>
      </c>
      <c r="BH470" s="3307">
        <f t="shared" si="255"/>
        <v>0</v>
      </c>
      <c r="BI470" s="3307">
        <f t="shared" si="256"/>
        <v>0</v>
      </c>
      <c r="BJ470" s="3307">
        <f t="shared" si="257"/>
        <v>0</v>
      </c>
      <c r="BK470" s="3307">
        <f t="shared" si="258"/>
        <v>0</v>
      </c>
      <c r="BL470" s="3307">
        <f t="shared" si="259"/>
        <v>0</v>
      </c>
      <c r="BM470" s="3307">
        <f t="shared" si="260"/>
        <v>0</v>
      </c>
      <c r="BN470" s="3307">
        <f t="shared" si="261"/>
        <v>0</v>
      </c>
      <c r="BO470" s="3307">
        <f t="shared" si="262"/>
        <v>0</v>
      </c>
      <c r="BP470" s="3307">
        <f t="shared" si="263"/>
        <v>0</v>
      </c>
      <c r="BQ470" s="3307">
        <f t="shared" si="264"/>
        <v>0</v>
      </c>
      <c r="BR470" s="3307">
        <f t="shared" si="265"/>
        <v>0</v>
      </c>
      <c r="BS470" s="3307">
        <f t="shared" si="266"/>
        <v>0</v>
      </c>
      <c r="BT470" s="3359">
        <f t="shared" si="267"/>
        <v>0</v>
      </c>
    </row>
    <row r="471" spans="1:72">
      <c r="A471" s="3304"/>
      <c r="B471" s="3305"/>
      <c r="C471" s="3305"/>
      <c r="D471" s="3306"/>
      <c r="E471" s="3307">
        <f t="shared" si="239"/>
        <v>0</v>
      </c>
      <c r="F471" s="3308"/>
      <c r="G471" s="3309">
        <f t="shared" si="240"/>
        <v>0</v>
      </c>
      <c r="H471" s="3310">
        <f t="shared" si="241"/>
        <v>0</v>
      </c>
      <c r="I471" s="3317"/>
      <c r="J471" s="3317"/>
      <c r="K471" s="3317"/>
      <c r="L471" s="3317"/>
      <c r="M471" s="3317"/>
      <c r="N471" s="3317"/>
      <c r="O471" s="3317"/>
      <c r="P471" s="3317"/>
      <c r="Q471" s="3317"/>
      <c r="R471" s="3317"/>
      <c r="S471" s="3317"/>
      <c r="T471" s="3317"/>
      <c r="U471" s="3317"/>
      <c r="V471" s="3317"/>
      <c r="W471" s="3317"/>
      <c r="X471" s="3317"/>
      <c r="Y471" s="3317"/>
      <c r="Z471" s="3317"/>
      <c r="AA471" s="3317"/>
      <c r="AB471" s="3317"/>
      <c r="AC471" s="3307">
        <f t="shared" si="242"/>
        <v>0</v>
      </c>
      <c r="AD471" s="3327"/>
      <c r="AE471" s="3327"/>
      <c r="AF471" s="3327"/>
      <c r="AG471" s="3327"/>
      <c r="AH471" s="3327"/>
      <c r="AI471" s="3327"/>
      <c r="AJ471" s="3327"/>
      <c r="AK471" s="3327"/>
      <c r="AL471" s="3327"/>
      <c r="AM471" s="3327"/>
      <c r="AN471" s="3327"/>
      <c r="AO471" s="3327"/>
      <c r="AP471" s="3327"/>
      <c r="AQ471" s="3327"/>
      <c r="AR471" s="3327"/>
      <c r="AS471" s="3327"/>
      <c r="AT471" s="3337"/>
      <c r="AU471" s="3338"/>
      <c r="AV471" s="1410">
        <f t="shared" si="243"/>
        <v>0</v>
      </c>
      <c r="AW471" s="1410">
        <f t="shared" si="244"/>
        <v>0</v>
      </c>
      <c r="AX471" s="1410">
        <f t="shared" si="245"/>
        <v>0</v>
      </c>
      <c r="AY471" s="3352">
        <f t="shared" si="246"/>
        <v>0</v>
      </c>
      <c r="AZ471" s="3307">
        <f t="shared" si="247"/>
        <v>0</v>
      </c>
      <c r="BA471" s="3307">
        <f t="shared" si="248"/>
        <v>0</v>
      </c>
      <c r="BB471" s="3307">
        <f t="shared" si="249"/>
        <v>0</v>
      </c>
      <c r="BC471" s="3307">
        <f t="shared" si="250"/>
        <v>0</v>
      </c>
      <c r="BD471" s="3307">
        <f t="shared" si="251"/>
        <v>0</v>
      </c>
      <c r="BE471" s="3307">
        <f t="shared" si="252"/>
        <v>0</v>
      </c>
      <c r="BF471" s="3307">
        <f t="shared" si="253"/>
        <v>0</v>
      </c>
      <c r="BG471" s="3307">
        <f t="shared" si="254"/>
        <v>0</v>
      </c>
      <c r="BH471" s="3307">
        <f t="shared" si="255"/>
        <v>0</v>
      </c>
      <c r="BI471" s="3307">
        <f t="shared" si="256"/>
        <v>0</v>
      </c>
      <c r="BJ471" s="3307">
        <f t="shared" si="257"/>
        <v>0</v>
      </c>
      <c r="BK471" s="3307">
        <f t="shared" si="258"/>
        <v>0</v>
      </c>
      <c r="BL471" s="3307">
        <f t="shared" si="259"/>
        <v>0</v>
      </c>
      <c r="BM471" s="3307">
        <f t="shared" si="260"/>
        <v>0</v>
      </c>
      <c r="BN471" s="3307">
        <f t="shared" si="261"/>
        <v>0</v>
      </c>
      <c r="BO471" s="3307">
        <f t="shared" si="262"/>
        <v>0</v>
      </c>
      <c r="BP471" s="3307">
        <f t="shared" si="263"/>
        <v>0</v>
      </c>
      <c r="BQ471" s="3307">
        <f t="shared" si="264"/>
        <v>0</v>
      </c>
      <c r="BR471" s="3307">
        <f t="shared" si="265"/>
        <v>0</v>
      </c>
      <c r="BS471" s="3307">
        <f t="shared" si="266"/>
        <v>0</v>
      </c>
      <c r="BT471" s="3359">
        <f t="shared" si="267"/>
        <v>0</v>
      </c>
    </row>
    <row r="472" spans="1:72">
      <c r="A472" s="3304"/>
      <c r="B472" s="3305"/>
      <c r="C472" s="3305"/>
      <c r="D472" s="3306"/>
      <c r="E472" s="3307">
        <f t="shared" si="239"/>
        <v>0</v>
      </c>
      <c r="F472" s="3308"/>
      <c r="G472" s="3309">
        <f t="shared" si="240"/>
        <v>0</v>
      </c>
      <c r="H472" s="3310">
        <f t="shared" si="241"/>
        <v>0</v>
      </c>
      <c r="I472" s="3317"/>
      <c r="J472" s="3317"/>
      <c r="K472" s="3317"/>
      <c r="L472" s="3317"/>
      <c r="M472" s="3317"/>
      <c r="N472" s="3317"/>
      <c r="O472" s="3317"/>
      <c r="P472" s="3317"/>
      <c r="Q472" s="3317"/>
      <c r="R472" s="3317"/>
      <c r="S472" s="3317"/>
      <c r="T472" s="3317"/>
      <c r="U472" s="3317"/>
      <c r="V472" s="3317"/>
      <c r="W472" s="3317"/>
      <c r="X472" s="3317"/>
      <c r="Y472" s="3317"/>
      <c r="Z472" s="3317"/>
      <c r="AA472" s="3317"/>
      <c r="AB472" s="3317"/>
      <c r="AC472" s="3307">
        <f t="shared" si="242"/>
        <v>0</v>
      </c>
      <c r="AD472" s="3327"/>
      <c r="AE472" s="3327"/>
      <c r="AF472" s="3327"/>
      <c r="AG472" s="3327"/>
      <c r="AH472" s="3327"/>
      <c r="AI472" s="3327"/>
      <c r="AJ472" s="3327"/>
      <c r="AK472" s="3327"/>
      <c r="AL472" s="3327"/>
      <c r="AM472" s="3327"/>
      <c r="AN472" s="3327"/>
      <c r="AO472" s="3327"/>
      <c r="AP472" s="3327"/>
      <c r="AQ472" s="3327"/>
      <c r="AR472" s="3327"/>
      <c r="AS472" s="3327"/>
      <c r="AT472" s="3337"/>
      <c r="AU472" s="3338"/>
      <c r="AV472" s="1410">
        <f t="shared" si="243"/>
        <v>0</v>
      </c>
      <c r="AW472" s="1410">
        <f t="shared" si="244"/>
        <v>0</v>
      </c>
      <c r="AX472" s="1410">
        <f t="shared" si="245"/>
        <v>0</v>
      </c>
      <c r="AY472" s="3352">
        <f t="shared" si="246"/>
        <v>0</v>
      </c>
      <c r="AZ472" s="3307">
        <f t="shared" si="247"/>
        <v>0</v>
      </c>
      <c r="BA472" s="3307">
        <f t="shared" si="248"/>
        <v>0</v>
      </c>
      <c r="BB472" s="3307">
        <f t="shared" si="249"/>
        <v>0</v>
      </c>
      <c r="BC472" s="3307">
        <f t="shared" si="250"/>
        <v>0</v>
      </c>
      <c r="BD472" s="3307">
        <f t="shared" si="251"/>
        <v>0</v>
      </c>
      <c r="BE472" s="3307">
        <f t="shared" si="252"/>
        <v>0</v>
      </c>
      <c r="BF472" s="3307">
        <f t="shared" si="253"/>
        <v>0</v>
      </c>
      <c r="BG472" s="3307">
        <f t="shared" si="254"/>
        <v>0</v>
      </c>
      <c r="BH472" s="3307">
        <f t="shared" si="255"/>
        <v>0</v>
      </c>
      <c r="BI472" s="3307">
        <f t="shared" si="256"/>
        <v>0</v>
      </c>
      <c r="BJ472" s="3307">
        <f t="shared" si="257"/>
        <v>0</v>
      </c>
      <c r="BK472" s="3307">
        <f t="shared" si="258"/>
        <v>0</v>
      </c>
      <c r="BL472" s="3307">
        <f t="shared" si="259"/>
        <v>0</v>
      </c>
      <c r="BM472" s="3307">
        <f t="shared" si="260"/>
        <v>0</v>
      </c>
      <c r="BN472" s="3307">
        <f t="shared" si="261"/>
        <v>0</v>
      </c>
      <c r="BO472" s="3307">
        <f t="shared" si="262"/>
        <v>0</v>
      </c>
      <c r="BP472" s="3307">
        <f t="shared" si="263"/>
        <v>0</v>
      </c>
      <c r="BQ472" s="3307">
        <f t="shared" si="264"/>
        <v>0</v>
      </c>
      <c r="BR472" s="3307">
        <f t="shared" si="265"/>
        <v>0</v>
      </c>
      <c r="BS472" s="3307">
        <f t="shared" si="266"/>
        <v>0</v>
      </c>
      <c r="BT472" s="3359">
        <f t="shared" si="267"/>
        <v>0</v>
      </c>
    </row>
    <row r="473" spans="1:72">
      <c r="A473" s="3304"/>
      <c r="B473" s="3305"/>
      <c r="C473" s="3305"/>
      <c r="D473" s="3306"/>
      <c r="E473" s="3307">
        <f t="shared" si="239"/>
        <v>0</v>
      </c>
      <c r="F473" s="3308"/>
      <c r="G473" s="3309">
        <f t="shared" si="240"/>
        <v>0</v>
      </c>
      <c r="H473" s="3310">
        <f t="shared" si="241"/>
        <v>0</v>
      </c>
      <c r="I473" s="3317"/>
      <c r="J473" s="3317"/>
      <c r="K473" s="3317"/>
      <c r="L473" s="3317"/>
      <c r="M473" s="3317"/>
      <c r="N473" s="3317"/>
      <c r="O473" s="3317"/>
      <c r="P473" s="3317"/>
      <c r="Q473" s="3317"/>
      <c r="R473" s="3317"/>
      <c r="S473" s="3317"/>
      <c r="T473" s="3317"/>
      <c r="U473" s="3317"/>
      <c r="V473" s="3317"/>
      <c r="W473" s="3317"/>
      <c r="X473" s="3317"/>
      <c r="Y473" s="3317"/>
      <c r="Z473" s="3317"/>
      <c r="AA473" s="3317"/>
      <c r="AB473" s="3317"/>
      <c r="AC473" s="3307">
        <f t="shared" si="242"/>
        <v>0</v>
      </c>
      <c r="AD473" s="3327"/>
      <c r="AE473" s="3327"/>
      <c r="AF473" s="3327"/>
      <c r="AG473" s="3327"/>
      <c r="AH473" s="3327"/>
      <c r="AI473" s="3327"/>
      <c r="AJ473" s="3327"/>
      <c r="AK473" s="3327"/>
      <c r="AL473" s="3327"/>
      <c r="AM473" s="3327"/>
      <c r="AN473" s="3327"/>
      <c r="AO473" s="3327"/>
      <c r="AP473" s="3327"/>
      <c r="AQ473" s="3327"/>
      <c r="AR473" s="3327"/>
      <c r="AS473" s="3327"/>
      <c r="AT473" s="3337"/>
      <c r="AU473" s="3338"/>
      <c r="AV473" s="1410">
        <f t="shared" si="243"/>
        <v>0</v>
      </c>
      <c r="AW473" s="1410">
        <f t="shared" si="244"/>
        <v>0</v>
      </c>
      <c r="AX473" s="1410">
        <f t="shared" si="245"/>
        <v>0</v>
      </c>
      <c r="AY473" s="3352">
        <f t="shared" si="246"/>
        <v>0</v>
      </c>
      <c r="AZ473" s="3307">
        <f t="shared" si="247"/>
        <v>0</v>
      </c>
      <c r="BA473" s="3307">
        <f t="shared" si="248"/>
        <v>0</v>
      </c>
      <c r="BB473" s="3307">
        <f t="shared" si="249"/>
        <v>0</v>
      </c>
      <c r="BC473" s="3307">
        <f t="shared" si="250"/>
        <v>0</v>
      </c>
      <c r="BD473" s="3307">
        <f t="shared" si="251"/>
        <v>0</v>
      </c>
      <c r="BE473" s="3307">
        <f t="shared" si="252"/>
        <v>0</v>
      </c>
      <c r="BF473" s="3307">
        <f t="shared" si="253"/>
        <v>0</v>
      </c>
      <c r="BG473" s="3307">
        <f t="shared" si="254"/>
        <v>0</v>
      </c>
      <c r="BH473" s="3307">
        <f t="shared" si="255"/>
        <v>0</v>
      </c>
      <c r="BI473" s="3307">
        <f t="shared" si="256"/>
        <v>0</v>
      </c>
      <c r="BJ473" s="3307">
        <f t="shared" si="257"/>
        <v>0</v>
      </c>
      <c r="BK473" s="3307">
        <f t="shared" si="258"/>
        <v>0</v>
      </c>
      <c r="BL473" s="3307">
        <f t="shared" si="259"/>
        <v>0</v>
      </c>
      <c r="BM473" s="3307">
        <f t="shared" si="260"/>
        <v>0</v>
      </c>
      <c r="BN473" s="3307">
        <f t="shared" si="261"/>
        <v>0</v>
      </c>
      <c r="BO473" s="3307">
        <f t="shared" si="262"/>
        <v>0</v>
      </c>
      <c r="BP473" s="3307">
        <f t="shared" si="263"/>
        <v>0</v>
      </c>
      <c r="BQ473" s="3307">
        <f t="shared" si="264"/>
        <v>0</v>
      </c>
      <c r="BR473" s="3307">
        <f t="shared" si="265"/>
        <v>0</v>
      </c>
      <c r="BS473" s="3307">
        <f t="shared" si="266"/>
        <v>0</v>
      </c>
      <c r="BT473" s="3359">
        <f t="shared" si="267"/>
        <v>0</v>
      </c>
    </row>
    <row r="474" spans="1:72">
      <c r="A474" s="3304"/>
      <c r="B474" s="3305"/>
      <c r="C474" s="3305"/>
      <c r="D474" s="3306"/>
      <c r="E474" s="3307">
        <f t="shared" si="239"/>
        <v>0</v>
      </c>
      <c r="F474" s="3308"/>
      <c r="G474" s="3309">
        <f t="shared" si="240"/>
        <v>0</v>
      </c>
      <c r="H474" s="3310">
        <f t="shared" si="241"/>
        <v>0</v>
      </c>
      <c r="I474" s="3317"/>
      <c r="J474" s="3317"/>
      <c r="K474" s="3317"/>
      <c r="L474" s="3317"/>
      <c r="M474" s="3317"/>
      <c r="N474" s="3317"/>
      <c r="O474" s="3317"/>
      <c r="P474" s="3317"/>
      <c r="Q474" s="3317"/>
      <c r="R474" s="3317"/>
      <c r="S474" s="3317"/>
      <c r="T474" s="3317"/>
      <c r="U474" s="3317"/>
      <c r="V474" s="3317"/>
      <c r="W474" s="3317"/>
      <c r="X474" s="3317"/>
      <c r="Y474" s="3317"/>
      <c r="Z474" s="3317"/>
      <c r="AA474" s="3317"/>
      <c r="AB474" s="3317"/>
      <c r="AC474" s="3307">
        <f t="shared" si="242"/>
        <v>0</v>
      </c>
      <c r="AD474" s="3327"/>
      <c r="AE474" s="3327"/>
      <c r="AF474" s="3327"/>
      <c r="AG474" s="3327"/>
      <c r="AH474" s="3327"/>
      <c r="AI474" s="3327"/>
      <c r="AJ474" s="3327"/>
      <c r="AK474" s="3327"/>
      <c r="AL474" s="3327"/>
      <c r="AM474" s="3327"/>
      <c r="AN474" s="3327"/>
      <c r="AO474" s="3327"/>
      <c r="AP474" s="3327"/>
      <c r="AQ474" s="3327"/>
      <c r="AR474" s="3327"/>
      <c r="AS474" s="3327"/>
      <c r="AT474" s="3337"/>
      <c r="AU474" s="3338"/>
      <c r="AV474" s="1410">
        <f t="shared" si="243"/>
        <v>0</v>
      </c>
      <c r="AW474" s="1410">
        <f t="shared" si="244"/>
        <v>0</v>
      </c>
      <c r="AX474" s="1410">
        <f t="shared" si="245"/>
        <v>0</v>
      </c>
      <c r="AY474" s="3352">
        <f t="shared" si="246"/>
        <v>0</v>
      </c>
      <c r="AZ474" s="3307">
        <f t="shared" si="247"/>
        <v>0</v>
      </c>
      <c r="BA474" s="3307">
        <f t="shared" si="248"/>
        <v>0</v>
      </c>
      <c r="BB474" s="3307">
        <f t="shared" si="249"/>
        <v>0</v>
      </c>
      <c r="BC474" s="3307">
        <f t="shared" si="250"/>
        <v>0</v>
      </c>
      <c r="BD474" s="3307">
        <f t="shared" si="251"/>
        <v>0</v>
      </c>
      <c r="BE474" s="3307">
        <f t="shared" si="252"/>
        <v>0</v>
      </c>
      <c r="BF474" s="3307">
        <f t="shared" si="253"/>
        <v>0</v>
      </c>
      <c r="BG474" s="3307">
        <f t="shared" si="254"/>
        <v>0</v>
      </c>
      <c r="BH474" s="3307">
        <f t="shared" si="255"/>
        <v>0</v>
      </c>
      <c r="BI474" s="3307">
        <f t="shared" si="256"/>
        <v>0</v>
      </c>
      <c r="BJ474" s="3307">
        <f t="shared" si="257"/>
        <v>0</v>
      </c>
      <c r="BK474" s="3307">
        <f t="shared" si="258"/>
        <v>0</v>
      </c>
      <c r="BL474" s="3307">
        <f t="shared" si="259"/>
        <v>0</v>
      </c>
      <c r="BM474" s="3307">
        <f t="shared" si="260"/>
        <v>0</v>
      </c>
      <c r="BN474" s="3307">
        <f t="shared" si="261"/>
        <v>0</v>
      </c>
      <c r="BO474" s="3307">
        <f t="shared" si="262"/>
        <v>0</v>
      </c>
      <c r="BP474" s="3307">
        <f t="shared" si="263"/>
        <v>0</v>
      </c>
      <c r="BQ474" s="3307">
        <f t="shared" si="264"/>
        <v>0</v>
      </c>
      <c r="BR474" s="3307">
        <f t="shared" si="265"/>
        <v>0</v>
      </c>
      <c r="BS474" s="3307">
        <f t="shared" si="266"/>
        <v>0</v>
      </c>
      <c r="BT474" s="3359">
        <f t="shared" si="267"/>
        <v>0</v>
      </c>
    </row>
    <row r="475" spans="1:72">
      <c r="A475" s="3304"/>
      <c r="B475" s="3305"/>
      <c r="C475" s="3305"/>
      <c r="D475" s="3306"/>
      <c r="E475" s="3307">
        <f t="shared" si="239"/>
        <v>0</v>
      </c>
      <c r="F475" s="3308"/>
      <c r="G475" s="3309">
        <f t="shared" si="240"/>
        <v>0</v>
      </c>
      <c r="H475" s="3310">
        <f t="shared" si="241"/>
        <v>0</v>
      </c>
      <c r="I475" s="3317"/>
      <c r="J475" s="3317"/>
      <c r="K475" s="3317"/>
      <c r="L475" s="3317"/>
      <c r="M475" s="3317"/>
      <c r="N475" s="3317"/>
      <c r="O475" s="3317"/>
      <c r="P475" s="3317"/>
      <c r="Q475" s="3317"/>
      <c r="R475" s="3317"/>
      <c r="S475" s="3317"/>
      <c r="T475" s="3317"/>
      <c r="U475" s="3317"/>
      <c r="V475" s="3317"/>
      <c r="W475" s="3317"/>
      <c r="X475" s="3317"/>
      <c r="Y475" s="3317"/>
      <c r="Z475" s="3317"/>
      <c r="AA475" s="3317"/>
      <c r="AB475" s="3317"/>
      <c r="AC475" s="3307">
        <f t="shared" si="242"/>
        <v>0</v>
      </c>
      <c r="AD475" s="3327"/>
      <c r="AE475" s="3327"/>
      <c r="AF475" s="3327"/>
      <c r="AG475" s="3327"/>
      <c r="AH475" s="3327"/>
      <c r="AI475" s="3327"/>
      <c r="AJ475" s="3327"/>
      <c r="AK475" s="3327"/>
      <c r="AL475" s="3327"/>
      <c r="AM475" s="3327"/>
      <c r="AN475" s="3327"/>
      <c r="AO475" s="3327"/>
      <c r="AP475" s="3327"/>
      <c r="AQ475" s="3327"/>
      <c r="AR475" s="3327"/>
      <c r="AS475" s="3327"/>
      <c r="AT475" s="3337"/>
      <c r="AU475" s="3338"/>
      <c r="AV475" s="1410">
        <f t="shared" si="243"/>
        <v>0</v>
      </c>
      <c r="AW475" s="1410">
        <f t="shared" si="244"/>
        <v>0</v>
      </c>
      <c r="AX475" s="1410">
        <f t="shared" si="245"/>
        <v>0</v>
      </c>
      <c r="AY475" s="3352">
        <f t="shared" si="246"/>
        <v>0</v>
      </c>
      <c r="AZ475" s="3307">
        <f t="shared" si="247"/>
        <v>0</v>
      </c>
      <c r="BA475" s="3307">
        <f t="shared" si="248"/>
        <v>0</v>
      </c>
      <c r="BB475" s="3307">
        <f t="shared" si="249"/>
        <v>0</v>
      </c>
      <c r="BC475" s="3307">
        <f t="shared" si="250"/>
        <v>0</v>
      </c>
      <c r="BD475" s="3307">
        <f t="shared" si="251"/>
        <v>0</v>
      </c>
      <c r="BE475" s="3307">
        <f t="shared" si="252"/>
        <v>0</v>
      </c>
      <c r="BF475" s="3307">
        <f t="shared" si="253"/>
        <v>0</v>
      </c>
      <c r="BG475" s="3307">
        <f t="shared" si="254"/>
        <v>0</v>
      </c>
      <c r="BH475" s="3307">
        <f t="shared" si="255"/>
        <v>0</v>
      </c>
      <c r="BI475" s="3307">
        <f t="shared" si="256"/>
        <v>0</v>
      </c>
      <c r="BJ475" s="3307">
        <f t="shared" si="257"/>
        <v>0</v>
      </c>
      <c r="BK475" s="3307">
        <f t="shared" si="258"/>
        <v>0</v>
      </c>
      <c r="BL475" s="3307">
        <f t="shared" si="259"/>
        <v>0</v>
      </c>
      <c r="BM475" s="3307">
        <f t="shared" si="260"/>
        <v>0</v>
      </c>
      <c r="BN475" s="3307">
        <f t="shared" si="261"/>
        <v>0</v>
      </c>
      <c r="BO475" s="3307">
        <f t="shared" si="262"/>
        <v>0</v>
      </c>
      <c r="BP475" s="3307">
        <f t="shared" si="263"/>
        <v>0</v>
      </c>
      <c r="BQ475" s="3307">
        <f t="shared" si="264"/>
        <v>0</v>
      </c>
      <c r="BR475" s="3307">
        <f t="shared" si="265"/>
        <v>0</v>
      </c>
      <c r="BS475" s="3307">
        <f t="shared" si="266"/>
        <v>0</v>
      </c>
      <c r="BT475" s="3359">
        <f t="shared" si="267"/>
        <v>0</v>
      </c>
    </row>
    <row r="476" spans="1:72">
      <c r="A476" s="3304"/>
      <c r="B476" s="3305"/>
      <c r="C476" s="3305"/>
      <c r="D476" s="3306"/>
      <c r="E476" s="3307">
        <f t="shared" si="239"/>
        <v>0</v>
      </c>
      <c r="F476" s="3308"/>
      <c r="G476" s="3309">
        <f t="shared" si="240"/>
        <v>0</v>
      </c>
      <c r="H476" s="3310">
        <f t="shared" si="241"/>
        <v>0</v>
      </c>
      <c r="I476" s="3317"/>
      <c r="J476" s="3317"/>
      <c r="K476" s="3317"/>
      <c r="L476" s="3317"/>
      <c r="M476" s="3317"/>
      <c r="N476" s="3317"/>
      <c r="O476" s="3317"/>
      <c r="P476" s="3317"/>
      <c r="Q476" s="3317"/>
      <c r="R476" s="3317"/>
      <c r="S476" s="3317"/>
      <c r="T476" s="3317"/>
      <c r="U476" s="3317"/>
      <c r="V476" s="3317"/>
      <c r="W476" s="3317"/>
      <c r="X476" s="3317"/>
      <c r="Y476" s="3317"/>
      <c r="Z476" s="3317"/>
      <c r="AA476" s="3317"/>
      <c r="AB476" s="3317"/>
      <c r="AC476" s="3307">
        <f t="shared" si="242"/>
        <v>0</v>
      </c>
      <c r="AD476" s="3327"/>
      <c r="AE476" s="3327"/>
      <c r="AF476" s="3327"/>
      <c r="AG476" s="3327"/>
      <c r="AH476" s="3327"/>
      <c r="AI476" s="3327"/>
      <c r="AJ476" s="3327"/>
      <c r="AK476" s="3327"/>
      <c r="AL476" s="3327"/>
      <c r="AM476" s="3327"/>
      <c r="AN476" s="3327"/>
      <c r="AO476" s="3327"/>
      <c r="AP476" s="3327"/>
      <c r="AQ476" s="3327"/>
      <c r="AR476" s="3327"/>
      <c r="AS476" s="3327"/>
      <c r="AT476" s="3337"/>
      <c r="AU476" s="3338"/>
      <c r="AV476" s="1410">
        <f t="shared" si="243"/>
        <v>0</v>
      </c>
      <c r="AW476" s="1410">
        <f t="shared" si="244"/>
        <v>0</v>
      </c>
      <c r="AX476" s="1410">
        <f t="shared" si="245"/>
        <v>0</v>
      </c>
      <c r="AY476" s="3352">
        <f t="shared" si="246"/>
        <v>0</v>
      </c>
      <c r="AZ476" s="3307">
        <f t="shared" si="247"/>
        <v>0</v>
      </c>
      <c r="BA476" s="3307">
        <f t="shared" si="248"/>
        <v>0</v>
      </c>
      <c r="BB476" s="3307">
        <f t="shared" si="249"/>
        <v>0</v>
      </c>
      <c r="BC476" s="3307">
        <f t="shared" si="250"/>
        <v>0</v>
      </c>
      <c r="BD476" s="3307">
        <f t="shared" si="251"/>
        <v>0</v>
      </c>
      <c r="BE476" s="3307">
        <f t="shared" si="252"/>
        <v>0</v>
      </c>
      <c r="BF476" s="3307">
        <f t="shared" si="253"/>
        <v>0</v>
      </c>
      <c r="BG476" s="3307">
        <f t="shared" si="254"/>
        <v>0</v>
      </c>
      <c r="BH476" s="3307">
        <f t="shared" si="255"/>
        <v>0</v>
      </c>
      <c r="BI476" s="3307">
        <f t="shared" si="256"/>
        <v>0</v>
      </c>
      <c r="BJ476" s="3307">
        <f t="shared" si="257"/>
        <v>0</v>
      </c>
      <c r="BK476" s="3307">
        <f t="shared" si="258"/>
        <v>0</v>
      </c>
      <c r="BL476" s="3307">
        <f t="shared" si="259"/>
        <v>0</v>
      </c>
      <c r="BM476" s="3307">
        <f t="shared" si="260"/>
        <v>0</v>
      </c>
      <c r="BN476" s="3307">
        <f t="shared" si="261"/>
        <v>0</v>
      </c>
      <c r="BO476" s="3307">
        <f t="shared" si="262"/>
        <v>0</v>
      </c>
      <c r="BP476" s="3307">
        <f t="shared" si="263"/>
        <v>0</v>
      </c>
      <c r="BQ476" s="3307">
        <f t="shared" si="264"/>
        <v>0</v>
      </c>
      <c r="BR476" s="3307">
        <f t="shared" si="265"/>
        <v>0</v>
      </c>
      <c r="BS476" s="3307">
        <f t="shared" si="266"/>
        <v>0</v>
      </c>
      <c r="BT476" s="3359">
        <f t="shared" si="267"/>
        <v>0</v>
      </c>
    </row>
    <row r="477" spans="1:72">
      <c r="A477" s="3304"/>
      <c r="B477" s="3305"/>
      <c r="C477" s="3305"/>
      <c r="D477" s="3306"/>
      <c r="E477" s="3307">
        <f t="shared" si="239"/>
        <v>0</v>
      </c>
      <c r="F477" s="3308"/>
      <c r="G477" s="3309">
        <f t="shared" si="240"/>
        <v>0</v>
      </c>
      <c r="H477" s="3310">
        <f t="shared" si="241"/>
        <v>0</v>
      </c>
      <c r="I477" s="3317"/>
      <c r="J477" s="3317"/>
      <c r="K477" s="3317"/>
      <c r="L477" s="3317"/>
      <c r="M477" s="3317"/>
      <c r="N477" s="3317"/>
      <c r="O477" s="3317"/>
      <c r="P477" s="3317"/>
      <c r="Q477" s="3317"/>
      <c r="R477" s="3317"/>
      <c r="S477" s="3317"/>
      <c r="T477" s="3317"/>
      <c r="U477" s="3317"/>
      <c r="V477" s="3317"/>
      <c r="W477" s="3317"/>
      <c r="X477" s="3317"/>
      <c r="Y477" s="3317"/>
      <c r="Z477" s="3317"/>
      <c r="AA477" s="3317"/>
      <c r="AB477" s="3317"/>
      <c r="AC477" s="3307">
        <f t="shared" si="242"/>
        <v>0</v>
      </c>
      <c r="AD477" s="3327"/>
      <c r="AE477" s="3327"/>
      <c r="AF477" s="3327"/>
      <c r="AG477" s="3327"/>
      <c r="AH477" s="3327"/>
      <c r="AI477" s="3327"/>
      <c r="AJ477" s="3327"/>
      <c r="AK477" s="3327"/>
      <c r="AL477" s="3327"/>
      <c r="AM477" s="3327"/>
      <c r="AN477" s="3327"/>
      <c r="AO477" s="3327"/>
      <c r="AP477" s="3327"/>
      <c r="AQ477" s="3327"/>
      <c r="AR477" s="3327"/>
      <c r="AS477" s="3327"/>
      <c r="AT477" s="3337"/>
      <c r="AU477" s="3338"/>
      <c r="AV477" s="1410">
        <f t="shared" si="243"/>
        <v>0</v>
      </c>
      <c r="AW477" s="1410">
        <f t="shared" si="244"/>
        <v>0</v>
      </c>
      <c r="AX477" s="1410">
        <f t="shared" si="245"/>
        <v>0</v>
      </c>
      <c r="AY477" s="3352">
        <f t="shared" si="246"/>
        <v>0</v>
      </c>
      <c r="AZ477" s="3307">
        <f t="shared" si="247"/>
        <v>0</v>
      </c>
      <c r="BA477" s="3307">
        <f t="shared" si="248"/>
        <v>0</v>
      </c>
      <c r="BB477" s="3307">
        <f t="shared" si="249"/>
        <v>0</v>
      </c>
      <c r="BC477" s="3307">
        <f t="shared" si="250"/>
        <v>0</v>
      </c>
      <c r="BD477" s="3307">
        <f t="shared" si="251"/>
        <v>0</v>
      </c>
      <c r="BE477" s="3307">
        <f t="shared" si="252"/>
        <v>0</v>
      </c>
      <c r="BF477" s="3307">
        <f t="shared" si="253"/>
        <v>0</v>
      </c>
      <c r="BG477" s="3307">
        <f t="shared" si="254"/>
        <v>0</v>
      </c>
      <c r="BH477" s="3307">
        <f t="shared" si="255"/>
        <v>0</v>
      </c>
      <c r="BI477" s="3307">
        <f t="shared" si="256"/>
        <v>0</v>
      </c>
      <c r="BJ477" s="3307">
        <f t="shared" si="257"/>
        <v>0</v>
      </c>
      <c r="BK477" s="3307">
        <f t="shared" si="258"/>
        <v>0</v>
      </c>
      <c r="BL477" s="3307">
        <f t="shared" si="259"/>
        <v>0</v>
      </c>
      <c r="BM477" s="3307">
        <f t="shared" si="260"/>
        <v>0</v>
      </c>
      <c r="BN477" s="3307">
        <f t="shared" si="261"/>
        <v>0</v>
      </c>
      <c r="BO477" s="3307">
        <f t="shared" si="262"/>
        <v>0</v>
      </c>
      <c r="BP477" s="3307">
        <f t="shared" si="263"/>
        <v>0</v>
      </c>
      <c r="BQ477" s="3307">
        <f t="shared" si="264"/>
        <v>0</v>
      </c>
      <c r="BR477" s="3307">
        <f t="shared" si="265"/>
        <v>0</v>
      </c>
      <c r="BS477" s="3307">
        <f t="shared" si="266"/>
        <v>0</v>
      </c>
      <c r="BT477" s="3359">
        <f t="shared" si="267"/>
        <v>0</v>
      </c>
    </row>
    <row r="478" spans="1:72">
      <c r="A478" s="3304"/>
      <c r="B478" s="3305"/>
      <c r="C478" s="3305"/>
      <c r="D478" s="3306"/>
      <c r="E478" s="3307">
        <f t="shared" si="239"/>
        <v>0</v>
      </c>
      <c r="F478" s="3308"/>
      <c r="G478" s="3309">
        <f t="shared" si="240"/>
        <v>0</v>
      </c>
      <c r="H478" s="3310">
        <f t="shared" si="241"/>
        <v>0</v>
      </c>
      <c r="I478" s="3317"/>
      <c r="J478" s="3317"/>
      <c r="K478" s="3317"/>
      <c r="L478" s="3317"/>
      <c r="M478" s="3317"/>
      <c r="N478" s="3317"/>
      <c r="O478" s="3317"/>
      <c r="P478" s="3317"/>
      <c r="Q478" s="3317"/>
      <c r="R478" s="3317"/>
      <c r="S478" s="3317"/>
      <c r="T478" s="3317"/>
      <c r="U478" s="3317"/>
      <c r="V478" s="3317"/>
      <c r="W478" s="3317"/>
      <c r="X478" s="3317"/>
      <c r="Y478" s="3317"/>
      <c r="Z478" s="3317"/>
      <c r="AA478" s="3317"/>
      <c r="AB478" s="3317"/>
      <c r="AC478" s="3307">
        <f t="shared" si="242"/>
        <v>0</v>
      </c>
      <c r="AD478" s="3327"/>
      <c r="AE478" s="3327"/>
      <c r="AF478" s="3327"/>
      <c r="AG478" s="3327"/>
      <c r="AH478" s="3327"/>
      <c r="AI478" s="3327"/>
      <c r="AJ478" s="3327"/>
      <c r="AK478" s="3327"/>
      <c r="AL478" s="3327"/>
      <c r="AM478" s="3327"/>
      <c r="AN478" s="3327"/>
      <c r="AO478" s="3327"/>
      <c r="AP478" s="3327"/>
      <c r="AQ478" s="3327"/>
      <c r="AR478" s="3327"/>
      <c r="AS478" s="3327"/>
      <c r="AT478" s="3337"/>
      <c r="AU478" s="3338"/>
      <c r="AV478" s="1410">
        <f t="shared" si="243"/>
        <v>0</v>
      </c>
      <c r="AW478" s="1410">
        <f t="shared" si="244"/>
        <v>0</v>
      </c>
      <c r="AX478" s="1410">
        <f t="shared" si="245"/>
        <v>0</v>
      </c>
      <c r="AY478" s="3352">
        <f t="shared" si="246"/>
        <v>0</v>
      </c>
      <c r="AZ478" s="3307">
        <f t="shared" si="247"/>
        <v>0</v>
      </c>
      <c r="BA478" s="3307">
        <f t="shared" si="248"/>
        <v>0</v>
      </c>
      <c r="BB478" s="3307">
        <f t="shared" si="249"/>
        <v>0</v>
      </c>
      <c r="BC478" s="3307">
        <f t="shared" si="250"/>
        <v>0</v>
      </c>
      <c r="BD478" s="3307">
        <f t="shared" si="251"/>
        <v>0</v>
      </c>
      <c r="BE478" s="3307">
        <f t="shared" si="252"/>
        <v>0</v>
      </c>
      <c r="BF478" s="3307">
        <f t="shared" si="253"/>
        <v>0</v>
      </c>
      <c r="BG478" s="3307">
        <f t="shared" si="254"/>
        <v>0</v>
      </c>
      <c r="BH478" s="3307">
        <f t="shared" si="255"/>
        <v>0</v>
      </c>
      <c r="BI478" s="3307">
        <f t="shared" si="256"/>
        <v>0</v>
      </c>
      <c r="BJ478" s="3307">
        <f t="shared" si="257"/>
        <v>0</v>
      </c>
      <c r="BK478" s="3307">
        <f t="shared" si="258"/>
        <v>0</v>
      </c>
      <c r="BL478" s="3307">
        <f t="shared" si="259"/>
        <v>0</v>
      </c>
      <c r="BM478" s="3307">
        <f t="shared" si="260"/>
        <v>0</v>
      </c>
      <c r="BN478" s="3307">
        <f t="shared" si="261"/>
        <v>0</v>
      </c>
      <c r="BO478" s="3307">
        <f t="shared" si="262"/>
        <v>0</v>
      </c>
      <c r="BP478" s="3307">
        <f t="shared" si="263"/>
        <v>0</v>
      </c>
      <c r="BQ478" s="3307">
        <f t="shared" si="264"/>
        <v>0</v>
      </c>
      <c r="BR478" s="3307">
        <f t="shared" si="265"/>
        <v>0</v>
      </c>
      <c r="BS478" s="3307">
        <f t="shared" si="266"/>
        <v>0</v>
      </c>
      <c r="BT478" s="3359">
        <f t="shared" si="267"/>
        <v>0</v>
      </c>
    </row>
    <row r="479" spans="1:72">
      <c r="A479" s="3304"/>
      <c r="B479" s="3305"/>
      <c r="C479" s="3305"/>
      <c r="D479" s="3306"/>
      <c r="E479" s="3307">
        <f t="shared" si="239"/>
        <v>0</v>
      </c>
      <c r="F479" s="3308"/>
      <c r="G479" s="3309">
        <f t="shared" si="240"/>
        <v>0</v>
      </c>
      <c r="H479" s="3310">
        <f t="shared" si="241"/>
        <v>0</v>
      </c>
      <c r="I479" s="3317"/>
      <c r="J479" s="3317"/>
      <c r="K479" s="3317"/>
      <c r="L479" s="3317"/>
      <c r="M479" s="3317"/>
      <c r="N479" s="3317"/>
      <c r="O479" s="3317"/>
      <c r="P479" s="3317"/>
      <c r="Q479" s="3317"/>
      <c r="R479" s="3317"/>
      <c r="S479" s="3317"/>
      <c r="T479" s="3317"/>
      <c r="U479" s="3317"/>
      <c r="V479" s="3317"/>
      <c r="W479" s="3317"/>
      <c r="X479" s="3317"/>
      <c r="Y479" s="3317"/>
      <c r="Z479" s="3317"/>
      <c r="AA479" s="3317"/>
      <c r="AB479" s="3317"/>
      <c r="AC479" s="3307">
        <f t="shared" si="242"/>
        <v>0</v>
      </c>
      <c r="AD479" s="3327"/>
      <c r="AE479" s="3327"/>
      <c r="AF479" s="3327"/>
      <c r="AG479" s="3327"/>
      <c r="AH479" s="3327"/>
      <c r="AI479" s="3327"/>
      <c r="AJ479" s="3327"/>
      <c r="AK479" s="3327"/>
      <c r="AL479" s="3327"/>
      <c r="AM479" s="3327"/>
      <c r="AN479" s="3327"/>
      <c r="AO479" s="3327"/>
      <c r="AP479" s="3327"/>
      <c r="AQ479" s="3327"/>
      <c r="AR479" s="3327"/>
      <c r="AS479" s="3327"/>
      <c r="AT479" s="3337"/>
      <c r="AU479" s="3338"/>
      <c r="AV479" s="1410">
        <f t="shared" si="243"/>
        <v>0</v>
      </c>
      <c r="AW479" s="1410">
        <f t="shared" si="244"/>
        <v>0</v>
      </c>
      <c r="AX479" s="1410">
        <f t="shared" si="245"/>
        <v>0</v>
      </c>
      <c r="AY479" s="3352">
        <f t="shared" si="246"/>
        <v>0</v>
      </c>
      <c r="AZ479" s="3307">
        <f t="shared" si="247"/>
        <v>0</v>
      </c>
      <c r="BA479" s="3307">
        <f t="shared" si="248"/>
        <v>0</v>
      </c>
      <c r="BB479" s="3307">
        <f t="shared" si="249"/>
        <v>0</v>
      </c>
      <c r="BC479" s="3307">
        <f t="shared" si="250"/>
        <v>0</v>
      </c>
      <c r="BD479" s="3307">
        <f t="shared" si="251"/>
        <v>0</v>
      </c>
      <c r="BE479" s="3307">
        <f t="shared" si="252"/>
        <v>0</v>
      </c>
      <c r="BF479" s="3307">
        <f t="shared" si="253"/>
        <v>0</v>
      </c>
      <c r="BG479" s="3307">
        <f t="shared" si="254"/>
        <v>0</v>
      </c>
      <c r="BH479" s="3307">
        <f t="shared" si="255"/>
        <v>0</v>
      </c>
      <c r="BI479" s="3307">
        <f t="shared" si="256"/>
        <v>0</v>
      </c>
      <c r="BJ479" s="3307">
        <f t="shared" si="257"/>
        <v>0</v>
      </c>
      <c r="BK479" s="3307">
        <f t="shared" si="258"/>
        <v>0</v>
      </c>
      <c r="BL479" s="3307">
        <f t="shared" si="259"/>
        <v>0</v>
      </c>
      <c r="BM479" s="3307">
        <f t="shared" si="260"/>
        <v>0</v>
      </c>
      <c r="BN479" s="3307">
        <f t="shared" si="261"/>
        <v>0</v>
      </c>
      <c r="BO479" s="3307">
        <f t="shared" si="262"/>
        <v>0</v>
      </c>
      <c r="BP479" s="3307">
        <f t="shared" si="263"/>
        <v>0</v>
      </c>
      <c r="BQ479" s="3307">
        <f t="shared" si="264"/>
        <v>0</v>
      </c>
      <c r="BR479" s="3307">
        <f t="shared" si="265"/>
        <v>0</v>
      </c>
      <c r="BS479" s="3307">
        <f t="shared" si="266"/>
        <v>0</v>
      </c>
      <c r="BT479" s="3359">
        <f t="shared" si="267"/>
        <v>0</v>
      </c>
    </row>
    <row r="480" spans="1:72">
      <c r="A480" s="3304"/>
      <c r="B480" s="3305"/>
      <c r="C480" s="3305"/>
      <c r="D480" s="3306"/>
      <c r="E480" s="3307">
        <f t="shared" si="239"/>
        <v>0</v>
      </c>
      <c r="F480" s="3308"/>
      <c r="G480" s="3309">
        <f t="shared" si="240"/>
        <v>0</v>
      </c>
      <c r="H480" s="3310">
        <f t="shared" si="241"/>
        <v>0</v>
      </c>
      <c r="I480" s="3317"/>
      <c r="J480" s="3317"/>
      <c r="K480" s="3317"/>
      <c r="L480" s="3317"/>
      <c r="M480" s="3317"/>
      <c r="N480" s="3317"/>
      <c r="O480" s="3317"/>
      <c r="P480" s="3317"/>
      <c r="Q480" s="3317"/>
      <c r="R480" s="3317"/>
      <c r="S480" s="3317"/>
      <c r="T480" s="3317"/>
      <c r="U480" s="3317"/>
      <c r="V480" s="3317"/>
      <c r="W480" s="3317"/>
      <c r="X480" s="3317"/>
      <c r="Y480" s="3317"/>
      <c r="Z480" s="3317"/>
      <c r="AA480" s="3317"/>
      <c r="AB480" s="3317"/>
      <c r="AC480" s="3307">
        <f t="shared" si="242"/>
        <v>0</v>
      </c>
      <c r="AD480" s="3327"/>
      <c r="AE480" s="3327"/>
      <c r="AF480" s="3327"/>
      <c r="AG480" s="3327"/>
      <c r="AH480" s="3327"/>
      <c r="AI480" s="3327"/>
      <c r="AJ480" s="3327"/>
      <c r="AK480" s="3327"/>
      <c r="AL480" s="3327"/>
      <c r="AM480" s="3327"/>
      <c r="AN480" s="3327"/>
      <c r="AO480" s="3327"/>
      <c r="AP480" s="3327"/>
      <c r="AQ480" s="3327"/>
      <c r="AR480" s="3327"/>
      <c r="AS480" s="3327"/>
      <c r="AT480" s="3337"/>
      <c r="AU480" s="3338"/>
      <c r="AV480" s="1410">
        <f t="shared" si="243"/>
        <v>0</v>
      </c>
      <c r="AW480" s="1410">
        <f t="shared" si="244"/>
        <v>0</v>
      </c>
      <c r="AX480" s="1410">
        <f t="shared" si="245"/>
        <v>0</v>
      </c>
      <c r="AY480" s="3352">
        <f t="shared" si="246"/>
        <v>0</v>
      </c>
      <c r="AZ480" s="3307">
        <f t="shared" si="247"/>
        <v>0</v>
      </c>
      <c r="BA480" s="3307">
        <f t="shared" si="248"/>
        <v>0</v>
      </c>
      <c r="BB480" s="3307">
        <f t="shared" si="249"/>
        <v>0</v>
      </c>
      <c r="BC480" s="3307">
        <f t="shared" si="250"/>
        <v>0</v>
      </c>
      <c r="BD480" s="3307">
        <f t="shared" si="251"/>
        <v>0</v>
      </c>
      <c r="BE480" s="3307">
        <f t="shared" si="252"/>
        <v>0</v>
      </c>
      <c r="BF480" s="3307">
        <f t="shared" si="253"/>
        <v>0</v>
      </c>
      <c r="BG480" s="3307">
        <f t="shared" si="254"/>
        <v>0</v>
      </c>
      <c r="BH480" s="3307">
        <f t="shared" si="255"/>
        <v>0</v>
      </c>
      <c r="BI480" s="3307">
        <f t="shared" si="256"/>
        <v>0</v>
      </c>
      <c r="BJ480" s="3307">
        <f t="shared" si="257"/>
        <v>0</v>
      </c>
      <c r="BK480" s="3307">
        <f t="shared" si="258"/>
        <v>0</v>
      </c>
      <c r="BL480" s="3307">
        <f t="shared" si="259"/>
        <v>0</v>
      </c>
      <c r="BM480" s="3307">
        <f t="shared" si="260"/>
        <v>0</v>
      </c>
      <c r="BN480" s="3307">
        <f t="shared" si="261"/>
        <v>0</v>
      </c>
      <c r="BO480" s="3307">
        <f t="shared" si="262"/>
        <v>0</v>
      </c>
      <c r="BP480" s="3307">
        <f t="shared" si="263"/>
        <v>0</v>
      </c>
      <c r="BQ480" s="3307">
        <f t="shared" si="264"/>
        <v>0</v>
      </c>
      <c r="BR480" s="3307">
        <f t="shared" si="265"/>
        <v>0</v>
      </c>
      <c r="BS480" s="3307">
        <f t="shared" si="266"/>
        <v>0</v>
      </c>
      <c r="BT480" s="3359">
        <f t="shared" si="267"/>
        <v>0</v>
      </c>
    </row>
    <row r="481" spans="1:72">
      <c r="A481" s="3304"/>
      <c r="B481" s="3305"/>
      <c r="C481" s="3305"/>
      <c r="D481" s="3306"/>
      <c r="E481" s="3307">
        <f t="shared" si="239"/>
        <v>0</v>
      </c>
      <c r="F481" s="3308"/>
      <c r="G481" s="3309">
        <f t="shared" si="240"/>
        <v>0</v>
      </c>
      <c r="H481" s="3310">
        <f t="shared" si="241"/>
        <v>0</v>
      </c>
      <c r="I481" s="3317"/>
      <c r="J481" s="3317"/>
      <c r="K481" s="3317"/>
      <c r="L481" s="3317"/>
      <c r="M481" s="3317"/>
      <c r="N481" s="3317"/>
      <c r="O481" s="3317"/>
      <c r="P481" s="3317"/>
      <c r="Q481" s="3317"/>
      <c r="R481" s="3317"/>
      <c r="S481" s="3317"/>
      <c r="T481" s="3317"/>
      <c r="U481" s="3317"/>
      <c r="V481" s="3317"/>
      <c r="W481" s="3317"/>
      <c r="X481" s="3317"/>
      <c r="Y481" s="3317"/>
      <c r="Z481" s="3317"/>
      <c r="AA481" s="3317"/>
      <c r="AB481" s="3317"/>
      <c r="AC481" s="3307">
        <f t="shared" si="242"/>
        <v>0</v>
      </c>
      <c r="AD481" s="3327"/>
      <c r="AE481" s="3327"/>
      <c r="AF481" s="3327"/>
      <c r="AG481" s="3327"/>
      <c r="AH481" s="3327"/>
      <c r="AI481" s="3327"/>
      <c r="AJ481" s="3327"/>
      <c r="AK481" s="3327"/>
      <c r="AL481" s="3327"/>
      <c r="AM481" s="3327"/>
      <c r="AN481" s="3327"/>
      <c r="AO481" s="3327"/>
      <c r="AP481" s="3327"/>
      <c r="AQ481" s="3327"/>
      <c r="AR481" s="3327"/>
      <c r="AS481" s="3327"/>
      <c r="AT481" s="3337"/>
      <c r="AU481" s="3338"/>
      <c r="AV481" s="1410">
        <f t="shared" si="243"/>
        <v>0</v>
      </c>
      <c r="AW481" s="1410">
        <f t="shared" si="244"/>
        <v>0</v>
      </c>
      <c r="AX481" s="1410">
        <f t="shared" si="245"/>
        <v>0</v>
      </c>
      <c r="AY481" s="3352">
        <f t="shared" si="246"/>
        <v>0</v>
      </c>
      <c r="AZ481" s="3307">
        <f t="shared" si="247"/>
        <v>0</v>
      </c>
      <c r="BA481" s="3307">
        <f t="shared" si="248"/>
        <v>0</v>
      </c>
      <c r="BB481" s="3307">
        <f t="shared" si="249"/>
        <v>0</v>
      </c>
      <c r="BC481" s="3307">
        <f t="shared" si="250"/>
        <v>0</v>
      </c>
      <c r="BD481" s="3307">
        <f t="shared" si="251"/>
        <v>0</v>
      </c>
      <c r="BE481" s="3307">
        <f t="shared" si="252"/>
        <v>0</v>
      </c>
      <c r="BF481" s="3307">
        <f t="shared" si="253"/>
        <v>0</v>
      </c>
      <c r="BG481" s="3307">
        <f t="shared" si="254"/>
        <v>0</v>
      </c>
      <c r="BH481" s="3307">
        <f t="shared" si="255"/>
        <v>0</v>
      </c>
      <c r="BI481" s="3307">
        <f t="shared" si="256"/>
        <v>0</v>
      </c>
      <c r="BJ481" s="3307">
        <f t="shared" si="257"/>
        <v>0</v>
      </c>
      <c r="BK481" s="3307">
        <f t="shared" si="258"/>
        <v>0</v>
      </c>
      <c r="BL481" s="3307">
        <f t="shared" si="259"/>
        <v>0</v>
      </c>
      <c r="BM481" s="3307">
        <f t="shared" si="260"/>
        <v>0</v>
      </c>
      <c r="BN481" s="3307">
        <f t="shared" si="261"/>
        <v>0</v>
      </c>
      <c r="BO481" s="3307">
        <f t="shared" si="262"/>
        <v>0</v>
      </c>
      <c r="BP481" s="3307">
        <f t="shared" si="263"/>
        <v>0</v>
      </c>
      <c r="BQ481" s="3307">
        <f t="shared" si="264"/>
        <v>0</v>
      </c>
      <c r="BR481" s="3307">
        <f t="shared" si="265"/>
        <v>0</v>
      </c>
      <c r="BS481" s="3307">
        <f t="shared" si="266"/>
        <v>0</v>
      </c>
      <c r="BT481" s="3359">
        <f t="shared" si="267"/>
        <v>0</v>
      </c>
    </row>
    <row r="482" spans="1:72">
      <c r="A482" s="3304"/>
      <c r="B482" s="3305"/>
      <c r="C482" s="3305"/>
      <c r="D482" s="3306"/>
      <c r="E482" s="3307">
        <f t="shared" si="239"/>
        <v>0</v>
      </c>
      <c r="F482" s="3308"/>
      <c r="G482" s="3309">
        <f t="shared" si="240"/>
        <v>0</v>
      </c>
      <c r="H482" s="3310">
        <f t="shared" si="241"/>
        <v>0</v>
      </c>
      <c r="I482" s="3317"/>
      <c r="J482" s="3317"/>
      <c r="K482" s="3317"/>
      <c r="L482" s="3317"/>
      <c r="M482" s="3317"/>
      <c r="N482" s="3317"/>
      <c r="O482" s="3317"/>
      <c r="P482" s="3317"/>
      <c r="Q482" s="3317"/>
      <c r="R482" s="3317"/>
      <c r="S482" s="3317"/>
      <c r="T482" s="3317"/>
      <c r="U482" s="3317"/>
      <c r="V482" s="3317"/>
      <c r="W482" s="3317"/>
      <c r="X482" s="3317"/>
      <c r="Y482" s="3317"/>
      <c r="Z482" s="3317"/>
      <c r="AA482" s="3317"/>
      <c r="AB482" s="3317"/>
      <c r="AC482" s="3307">
        <f t="shared" si="242"/>
        <v>0</v>
      </c>
      <c r="AD482" s="3327"/>
      <c r="AE482" s="3327"/>
      <c r="AF482" s="3327"/>
      <c r="AG482" s="3327"/>
      <c r="AH482" s="3327"/>
      <c r="AI482" s="3327"/>
      <c r="AJ482" s="3327"/>
      <c r="AK482" s="3327"/>
      <c r="AL482" s="3327"/>
      <c r="AM482" s="3327"/>
      <c r="AN482" s="3327"/>
      <c r="AO482" s="3327"/>
      <c r="AP482" s="3327"/>
      <c r="AQ482" s="3327"/>
      <c r="AR482" s="3327"/>
      <c r="AS482" s="3327"/>
      <c r="AT482" s="3337"/>
      <c r="AU482" s="3338"/>
      <c r="AV482" s="1410">
        <f t="shared" si="243"/>
        <v>0</v>
      </c>
      <c r="AW482" s="1410">
        <f t="shared" si="244"/>
        <v>0</v>
      </c>
      <c r="AX482" s="1410">
        <f t="shared" si="245"/>
        <v>0</v>
      </c>
      <c r="AY482" s="3352">
        <f t="shared" si="246"/>
        <v>0</v>
      </c>
      <c r="AZ482" s="3307">
        <f t="shared" si="247"/>
        <v>0</v>
      </c>
      <c r="BA482" s="3307">
        <f t="shared" si="248"/>
        <v>0</v>
      </c>
      <c r="BB482" s="3307">
        <f t="shared" si="249"/>
        <v>0</v>
      </c>
      <c r="BC482" s="3307">
        <f t="shared" si="250"/>
        <v>0</v>
      </c>
      <c r="BD482" s="3307">
        <f t="shared" si="251"/>
        <v>0</v>
      </c>
      <c r="BE482" s="3307">
        <f t="shared" si="252"/>
        <v>0</v>
      </c>
      <c r="BF482" s="3307">
        <f t="shared" si="253"/>
        <v>0</v>
      </c>
      <c r="BG482" s="3307">
        <f t="shared" si="254"/>
        <v>0</v>
      </c>
      <c r="BH482" s="3307">
        <f t="shared" si="255"/>
        <v>0</v>
      </c>
      <c r="BI482" s="3307">
        <f t="shared" si="256"/>
        <v>0</v>
      </c>
      <c r="BJ482" s="3307">
        <f t="shared" si="257"/>
        <v>0</v>
      </c>
      <c r="BK482" s="3307">
        <f t="shared" si="258"/>
        <v>0</v>
      </c>
      <c r="BL482" s="3307">
        <f t="shared" si="259"/>
        <v>0</v>
      </c>
      <c r="BM482" s="3307">
        <f t="shared" si="260"/>
        <v>0</v>
      </c>
      <c r="BN482" s="3307">
        <f t="shared" si="261"/>
        <v>0</v>
      </c>
      <c r="BO482" s="3307">
        <f t="shared" si="262"/>
        <v>0</v>
      </c>
      <c r="BP482" s="3307">
        <f t="shared" si="263"/>
        <v>0</v>
      </c>
      <c r="BQ482" s="3307">
        <f t="shared" si="264"/>
        <v>0</v>
      </c>
      <c r="BR482" s="3307">
        <f t="shared" si="265"/>
        <v>0</v>
      </c>
      <c r="BS482" s="3307">
        <f t="shared" si="266"/>
        <v>0</v>
      </c>
      <c r="BT482" s="3359">
        <f t="shared" si="267"/>
        <v>0</v>
      </c>
    </row>
    <row r="483" spans="1:72">
      <c r="A483" s="3304"/>
      <c r="B483" s="3305"/>
      <c r="C483" s="3305"/>
      <c r="D483" s="3306"/>
      <c r="E483" s="3307">
        <f t="shared" si="239"/>
        <v>0</v>
      </c>
      <c r="F483" s="3308"/>
      <c r="G483" s="3309">
        <f t="shared" si="240"/>
        <v>0</v>
      </c>
      <c r="H483" s="3310">
        <f t="shared" si="241"/>
        <v>0</v>
      </c>
      <c r="I483" s="3317"/>
      <c r="J483" s="3317"/>
      <c r="K483" s="3317"/>
      <c r="L483" s="3317"/>
      <c r="M483" s="3317"/>
      <c r="N483" s="3317"/>
      <c r="O483" s="3317"/>
      <c r="P483" s="3317"/>
      <c r="Q483" s="3317"/>
      <c r="R483" s="3317"/>
      <c r="S483" s="3317"/>
      <c r="T483" s="3317"/>
      <c r="U483" s="3317"/>
      <c r="V483" s="3317"/>
      <c r="W483" s="3317"/>
      <c r="X483" s="3317"/>
      <c r="Y483" s="3317"/>
      <c r="Z483" s="3317"/>
      <c r="AA483" s="3317"/>
      <c r="AB483" s="3317"/>
      <c r="AC483" s="3307">
        <f t="shared" si="242"/>
        <v>0</v>
      </c>
      <c r="AD483" s="3327"/>
      <c r="AE483" s="3327"/>
      <c r="AF483" s="3327"/>
      <c r="AG483" s="3327"/>
      <c r="AH483" s="3327"/>
      <c r="AI483" s="3327"/>
      <c r="AJ483" s="3327"/>
      <c r="AK483" s="3327"/>
      <c r="AL483" s="3327"/>
      <c r="AM483" s="3327"/>
      <c r="AN483" s="3327"/>
      <c r="AO483" s="3327"/>
      <c r="AP483" s="3327"/>
      <c r="AQ483" s="3327"/>
      <c r="AR483" s="3327"/>
      <c r="AS483" s="3327"/>
      <c r="AT483" s="3337"/>
      <c r="AU483" s="3338"/>
      <c r="AV483" s="1410">
        <f t="shared" si="243"/>
        <v>0</v>
      </c>
      <c r="AW483" s="1410">
        <f t="shared" si="244"/>
        <v>0</v>
      </c>
      <c r="AX483" s="1410">
        <f t="shared" si="245"/>
        <v>0</v>
      </c>
      <c r="AY483" s="3352">
        <f t="shared" si="246"/>
        <v>0</v>
      </c>
      <c r="AZ483" s="3307">
        <f t="shared" si="247"/>
        <v>0</v>
      </c>
      <c r="BA483" s="3307">
        <f t="shared" si="248"/>
        <v>0</v>
      </c>
      <c r="BB483" s="3307">
        <f t="shared" si="249"/>
        <v>0</v>
      </c>
      <c r="BC483" s="3307">
        <f t="shared" si="250"/>
        <v>0</v>
      </c>
      <c r="BD483" s="3307">
        <f t="shared" si="251"/>
        <v>0</v>
      </c>
      <c r="BE483" s="3307">
        <f t="shared" si="252"/>
        <v>0</v>
      </c>
      <c r="BF483" s="3307">
        <f t="shared" si="253"/>
        <v>0</v>
      </c>
      <c r="BG483" s="3307">
        <f t="shared" si="254"/>
        <v>0</v>
      </c>
      <c r="BH483" s="3307">
        <f t="shared" si="255"/>
        <v>0</v>
      </c>
      <c r="BI483" s="3307">
        <f t="shared" si="256"/>
        <v>0</v>
      </c>
      <c r="BJ483" s="3307">
        <f t="shared" si="257"/>
        <v>0</v>
      </c>
      <c r="BK483" s="3307">
        <f t="shared" si="258"/>
        <v>0</v>
      </c>
      <c r="BL483" s="3307">
        <f t="shared" si="259"/>
        <v>0</v>
      </c>
      <c r="BM483" s="3307">
        <f t="shared" si="260"/>
        <v>0</v>
      </c>
      <c r="BN483" s="3307">
        <f t="shared" si="261"/>
        <v>0</v>
      </c>
      <c r="BO483" s="3307">
        <f t="shared" si="262"/>
        <v>0</v>
      </c>
      <c r="BP483" s="3307">
        <f t="shared" si="263"/>
        <v>0</v>
      </c>
      <c r="BQ483" s="3307">
        <f t="shared" si="264"/>
        <v>0</v>
      </c>
      <c r="BR483" s="3307">
        <f t="shared" si="265"/>
        <v>0</v>
      </c>
      <c r="BS483" s="3307">
        <f t="shared" si="266"/>
        <v>0</v>
      </c>
      <c r="BT483" s="3359">
        <f t="shared" si="267"/>
        <v>0</v>
      </c>
    </row>
    <row r="484" spans="1:72">
      <c r="A484" s="3304"/>
      <c r="B484" s="3305"/>
      <c r="C484" s="3305"/>
      <c r="D484" s="3306"/>
      <c r="E484" s="3307">
        <f t="shared" si="239"/>
        <v>0</v>
      </c>
      <c r="F484" s="3308"/>
      <c r="G484" s="3309">
        <f t="shared" si="240"/>
        <v>0</v>
      </c>
      <c r="H484" s="3310">
        <f t="shared" si="241"/>
        <v>0</v>
      </c>
      <c r="I484" s="3317"/>
      <c r="J484" s="3317"/>
      <c r="K484" s="3317"/>
      <c r="L484" s="3317"/>
      <c r="M484" s="3317"/>
      <c r="N484" s="3317"/>
      <c r="O484" s="3317"/>
      <c r="P484" s="3317"/>
      <c r="Q484" s="3317"/>
      <c r="R484" s="3317"/>
      <c r="S484" s="3317"/>
      <c r="T484" s="3317"/>
      <c r="U484" s="3317"/>
      <c r="V484" s="3317"/>
      <c r="W484" s="3317"/>
      <c r="X484" s="3317"/>
      <c r="Y484" s="3317"/>
      <c r="Z484" s="3317"/>
      <c r="AA484" s="3317"/>
      <c r="AB484" s="3317"/>
      <c r="AC484" s="3307">
        <f t="shared" si="242"/>
        <v>0</v>
      </c>
      <c r="AD484" s="3327"/>
      <c r="AE484" s="3327"/>
      <c r="AF484" s="3327"/>
      <c r="AG484" s="3327"/>
      <c r="AH484" s="3327"/>
      <c r="AI484" s="3327"/>
      <c r="AJ484" s="3327"/>
      <c r="AK484" s="3327"/>
      <c r="AL484" s="3327"/>
      <c r="AM484" s="3327"/>
      <c r="AN484" s="3327"/>
      <c r="AO484" s="3327"/>
      <c r="AP484" s="3327"/>
      <c r="AQ484" s="3327"/>
      <c r="AR484" s="3327"/>
      <c r="AS484" s="3327"/>
      <c r="AT484" s="3337"/>
      <c r="AU484" s="3338"/>
      <c r="AV484" s="1410">
        <f t="shared" si="243"/>
        <v>0</v>
      </c>
      <c r="AW484" s="1410">
        <f t="shared" si="244"/>
        <v>0</v>
      </c>
      <c r="AX484" s="1410">
        <f t="shared" si="245"/>
        <v>0</v>
      </c>
      <c r="AY484" s="3352">
        <f t="shared" si="246"/>
        <v>0</v>
      </c>
      <c r="AZ484" s="3307">
        <f t="shared" si="247"/>
        <v>0</v>
      </c>
      <c r="BA484" s="3307">
        <f t="shared" si="248"/>
        <v>0</v>
      </c>
      <c r="BB484" s="3307">
        <f t="shared" si="249"/>
        <v>0</v>
      </c>
      <c r="BC484" s="3307">
        <f t="shared" si="250"/>
        <v>0</v>
      </c>
      <c r="BD484" s="3307">
        <f t="shared" si="251"/>
        <v>0</v>
      </c>
      <c r="BE484" s="3307">
        <f t="shared" si="252"/>
        <v>0</v>
      </c>
      <c r="BF484" s="3307">
        <f t="shared" si="253"/>
        <v>0</v>
      </c>
      <c r="BG484" s="3307">
        <f t="shared" si="254"/>
        <v>0</v>
      </c>
      <c r="BH484" s="3307">
        <f t="shared" si="255"/>
        <v>0</v>
      </c>
      <c r="BI484" s="3307">
        <f t="shared" si="256"/>
        <v>0</v>
      </c>
      <c r="BJ484" s="3307">
        <f t="shared" si="257"/>
        <v>0</v>
      </c>
      <c r="BK484" s="3307">
        <f t="shared" si="258"/>
        <v>0</v>
      </c>
      <c r="BL484" s="3307">
        <f t="shared" si="259"/>
        <v>0</v>
      </c>
      <c r="BM484" s="3307">
        <f t="shared" si="260"/>
        <v>0</v>
      </c>
      <c r="BN484" s="3307">
        <f t="shared" si="261"/>
        <v>0</v>
      </c>
      <c r="BO484" s="3307">
        <f t="shared" si="262"/>
        <v>0</v>
      </c>
      <c r="BP484" s="3307">
        <f t="shared" si="263"/>
        <v>0</v>
      </c>
      <c r="BQ484" s="3307">
        <f t="shared" si="264"/>
        <v>0</v>
      </c>
      <c r="BR484" s="3307">
        <f t="shared" si="265"/>
        <v>0</v>
      </c>
      <c r="BS484" s="3307">
        <f t="shared" si="266"/>
        <v>0</v>
      </c>
      <c r="BT484" s="3359">
        <f t="shared" si="267"/>
        <v>0</v>
      </c>
    </row>
    <row r="485" spans="1:72">
      <c r="A485" s="3304"/>
      <c r="B485" s="3305"/>
      <c r="C485" s="3305"/>
      <c r="D485" s="3306"/>
      <c r="E485" s="3307">
        <f t="shared" si="239"/>
        <v>0</v>
      </c>
      <c r="F485" s="3308"/>
      <c r="G485" s="3309">
        <f t="shared" si="240"/>
        <v>0</v>
      </c>
      <c r="H485" s="3310">
        <f t="shared" si="241"/>
        <v>0</v>
      </c>
      <c r="I485" s="3317"/>
      <c r="J485" s="3317"/>
      <c r="K485" s="3317"/>
      <c r="L485" s="3317"/>
      <c r="M485" s="3317"/>
      <c r="N485" s="3317"/>
      <c r="O485" s="3317"/>
      <c r="P485" s="3317"/>
      <c r="Q485" s="3317"/>
      <c r="R485" s="3317"/>
      <c r="S485" s="3317"/>
      <c r="T485" s="3317"/>
      <c r="U485" s="3317"/>
      <c r="V485" s="3317"/>
      <c r="W485" s="3317"/>
      <c r="X485" s="3317"/>
      <c r="Y485" s="3317"/>
      <c r="Z485" s="3317"/>
      <c r="AA485" s="3317"/>
      <c r="AB485" s="3317"/>
      <c r="AC485" s="3307">
        <f t="shared" si="242"/>
        <v>0</v>
      </c>
      <c r="AD485" s="3327"/>
      <c r="AE485" s="3327"/>
      <c r="AF485" s="3327"/>
      <c r="AG485" s="3327"/>
      <c r="AH485" s="3327"/>
      <c r="AI485" s="3327"/>
      <c r="AJ485" s="3327"/>
      <c r="AK485" s="3327"/>
      <c r="AL485" s="3327"/>
      <c r="AM485" s="3327"/>
      <c r="AN485" s="3327"/>
      <c r="AO485" s="3327"/>
      <c r="AP485" s="3327"/>
      <c r="AQ485" s="3327"/>
      <c r="AR485" s="3327"/>
      <c r="AS485" s="3327"/>
      <c r="AT485" s="3337"/>
      <c r="AU485" s="3338"/>
      <c r="AV485" s="1410">
        <f t="shared" si="243"/>
        <v>0</v>
      </c>
      <c r="AW485" s="1410">
        <f t="shared" si="244"/>
        <v>0</v>
      </c>
      <c r="AX485" s="1410">
        <f t="shared" si="245"/>
        <v>0</v>
      </c>
      <c r="AY485" s="3352">
        <f t="shared" si="246"/>
        <v>0</v>
      </c>
      <c r="AZ485" s="3307">
        <f t="shared" si="247"/>
        <v>0</v>
      </c>
      <c r="BA485" s="3307">
        <f t="shared" si="248"/>
        <v>0</v>
      </c>
      <c r="BB485" s="3307">
        <f t="shared" si="249"/>
        <v>0</v>
      </c>
      <c r="BC485" s="3307">
        <f t="shared" si="250"/>
        <v>0</v>
      </c>
      <c r="BD485" s="3307">
        <f t="shared" si="251"/>
        <v>0</v>
      </c>
      <c r="BE485" s="3307">
        <f t="shared" si="252"/>
        <v>0</v>
      </c>
      <c r="BF485" s="3307">
        <f t="shared" si="253"/>
        <v>0</v>
      </c>
      <c r="BG485" s="3307">
        <f t="shared" si="254"/>
        <v>0</v>
      </c>
      <c r="BH485" s="3307">
        <f t="shared" si="255"/>
        <v>0</v>
      </c>
      <c r="BI485" s="3307">
        <f t="shared" si="256"/>
        <v>0</v>
      </c>
      <c r="BJ485" s="3307">
        <f t="shared" si="257"/>
        <v>0</v>
      </c>
      <c r="BK485" s="3307">
        <f t="shared" si="258"/>
        <v>0</v>
      </c>
      <c r="BL485" s="3307">
        <f t="shared" si="259"/>
        <v>0</v>
      </c>
      <c r="BM485" s="3307">
        <f t="shared" si="260"/>
        <v>0</v>
      </c>
      <c r="BN485" s="3307">
        <f t="shared" si="261"/>
        <v>0</v>
      </c>
      <c r="BO485" s="3307">
        <f t="shared" si="262"/>
        <v>0</v>
      </c>
      <c r="BP485" s="3307">
        <f t="shared" si="263"/>
        <v>0</v>
      </c>
      <c r="BQ485" s="3307">
        <f t="shared" si="264"/>
        <v>0</v>
      </c>
      <c r="BR485" s="3307">
        <f t="shared" si="265"/>
        <v>0</v>
      </c>
      <c r="BS485" s="3307">
        <f t="shared" si="266"/>
        <v>0</v>
      </c>
      <c r="BT485" s="3359">
        <f t="shared" si="267"/>
        <v>0</v>
      </c>
    </row>
    <row r="486" spans="1:72">
      <c r="A486" s="3304"/>
      <c r="B486" s="3305"/>
      <c r="C486" s="3305"/>
      <c r="D486" s="3306"/>
      <c r="E486" s="3307">
        <f t="shared" si="239"/>
        <v>0</v>
      </c>
      <c r="F486" s="3308"/>
      <c r="G486" s="3309">
        <f t="shared" si="240"/>
        <v>0</v>
      </c>
      <c r="H486" s="3310">
        <f t="shared" si="241"/>
        <v>0</v>
      </c>
      <c r="I486" s="3317"/>
      <c r="J486" s="3317"/>
      <c r="K486" s="3317"/>
      <c r="L486" s="3317"/>
      <c r="M486" s="3317"/>
      <c r="N486" s="3317"/>
      <c r="O486" s="3317"/>
      <c r="P486" s="3317"/>
      <c r="Q486" s="3317"/>
      <c r="R486" s="3317"/>
      <c r="S486" s="3317"/>
      <c r="T486" s="3317"/>
      <c r="U486" s="3317"/>
      <c r="V486" s="3317"/>
      <c r="W486" s="3317"/>
      <c r="X486" s="3317"/>
      <c r="Y486" s="3317"/>
      <c r="Z486" s="3317"/>
      <c r="AA486" s="3317"/>
      <c r="AB486" s="3317"/>
      <c r="AC486" s="3307">
        <f t="shared" si="242"/>
        <v>0</v>
      </c>
      <c r="AD486" s="3327"/>
      <c r="AE486" s="3327"/>
      <c r="AF486" s="3327"/>
      <c r="AG486" s="3327"/>
      <c r="AH486" s="3327"/>
      <c r="AI486" s="3327"/>
      <c r="AJ486" s="3327"/>
      <c r="AK486" s="3327"/>
      <c r="AL486" s="3327"/>
      <c r="AM486" s="3327"/>
      <c r="AN486" s="3327"/>
      <c r="AO486" s="3327"/>
      <c r="AP486" s="3327"/>
      <c r="AQ486" s="3327"/>
      <c r="AR486" s="3327"/>
      <c r="AS486" s="3327"/>
      <c r="AT486" s="3337"/>
      <c r="AU486" s="3338"/>
      <c r="AV486" s="1410">
        <f t="shared" si="243"/>
        <v>0</v>
      </c>
      <c r="AW486" s="1410">
        <f t="shared" si="244"/>
        <v>0</v>
      </c>
      <c r="AX486" s="1410">
        <f t="shared" si="245"/>
        <v>0</v>
      </c>
      <c r="AY486" s="3352">
        <f t="shared" si="246"/>
        <v>0</v>
      </c>
      <c r="AZ486" s="3307">
        <f t="shared" si="247"/>
        <v>0</v>
      </c>
      <c r="BA486" s="3307">
        <f t="shared" si="248"/>
        <v>0</v>
      </c>
      <c r="BB486" s="3307">
        <f t="shared" si="249"/>
        <v>0</v>
      </c>
      <c r="BC486" s="3307">
        <f t="shared" si="250"/>
        <v>0</v>
      </c>
      <c r="BD486" s="3307">
        <f t="shared" si="251"/>
        <v>0</v>
      </c>
      <c r="BE486" s="3307">
        <f t="shared" si="252"/>
        <v>0</v>
      </c>
      <c r="BF486" s="3307">
        <f t="shared" si="253"/>
        <v>0</v>
      </c>
      <c r="BG486" s="3307">
        <f t="shared" si="254"/>
        <v>0</v>
      </c>
      <c r="BH486" s="3307">
        <f t="shared" si="255"/>
        <v>0</v>
      </c>
      <c r="BI486" s="3307">
        <f t="shared" si="256"/>
        <v>0</v>
      </c>
      <c r="BJ486" s="3307">
        <f t="shared" si="257"/>
        <v>0</v>
      </c>
      <c r="BK486" s="3307">
        <f t="shared" si="258"/>
        <v>0</v>
      </c>
      <c r="BL486" s="3307">
        <f t="shared" si="259"/>
        <v>0</v>
      </c>
      <c r="BM486" s="3307">
        <f t="shared" si="260"/>
        <v>0</v>
      </c>
      <c r="BN486" s="3307">
        <f t="shared" si="261"/>
        <v>0</v>
      </c>
      <c r="BO486" s="3307">
        <f t="shared" si="262"/>
        <v>0</v>
      </c>
      <c r="BP486" s="3307">
        <f t="shared" si="263"/>
        <v>0</v>
      </c>
      <c r="BQ486" s="3307">
        <f t="shared" si="264"/>
        <v>0</v>
      </c>
      <c r="BR486" s="3307">
        <f t="shared" si="265"/>
        <v>0</v>
      </c>
      <c r="BS486" s="3307">
        <f t="shared" si="266"/>
        <v>0</v>
      </c>
      <c r="BT486" s="3359">
        <f t="shared" si="267"/>
        <v>0</v>
      </c>
    </row>
    <row r="487" spans="1:72">
      <c r="A487" s="3304"/>
      <c r="B487" s="3305"/>
      <c r="C487" s="3305"/>
      <c r="D487" s="3306"/>
      <c r="E487" s="3307">
        <f t="shared" si="239"/>
        <v>0</v>
      </c>
      <c r="F487" s="3308"/>
      <c r="G487" s="3309">
        <f t="shared" si="240"/>
        <v>0</v>
      </c>
      <c r="H487" s="3310">
        <f t="shared" si="241"/>
        <v>0</v>
      </c>
      <c r="I487" s="3317"/>
      <c r="J487" s="3317"/>
      <c r="K487" s="3317"/>
      <c r="L487" s="3317"/>
      <c r="M487" s="3317"/>
      <c r="N487" s="3317"/>
      <c r="O487" s="3317"/>
      <c r="P487" s="3317"/>
      <c r="Q487" s="3317"/>
      <c r="R487" s="3317"/>
      <c r="S487" s="3317"/>
      <c r="T487" s="3317"/>
      <c r="U487" s="3317"/>
      <c r="V487" s="3317"/>
      <c r="W487" s="3317"/>
      <c r="X487" s="3317"/>
      <c r="Y487" s="3317"/>
      <c r="Z487" s="3317"/>
      <c r="AA487" s="3317"/>
      <c r="AB487" s="3317"/>
      <c r="AC487" s="3307">
        <f t="shared" si="242"/>
        <v>0</v>
      </c>
      <c r="AD487" s="3327"/>
      <c r="AE487" s="3327"/>
      <c r="AF487" s="3327"/>
      <c r="AG487" s="3327"/>
      <c r="AH487" s="3327"/>
      <c r="AI487" s="3327"/>
      <c r="AJ487" s="3327"/>
      <c r="AK487" s="3327"/>
      <c r="AL487" s="3327"/>
      <c r="AM487" s="3327"/>
      <c r="AN487" s="3327"/>
      <c r="AO487" s="3327"/>
      <c r="AP487" s="3327"/>
      <c r="AQ487" s="3327"/>
      <c r="AR487" s="3327"/>
      <c r="AS487" s="3327"/>
      <c r="AT487" s="3337"/>
      <c r="AU487" s="3338"/>
      <c r="AV487" s="1410">
        <f t="shared" si="243"/>
        <v>0</v>
      </c>
      <c r="AW487" s="1410">
        <f t="shared" si="244"/>
        <v>0</v>
      </c>
      <c r="AX487" s="1410">
        <f t="shared" si="245"/>
        <v>0</v>
      </c>
      <c r="AY487" s="3352">
        <f t="shared" si="246"/>
        <v>0</v>
      </c>
      <c r="AZ487" s="3307">
        <f t="shared" si="247"/>
        <v>0</v>
      </c>
      <c r="BA487" s="3307">
        <f t="shared" si="248"/>
        <v>0</v>
      </c>
      <c r="BB487" s="3307">
        <f t="shared" si="249"/>
        <v>0</v>
      </c>
      <c r="BC487" s="3307">
        <f t="shared" si="250"/>
        <v>0</v>
      </c>
      <c r="BD487" s="3307">
        <f t="shared" si="251"/>
        <v>0</v>
      </c>
      <c r="BE487" s="3307">
        <f t="shared" si="252"/>
        <v>0</v>
      </c>
      <c r="BF487" s="3307">
        <f t="shared" si="253"/>
        <v>0</v>
      </c>
      <c r="BG487" s="3307">
        <f t="shared" si="254"/>
        <v>0</v>
      </c>
      <c r="BH487" s="3307">
        <f t="shared" si="255"/>
        <v>0</v>
      </c>
      <c r="BI487" s="3307">
        <f t="shared" si="256"/>
        <v>0</v>
      </c>
      <c r="BJ487" s="3307">
        <f t="shared" si="257"/>
        <v>0</v>
      </c>
      <c r="BK487" s="3307">
        <f t="shared" si="258"/>
        <v>0</v>
      </c>
      <c r="BL487" s="3307">
        <f t="shared" si="259"/>
        <v>0</v>
      </c>
      <c r="BM487" s="3307">
        <f t="shared" si="260"/>
        <v>0</v>
      </c>
      <c r="BN487" s="3307">
        <f t="shared" si="261"/>
        <v>0</v>
      </c>
      <c r="BO487" s="3307">
        <f t="shared" si="262"/>
        <v>0</v>
      </c>
      <c r="BP487" s="3307">
        <f t="shared" si="263"/>
        <v>0</v>
      </c>
      <c r="BQ487" s="3307">
        <f t="shared" si="264"/>
        <v>0</v>
      </c>
      <c r="BR487" s="3307">
        <f t="shared" si="265"/>
        <v>0</v>
      </c>
      <c r="BS487" s="3307">
        <f t="shared" si="266"/>
        <v>0</v>
      </c>
      <c r="BT487" s="3359">
        <f t="shared" si="267"/>
        <v>0</v>
      </c>
    </row>
    <row r="488" spans="1:72">
      <c r="A488" s="3304"/>
      <c r="B488" s="3305"/>
      <c r="C488" s="3305"/>
      <c r="D488" s="3306"/>
      <c r="E488" s="3307">
        <f t="shared" si="239"/>
        <v>0</v>
      </c>
      <c r="F488" s="3308"/>
      <c r="G488" s="3309">
        <f t="shared" si="240"/>
        <v>0</v>
      </c>
      <c r="H488" s="3310">
        <f t="shared" si="241"/>
        <v>0</v>
      </c>
      <c r="I488" s="3317"/>
      <c r="J488" s="3317"/>
      <c r="K488" s="3317"/>
      <c r="L488" s="3317"/>
      <c r="M488" s="3317"/>
      <c r="N488" s="3317"/>
      <c r="O488" s="3317"/>
      <c r="P488" s="3317"/>
      <c r="Q488" s="3317"/>
      <c r="R488" s="3317"/>
      <c r="S488" s="3317"/>
      <c r="T488" s="3317"/>
      <c r="U488" s="3317"/>
      <c r="V488" s="3317"/>
      <c r="W488" s="3317"/>
      <c r="X488" s="3317"/>
      <c r="Y488" s="3317"/>
      <c r="Z488" s="3317"/>
      <c r="AA488" s="3317"/>
      <c r="AB488" s="3317"/>
      <c r="AC488" s="3307">
        <f t="shared" si="242"/>
        <v>0</v>
      </c>
      <c r="AD488" s="3327"/>
      <c r="AE488" s="3327"/>
      <c r="AF488" s="3327"/>
      <c r="AG488" s="3327"/>
      <c r="AH488" s="3327"/>
      <c r="AI488" s="3327"/>
      <c r="AJ488" s="3327"/>
      <c r="AK488" s="3327"/>
      <c r="AL488" s="3327"/>
      <c r="AM488" s="3327"/>
      <c r="AN488" s="3327"/>
      <c r="AO488" s="3327"/>
      <c r="AP488" s="3327"/>
      <c r="AQ488" s="3327"/>
      <c r="AR488" s="3327"/>
      <c r="AS488" s="3327"/>
      <c r="AT488" s="3337"/>
      <c r="AU488" s="3338"/>
      <c r="AV488" s="1410">
        <f t="shared" si="243"/>
        <v>0</v>
      </c>
      <c r="AW488" s="1410">
        <f t="shared" si="244"/>
        <v>0</v>
      </c>
      <c r="AX488" s="1410">
        <f t="shared" si="245"/>
        <v>0</v>
      </c>
      <c r="AY488" s="3352">
        <f t="shared" si="246"/>
        <v>0</v>
      </c>
      <c r="AZ488" s="3307">
        <f t="shared" si="247"/>
        <v>0</v>
      </c>
      <c r="BA488" s="3307">
        <f t="shared" si="248"/>
        <v>0</v>
      </c>
      <c r="BB488" s="3307">
        <f t="shared" si="249"/>
        <v>0</v>
      </c>
      <c r="BC488" s="3307">
        <f t="shared" si="250"/>
        <v>0</v>
      </c>
      <c r="BD488" s="3307">
        <f t="shared" si="251"/>
        <v>0</v>
      </c>
      <c r="BE488" s="3307">
        <f t="shared" si="252"/>
        <v>0</v>
      </c>
      <c r="BF488" s="3307">
        <f t="shared" si="253"/>
        <v>0</v>
      </c>
      <c r="BG488" s="3307">
        <f t="shared" si="254"/>
        <v>0</v>
      </c>
      <c r="BH488" s="3307">
        <f t="shared" si="255"/>
        <v>0</v>
      </c>
      <c r="BI488" s="3307">
        <f t="shared" si="256"/>
        <v>0</v>
      </c>
      <c r="BJ488" s="3307">
        <f t="shared" si="257"/>
        <v>0</v>
      </c>
      <c r="BK488" s="3307">
        <f t="shared" si="258"/>
        <v>0</v>
      </c>
      <c r="BL488" s="3307">
        <f t="shared" si="259"/>
        <v>0</v>
      </c>
      <c r="BM488" s="3307">
        <f t="shared" si="260"/>
        <v>0</v>
      </c>
      <c r="BN488" s="3307">
        <f t="shared" si="261"/>
        <v>0</v>
      </c>
      <c r="BO488" s="3307">
        <f t="shared" si="262"/>
        <v>0</v>
      </c>
      <c r="BP488" s="3307">
        <f t="shared" si="263"/>
        <v>0</v>
      </c>
      <c r="BQ488" s="3307">
        <f t="shared" si="264"/>
        <v>0</v>
      </c>
      <c r="BR488" s="3307">
        <f t="shared" si="265"/>
        <v>0</v>
      </c>
      <c r="BS488" s="3307">
        <f t="shared" si="266"/>
        <v>0</v>
      </c>
      <c r="BT488" s="3359">
        <f t="shared" si="267"/>
        <v>0</v>
      </c>
    </row>
    <row r="489" spans="1:72">
      <c r="A489" s="3304"/>
      <c r="B489" s="3305"/>
      <c r="C489" s="3305"/>
      <c r="D489" s="3306"/>
      <c r="E489" s="3307">
        <f t="shared" si="239"/>
        <v>0</v>
      </c>
      <c r="F489" s="3308"/>
      <c r="G489" s="3309">
        <f t="shared" si="240"/>
        <v>0</v>
      </c>
      <c r="H489" s="3310">
        <f t="shared" si="241"/>
        <v>0</v>
      </c>
      <c r="I489" s="3317"/>
      <c r="J489" s="3317"/>
      <c r="K489" s="3317"/>
      <c r="L489" s="3317"/>
      <c r="M489" s="3317"/>
      <c r="N489" s="3317"/>
      <c r="O489" s="3317"/>
      <c r="P489" s="3317"/>
      <c r="Q489" s="3317"/>
      <c r="R489" s="3317"/>
      <c r="S489" s="3317"/>
      <c r="T489" s="3317"/>
      <c r="U489" s="3317"/>
      <c r="V489" s="3317"/>
      <c r="W489" s="3317"/>
      <c r="X489" s="3317"/>
      <c r="Y489" s="3317"/>
      <c r="Z489" s="3317"/>
      <c r="AA489" s="3317"/>
      <c r="AB489" s="3317"/>
      <c r="AC489" s="3307">
        <f t="shared" si="242"/>
        <v>0</v>
      </c>
      <c r="AD489" s="3327"/>
      <c r="AE489" s="3327"/>
      <c r="AF489" s="3327"/>
      <c r="AG489" s="3327"/>
      <c r="AH489" s="3327"/>
      <c r="AI489" s="3327"/>
      <c r="AJ489" s="3327"/>
      <c r="AK489" s="3327"/>
      <c r="AL489" s="3327"/>
      <c r="AM489" s="3327"/>
      <c r="AN489" s="3327"/>
      <c r="AO489" s="3327"/>
      <c r="AP489" s="3327"/>
      <c r="AQ489" s="3327"/>
      <c r="AR489" s="3327"/>
      <c r="AS489" s="3327"/>
      <c r="AT489" s="3337"/>
      <c r="AU489" s="3338"/>
      <c r="AV489" s="1410">
        <f t="shared" si="243"/>
        <v>0</v>
      </c>
      <c r="AW489" s="1410">
        <f t="shared" si="244"/>
        <v>0</v>
      </c>
      <c r="AX489" s="1410">
        <f t="shared" si="245"/>
        <v>0</v>
      </c>
      <c r="AY489" s="3352">
        <f t="shared" si="246"/>
        <v>0</v>
      </c>
      <c r="AZ489" s="3307">
        <f t="shared" si="247"/>
        <v>0</v>
      </c>
      <c r="BA489" s="3307">
        <f t="shared" si="248"/>
        <v>0</v>
      </c>
      <c r="BB489" s="3307">
        <f t="shared" si="249"/>
        <v>0</v>
      </c>
      <c r="BC489" s="3307">
        <f t="shared" si="250"/>
        <v>0</v>
      </c>
      <c r="BD489" s="3307">
        <f t="shared" si="251"/>
        <v>0</v>
      </c>
      <c r="BE489" s="3307">
        <f t="shared" si="252"/>
        <v>0</v>
      </c>
      <c r="BF489" s="3307">
        <f t="shared" si="253"/>
        <v>0</v>
      </c>
      <c r="BG489" s="3307">
        <f t="shared" si="254"/>
        <v>0</v>
      </c>
      <c r="BH489" s="3307">
        <f t="shared" si="255"/>
        <v>0</v>
      </c>
      <c r="BI489" s="3307">
        <f t="shared" si="256"/>
        <v>0</v>
      </c>
      <c r="BJ489" s="3307">
        <f t="shared" si="257"/>
        <v>0</v>
      </c>
      <c r="BK489" s="3307">
        <f t="shared" si="258"/>
        <v>0</v>
      </c>
      <c r="BL489" s="3307">
        <f t="shared" si="259"/>
        <v>0</v>
      </c>
      <c r="BM489" s="3307">
        <f t="shared" si="260"/>
        <v>0</v>
      </c>
      <c r="BN489" s="3307">
        <f t="shared" si="261"/>
        <v>0</v>
      </c>
      <c r="BO489" s="3307">
        <f t="shared" si="262"/>
        <v>0</v>
      </c>
      <c r="BP489" s="3307">
        <f t="shared" si="263"/>
        <v>0</v>
      </c>
      <c r="BQ489" s="3307">
        <f t="shared" si="264"/>
        <v>0</v>
      </c>
      <c r="BR489" s="3307">
        <f t="shared" si="265"/>
        <v>0</v>
      </c>
      <c r="BS489" s="3307">
        <f t="shared" si="266"/>
        <v>0</v>
      </c>
      <c r="BT489" s="3359">
        <f t="shared" si="267"/>
        <v>0</v>
      </c>
    </row>
    <row r="490" spans="1:72">
      <c r="A490" s="3304"/>
      <c r="B490" s="3304"/>
      <c r="C490" s="3304"/>
      <c r="D490" s="3306"/>
      <c r="E490" s="3307">
        <f t="shared" si="239"/>
        <v>0</v>
      </c>
      <c r="F490" s="3360"/>
      <c r="G490" s="3309">
        <f t="shared" ref="G490:G521" si="268">H490+AC490+AT490</f>
        <v>0</v>
      </c>
      <c r="H490" s="3310">
        <f t="shared" ref="H490:H521" si="269">SUMIF(I$12:AB$12,"总值",I490:AB490)</f>
        <v>0</v>
      </c>
      <c r="I490" s="3361"/>
      <c r="J490" s="3361"/>
      <c r="K490" s="3317"/>
      <c r="L490" s="3317"/>
      <c r="M490" s="3317"/>
      <c r="N490" s="3317"/>
      <c r="O490" s="3317"/>
      <c r="P490" s="3317"/>
      <c r="Q490" s="3317"/>
      <c r="R490" s="3317"/>
      <c r="S490" s="3317"/>
      <c r="T490" s="3317"/>
      <c r="U490" s="3317"/>
      <c r="V490" s="3317"/>
      <c r="W490" s="3317"/>
      <c r="X490" s="3317"/>
      <c r="Y490" s="3317"/>
      <c r="Z490" s="3317"/>
      <c r="AA490" s="3317"/>
      <c r="AB490" s="3317"/>
      <c r="AC490" s="3307">
        <f t="shared" ref="AC490:AC521" si="270">SUMIF(AD$12:AS$12,"总值",AD490:AS490)</f>
        <v>0</v>
      </c>
      <c r="AD490" s="3327"/>
      <c r="AE490" s="3327"/>
      <c r="AF490" s="3327"/>
      <c r="AG490" s="3327"/>
      <c r="AH490" s="3327"/>
      <c r="AI490" s="3327"/>
      <c r="AJ490" s="3327"/>
      <c r="AK490" s="3327"/>
      <c r="AL490" s="3327"/>
      <c r="AM490" s="3327"/>
      <c r="AN490" s="3327"/>
      <c r="AO490" s="3327"/>
      <c r="AP490" s="3327"/>
      <c r="AQ490" s="3327"/>
      <c r="AR490" s="3327"/>
      <c r="AS490" s="3327"/>
      <c r="AT490" s="3327"/>
      <c r="AU490" s="3362"/>
      <c r="AV490" s="1410">
        <f t="shared" si="243"/>
        <v>0</v>
      </c>
      <c r="AW490" s="1410">
        <f t="shared" si="244"/>
        <v>0</v>
      </c>
      <c r="AX490" s="1410">
        <f t="shared" si="245"/>
        <v>0</v>
      </c>
      <c r="AY490" s="3352">
        <f t="shared" ref="AY490:AY521" si="271">ROUND($AY$6*AZ490/$AZ$5,2)</f>
        <v>0</v>
      </c>
      <c r="AZ490" s="3307">
        <f t="shared" ref="AZ490:AZ521" si="272">BA490+BL490</f>
        <v>0</v>
      </c>
      <c r="BA490" s="3307">
        <f t="shared" ref="BA490:BA521" si="273">SUM(BB490:BK490)</f>
        <v>0</v>
      </c>
      <c r="BB490" s="3307">
        <f t="shared" ref="BB490:BB521" si="274">IF($D490="是",I490-J490,0)</f>
        <v>0</v>
      </c>
      <c r="BC490" s="3307">
        <f t="shared" ref="BC490:BC521" si="275">IF($D490="是",K490-L490,0)</f>
        <v>0</v>
      </c>
      <c r="BD490" s="3307">
        <f t="shared" ref="BD490:BD521" si="276">IF($D490="是",M490-N490,0)</f>
        <v>0</v>
      </c>
      <c r="BE490" s="3307">
        <f t="shared" ref="BE490:BE521" si="277">IF($D490="是",O490-P490,0)</f>
        <v>0</v>
      </c>
      <c r="BF490" s="3307">
        <f t="shared" ref="BF490:BF521" si="278">IF($D490="是",Q490-R490,0)</f>
        <v>0</v>
      </c>
      <c r="BG490" s="3307">
        <f t="shared" ref="BG490:BG521" si="279">IF($D490="是",S490-T490,0)</f>
        <v>0</v>
      </c>
      <c r="BH490" s="3307">
        <f t="shared" ref="BH490:BH521" si="280">IF($D490="是",U490-V490,0)</f>
        <v>0</v>
      </c>
      <c r="BI490" s="3307">
        <f t="shared" ref="BI490:BI521" si="281">IF($D490="是",W490-X490,0)</f>
        <v>0</v>
      </c>
      <c r="BJ490" s="3307">
        <f t="shared" ref="BJ490:BJ521" si="282">IF($D490="是",Y490-Z490,0)</f>
        <v>0</v>
      </c>
      <c r="BK490" s="3307">
        <f t="shared" ref="BK490:BK521" si="283">IF($D490="是",AA490-AB490,0)</f>
        <v>0</v>
      </c>
      <c r="BL490" s="3307">
        <f t="shared" ref="BL490:BL521" si="284">SUM(BM490:BT490)</f>
        <v>0</v>
      </c>
      <c r="BM490" s="3307">
        <f t="shared" ref="BM490:BM521" si="285">IF($D490="是",AD490-AE490,0)</f>
        <v>0</v>
      </c>
      <c r="BN490" s="3307">
        <f t="shared" ref="BN490:BN521" si="286">IF($D490="是",AF490-AG490,0)</f>
        <v>0</v>
      </c>
      <c r="BO490" s="3307">
        <f t="shared" ref="BO490:BO521" si="287">IF($D490="是",AH490-AI490,0)</f>
        <v>0</v>
      </c>
      <c r="BP490" s="3307">
        <f t="shared" ref="BP490:BP521" si="288">IF($D490="是",AJ490-AK490,0)</f>
        <v>0</v>
      </c>
      <c r="BQ490" s="3307">
        <f t="shared" ref="BQ490:BQ521" si="289">IF($D490="是",AL490-AM490,0)</f>
        <v>0</v>
      </c>
      <c r="BR490" s="3307">
        <f t="shared" ref="BR490:BR521" si="290">IF($D490="是",AN490-AO490,0)</f>
        <v>0</v>
      </c>
      <c r="BS490" s="3307">
        <f t="shared" ref="BS490:BS521" si="291">IF($D490="是",AP490-AQ490,0)</f>
        <v>0</v>
      </c>
      <c r="BT490" s="3359">
        <f t="shared" ref="BT490:BT521" si="292">IF($D490="是",AR490-AS490,0)</f>
        <v>0</v>
      </c>
    </row>
    <row r="491" spans="1:72">
      <c r="A491" s="3304"/>
      <c r="B491" s="3304"/>
      <c r="C491" s="3304"/>
      <c r="D491" s="3306"/>
      <c r="E491" s="3307">
        <f t="shared" si="239"/>
        <v>0</v>
      </c>
      <c r="F491" s="3360"/>
      <c r="G491" s="3309">
        <f t="shared" si="268"/>
        <v>0</v>
      </c>
      <c r="H491" s="3310">
        <f t="shared" si="269"/>
        <v>0</v>
      </c>
      <c r="I491" s="3317"/>
      <c r="J491" s="3317"/>
      <c r="K491" s="3317"/>
      <c r="L491" s="3317"/>
      <c r="M491" s="3317"/>
      <c r="N491" s="3317"/>
      <c r="O491" s="3317"/>
      <c r="P491" s="3317"/>
      <c r="Q491" s="3317"/>
      <c r="R491" s="3317"/>
      <c r="S491" s="3317"/>
      <c r="T491" s="3317"/>
      <c r="U491" s="3317"/>
      <c r="V491" s="3317"/>
      <c r="W491" s="3317"/>
      <c r="X491" s="3317"/>
      <c r="Y491" s="3317"/>
      <c r="Z491" s="3317"/>
      <c r="AA491" s="3317"/>
      <c r="AB491" s="3317"/>
      <c r="AC491" s="3307">
        <f t="shared" si="270"/>
        <v>0</v>
      </c>
      <c r="AD491" s="3327"/>
      <c r="AE491" s="3327"/>
      <c r="AF491" s="3327"/>
      <c r="AG491" s="3327"/>
      <c r="AH491" s="3327"/>
      <c r="AI491" s="3327"/>
      <c r="AJ491" s="3327"/>
      <c r="AK491" s="3327"/>
      <c r="AL491" s="3327"/>
      <c r="AM491" s="3327"/>
      <c r="AN491" s="3327"/>
      <c r="AO491" s="3327"/>
      <c r="AP491" s="3327"/>
      <c r="AQ491" s="3327"/>
      <c r="AR491" s="3327"/>
      <c r="AS491" s="3327"/>
      <c r="AT491" s="3327"/>
      <c r="AU491" s="3362"/>
      <c r="AV491" s="1410">
        <f t="shared" si="243"/>
        <v>0</v>
      </c>
      <c r="AW491" s="1410">
        <f t="shared" si="244"/>
        <v>0</v>
      </c>
      <c r="AX491" s="1410">
        <f t="shared" si="245"/>
        <v>0</v>
      </c>
      <c r="AY491" s="3352">
        <f t="shared" si="271"/>
        <v>0</v>
      </c>
      <c r="AZ491" s="3307">
        <f t="shared" si="272"/>
        <v>0</v>
      </c>
      <c r="BA491" s="3307">
        <f t="shared" si="273"/>
        <v>0</v>
      </c>
      <c r="BB491" s="3307">
        <f t="shared" si="274"/>
        <v>0</v>
      </c>
      <c r="BC491" s="3307">
        <f t="shared" si="275"/>
        <v>0</v>
      </c>
      <c r="BD491" s="3307">
        <f t="shared" si="276"/>
        <v>0</v>
      </c>
      <c r="BE491" s="3307">
        <f t="shared" si="277"/>
        <v>0</v>
      </c>
      <c r="BF491" s="3307">
        <f t="shared" si="278"/>
        <v>0</v>
      </c>
      <c r="BG491" s="3307">
        <f t="shared" si="279"/>
        <v>0</v>
      </c>
      <c r="BH491" s="3307">
        <f t="shared" si="280"/>
        <v>0</v>
      </c>
      <c r="BI491" s="3307">
        <f t="shared" si="281"/>
        <v>0</v>
      </c>
      <c r="BJ491" s="3307">
        <f t="shared" si="282"/>
        <v>0</v>
      </c>
      <c r="BK491" s="3307">
        <f t="shared" si="283"/>
        <v>0</v>
      </c>
      <c r="BL491" s="3307">
        <f t="shared" si="284"/>
        <v>0</v>
      </c>
      <c r="BM491" s="3307">
        <f t="shared" si="285"/>
        <v>0</v>
      </c>
      <c r="BN491" s="3307">
        <f t="shared" si="286"/>
        <v>0</v>
      </c>
      <c r="BO491" s="3307">
        <f t="shared" si="287"/>
        <v>0</v>
      </c>
      <c r="BP491" s="3307">
        <f t="shared" si="288"/>
        <v>0</v>
      </c>
      <c r="BQ491" s="3307">
        <f t="shared" si="289"/>
        <v>0</v>
      </c>
      <c r="BR491" s="3307">
        <f t="shared" si="290"/>
        <v>0</v>
      </c>
      <c r="BS491" s="3307">
        <f t="shared" si="291"/>
        <v>0</v>
      </c>
      <c r="BT491" s="3359">
        <f t="shared" si="292"/>
        <v>0</v>
      </c>
    </row>
    <row r="492" spans="1:72">
      <c r="A492" s="3304"/>
      <c r="B492" s="3304"/>
      <c r="C492" s="3304"/>
      <c r="D492" s="3306"/>
      <c r="E492" s="3307">
        <f t="shared" si="239"/>
        <v>0</v>
      </c>
      <c r="F492" s="3360"/>
      <c r="G492" s="3309">
        <f t="shared" si="268"/>
        <v>0</v>
      </c>
      <c r="H492" s="3310">
        <f t="shared" si="269"/>
        <v>0</v>
      </c>
      <c r="I492" s="3317"/>
      <c r="J492" s="3317"/>
      <c r="K492" s="3317"/>
      <c r="L492" s="3317"/>
      <c r="M492" s="3317"/>
      <c r="N492" s="3317"/>
      <c r="O492" s="3317"/>
      <c r="P492" s="3317"/>
      <c r="Q492" s="3317"/>
      <c r="R492" s="3317"/>
      <c r="S492" s="3317"/>
      <c r="T492" s="3317"/>
      <c r="U492" s="3317"/>
      <c r="V492" s="3317"/>
      <c r="W492" s="3317"/>
      <c r="X492" s="3317"/>
      <c r="Y492" s="3317"/>
      <c r="Z492" s="3317"/>
      <c r="AA492" s="3317"/>
      <c r="AB492" s="3317"/>
      <c r="AC492" s="3307">
        <f t="shared" si="270"/>
        <v>0</v>
      </c>
      <c r="AD492" s="3327"/>
      <c r="AE492" s="3327"/>
      <c r="AF492" s="3327"/>
      <c r="AG492" s="3327"/>
      <c r="AH492" s="3327"/>
      <c r="AI492" s="3327"/>
      <c r="AJ492" s="3327"/>
      <c r="AK492" s="3327"/>
      <c r="AL492" s="3327"/>
      <c r="AM492" s="3327"/>
      <c r="AN492" s="3327"/>
      <c r="AO492" s="3327"/>
      <c r="AP492" s="3327"/>
      <c r="AQ492" s="3327"/>
      <c r="AR492" s="3327"/>
      <c r="AS492" s="3327"/>
      <c r="AT492" s="3327"/>
      <c r="AU492" s="3362"/>
      <c r="AV492" s="1410">
        <f t="shared" si="243"/>
        <v>0</v>
      </c>
      <c r="AW492" s="1410">
        <f t="shared" si="244"/>
        <v>0</v>
      </c>
      <c r="AX492" s="1410">
        <f t="shared" si="245"/>
        <v>0</v>
      </c>
      <c r="AY492" s="3352">
        <f t="shared" si="271"/>
        <v>0</v>
      </c>
      <c r="AZ492" s="3307">
        <f t="shared" si="272"/>
        <v>0</v>
      </c>
      <c r="BA492" s="3307">
        <f t="shared" si="273"/>
        <v>0</v>
      </c>
      <c r="BB492" s="3307">
        <f t="shared" si="274"/>
        <v>0</v>
      </c>
      <c r="BC492" s="3307">
        <f t="shared" si="275"/>
        <v>0</v>
      </c>
      <c r="BD492" s="3307">
        <f t="shared" si="276"/>
        <v>0</v>
      </c>
      <c r="BE492" s="3307">
        <f t="shared" si="277"/>
        <v>0</v>
      </c>
      <c r="BF492" s="3307">
        <f t="shared" si="278"/>
        <v>0</v>
      </c>
      <c r="BG492" s="3307">
        <f t="shared" si="279"/>
        <v>0</v>
      </c>
      <c r="BH492" s="3307">
        <f t="shared" si="280"/>
        <v>0</v>
      </c>
      <c r="BI492" s="3307">
        <f t="shared" si="281"/>
        <v>0</v>
      </c>
      <c r="BJ492" s="3307">
        <f t="shared" si="282"/>
        <v>0</v>
      </c>
      <c r="BK492" s="3307">
        <f t="shared" si="283"/>
        <v>0</v>
      </c>
      <c r="BL492" s="3307">
        <f t="shared" si="284"/>
        <v>0</v>
      </c>
      <c r="BM492" s="3307">
        <f t="shared" si="285"/>
        <v>0</v>
      </c>
      <c r="BN492" s="3307">
        <f t="shared" si="286"/>
        <v>0</v>
      </c>
      <c r="BO492" s="3307">
        <f t="shared" si="287"/>
        <v>0</v>
      </c>
      <c r="BP492" s="3307">
        <f t="shared" si="288"/>
        <v>0</v>
      </c>
      <c r="BQ492" s="3307">
        <f t="shared" si="289"/>
        <v>0</v>
      </c>
      <c r="BR492" s="3307">
        <f t="shared" si="290"/>
        <v>0</v>
      </c>
      <c r="BS492" s="3307">
        <f t="shared" si="291"/>
        <v>0</v>
      </c>
      <c r="BT492" s="3359">
        <f t="shared" si="292"/>
        <v>0</v>
      </c>
    </row>
    <row r="493" spans="1:72">
      <c r="A493" s="3304"/>
      <c r="B493" s="3305"/>
      <c r="C493" s="3305"/>
      <c r="D493" s="3306"/>
      <c r="E493" s="3307">
        <f t="shared" ref="E493:E519" si="293">IF($C$3="是",ROUND($A$3*G493/$B$3,2),ROUND($A$3*(G493-AT493)/$B$3,2))</f>
        <v>0</v>
      </c>
      <c r="F493" s="3308"/>
      <c r="G493" s="3309">
        <f t="shared" si="268"/>
        <v>0</v>
      </c>
      <c r="H493" s="3310">
        <f t="shared" si="269"/>
        <v>0</v>
      </c>
      <c r="I493" s="3317"/>
      <c r="J493" s="3317"/>
      <c r="K493" s="3317"/>
      <c r="L493" s="3317"/>
      <c r="M493" s="3317"/>
      <c r="N493" s="3317"/>
      <c r="O493" s="3317"/>
      <c r="P493" s="3317"/>
      <c r="Q493" s="3317"/>
      <c r="R493" s="3317"/>
      <c r="S493" s="3317"/>
      <c r="T493" s="3317"/>
      <c r="U493" s="3317"/>
      <c r="V493" s="3317"/>
      <c r="W493" s="3317"/>
      <c r="X493" s="3317"/>
      <c r="Y493" s="3317"/>
      <c r="Z493" s="3317"/>
      <c r="AA493" s="3317"/>
      <c r="AB493" s="3317"/>
      <c r="AC493" s="3307">
        <f t="shared" si="270"/>
        <v>0</v>
      </c>
      <c r="AD493" s="3327"/>
      <c r="AE493" s="3327"/>
      <c r="AF493" s="3327"/>
      <c r="AG493" s="3327"/>
      <c r="AH493" s="3327"/>
      <c r="AI493" s="3327"/>
      <c r="AJ493" s="3327"/>
      <c r="AK493" s="3327"/>
      <c r="AL493" s="3327"/>
      <c r="AM493" s="3327"/>
      <c r="AN493" s="3327"/>
      <c r="AO493" s="3327"/>
      <c r="AP493" s="3327"/>
      <c r="AQ493" s="3327"/>
      <c r="AR493" s="3327"/>
      <c r="AS493" s="3327"/>
      <c r="AT493" s="3337"/>
      <c r="AU493" s="3338"/>
      <c r="AV493" s="1410">
        <f t="shared" ref="AV493:AV520" si="294">A493</f>
        <v>0</v>
      </c>
      <c r="AW493" s="1410">
        <f t="shared" ref="AW493:AW520" si="295">B493</f>
        <v>0</v>
      </c>
      <c r="AX493" s="1410">
        <f t="shared" ref="AX493:AX520" si="296">C493</f>
        <v>0</v>
      </c>
      <c r="AY493" s="3352">
        <f t="shared" si="271"/>
        <v>0</v>
      </c>
      <c r="AZ493" s="3307">
        <f t="shared" si="272"/>
        <v>0</v>
      </c>
      <c r="BA493" s="3307">
        <f t="shared" si="273"/>
        <v>0</v>
      </c>
      <c r="BB493" s="3307">
        <f t="shared" si="274"/>
        <v>0</v>
      </c>
      <c r="BC493" s="3307">
        <f t="shared" si="275"/>
        <v>0</v>
      </c>
      <c r="BD493" s="3307">
        <f t="shared" si="276"/>
        <v>0</v>
      </c>
      <c r="BE493" s="3307">
        <f t="shared" si="277"/>
        <v>0</v>
      </c>
      <c r="BF493" s="3307">
        <f t="shared" si="278"/>
        <v>0</v>
      </c>
      <c r="BG493" s="3307">
        <f t="shared" si="279"/>
        <v>0</v>
      </c>
      <c r="BH493" s="3307">
        <f t="shared" si="280"/>
        <v>0</v>
      </c>
      <c r="BI493" s="3307">
        <f t="shared" si="281"/>
        <v>0</v>
      </c>
      <c r="BJ493" s="3307">
        <f t="shared" si="282"/>
        <v>0</v>
      </c>
      <c r="BK493" s="3307">
        <f t="shared" si="283"/>
        <v>0</v>
      </c>
      <c r="BL493" s="3307">
        <f t="shared" si="284"/>
        <v>0</v>
      </c>
      <c r="BM493" s="3307">
        <f t="shared" si="285"/>
        <v>0</v>
      </c>
      <c r="BN493" s="3307">
        <f t="shared" si="286"/>
        <v>0</v>
      </c>
      <c r="BO493" s="3307">
        <f t="shared" si="287"/>
        <v>0</v>
      </c>
      <c r="BP493" s="3307">
        <f t="shared" si="288"/>
        <v>0</v>
      </c>
      <c r="BQ493" s="3307">
        <f t="shared" si="289"/>
        <v>0</v>
      </c>
      <c r="BR493" s="3307">
        <f t="shared" si="290"/>
        <v>0</v>
      </c>
      <c r="BS493" s="3307">
        <f t="shared" si="291"/>
        <v>0</v>
      </c>
      <c r="BT493" s="3359">
        <f t="shared" si="292"/>
        <v>0</v>
      </c>
    </row>
    <row r="494" spans="1:72">
      <c r="A494" s="3304"/>
      <c r="B494" s="3305"/>
      <c r="C494" s="3305"/>
      <c r="D494" s="3306"/>
      <c r="E494" s="3307">
        <f t="shared" si="293"/>
        <v>0</v>
      </c>
      <c r="F494" s="3308"/>
      <c r="G494" s="3309">
        <f t="shared" si="268"/>
        <v>0</v>
      </c>
      <c r="H494" s="3310">
        <f t="shared" si="269"/>
        <v>0</v>
      </c>
      <c r="I494" s="3317"/>
      <c r="J494" s="3317"/>
      <c r="K494" s="3317"/>
      <c r="L494" s="3317"/>
      <c r="M494" s="3317"/>
      <c r="N494" s="3317"/>
      <c r="O494" s="3317"/>
      <c r="P494" s="3317"/>
      <c r="Q494" s="3317"/>
      <c r="R494" s="3317"/>
      <c r="S494" s="3317"/>
      <c r="T494" s="3317"/>
      <c r="U494" s="3317"/>
      <c r="V494" s="3317"/>
      <c r="W494" s="3317"/>
      <c r="X494" s="3317"/>
      <c r="Y494" s="3317"/>
      <c r="Z494" s="3317"/>
      <c r="AA494" s="3317"/>
      <c r="AB494" s="3317"/>
      <c r="AC494" s="3307">
        <f t="shared" si="270"/>
        <v>0</v>
      </c>
      <c r="AD494" s="3327"/>
      <c r="AE494" s="3327"/>
      <c r="AF494" s="3327"/>
      <c r="AG494" s="3327"/>
      <c r="AH494" s="3327"/>
      <c r="AI494" s="3327"/>
      <c r="AJ494" s="3327"/>
      <c r="AK494" s="3327"/>
      <c r="AL494" s="3327"/>
      <c r="AM494" s="3327"/>
      <c r="AN494" s="3327"/>
      <c r="AO494" s="3327"/>
      <c r="AP494" s="3327"/>
      <c r="AQ494" s="3327"/>
      <c r="AR494" s="3327"/>
      <c r="AS494" s="3327"/>
      <c r="AT494" s="3337"/>
      <c r="AU494" s="3338"/>
      <c r="AV494" s="1410">
        <f t="shared" si="294"/>
        <v>0</v>
      </c>
      <c r="AW494" s="1410">
        <f t="shared" si="295"/>
        <v>0</v>
      </c>
      <c r="AX494" s="1410">
        <f t="shared" si="296"/>
        <v>0</v>
      </c>
      <c r="AY494" s="3352">
        <f t="shared" si="271"/>
        <v>0</v>
      </c>
      <c r="AZ494" s="3307">
        <f t="shared" si="272"/>
        <v>0</v>
      </c>
      <c r="BA494" s="3307">
        <f t="shared" si="273"/>
        <v>0</v>
      </c>
      <c r="BB494" s="3307">
        <f t="shared" si="274"/>
        <v>0</v>
      </c>
      <c r="BC494" s="3307">
        <f t="shared" si="275"/>
        <v>0</v>
      </c>
      <c r="BD494" s="3307">
        <f t="shared" si="276"/>
        <v>0</v>
      </c>
      <c r="BE494" s="3307">
        <f t="shared" si="277"/>
        <v>0</v>
      </c>
      <c r="BF494" s="3307">
        <f t="shared" si="278"/>
        <v>0</v>
      </c>
      <c r="BG494" s="3307">
        <f t="shared" si="279"/>
        <v>0</v>
      </c>
      <c r="BH494" s="3307">
        <f t="shared" si="280"/>
        <v>0</v>
      </c>
      <c r="BI494" s="3307">
        <f t="shared" si="281"/>
        <v>0</v>
      </c>
      <c r="BJ494" s="3307">
        <f t="shared" si="282"/>
        <v>0</v>
      </c>
      <c r="BK494" s="3307">
        <f t="shared" si="283"/>
        <v>0</v>
      </c>
      <c r="BL494" s="3307">
        <f t="shared" si="284"/>
        <v>0</v>
      </c>
      <c r="BM494" s="3307">
        <f t="shared" si="285"/>
        <v>0</v>
      </c>
      <c r="BN494" s="3307">
        <f t="shared" si="286"/>
        <v>0</v>
      </c>
      <c r="BO494" s="3307">
        <f t="shared" si="287"/>
        <v>0</v>
      </c>
      <c r="BP494" s="3307">
        <f t="shared" si="288"/>
        <v>0</v>
      </c>
      <c r="BQ494" s="3307">
        <f t="shared" si="289"/>
        <v>0</v>
      </c>
      <c r="BR494" s="3307">
        <f t="shared" si="290"/>
        <v>0</v>
      </c>
      <c r="BS494" s="3307">
        <f t="shared" si="291"/>
        <v>0</v>
      </c>
      <c r="BT494" s="3359">
        <f t="shared" si="292"/>
        <v>0</v>
      </c>
    </row>
    <row r="495" spans="1:72">
      <c r="A495" s="3304"/>
      <c r="B495" s="3305"/>
      <c r="C495" s="3305"/>
      <c r="D495" s="3306"/>
      <c r="E495" s="3307">
        <f t="shared" si="293"/>
        <v>0</v>
      </c>
      <c r="F495" s="3308"/>
      <c r="G495" s="3309">
        <f t="shared" si="268"/>
        <v>0</v>
      </c>
      <c r="H495" s="3310">
        <f t="shared" si="269"/>
        <v>0</v>
      </c>
      <c r="I495" s="3317"/>
      <c r="J495" s="3317"/>
      <c r="K495" s="3317"/>
      <c r="L495" s="3317"/>
      <c r="M495" s="3317"/>
      <c r="N495" s="3317"/>
      <c r="O495" s="3317"/>
      <c r="P495" s="3317"/>
      <c r="Q495" s="3317"/>
      <c r="R495" s="3317"/>
      <c r="S495" s="3317"/>
      <c r="T495" s="3317"/>
      <c r="U495" s="3317"/>
      <c r="V495" s="3317"/>
      <c r="W495" s="3317"/>
      <c r="X495" s="3317"/>
      <c r="Y495" s="3317"/>
      <c r="Z495" s="3317"/>
      <c r="AA495" s="3317"/>
      <c r="AB495" s="3317"/>
      <c r="AC495" s="3307">
        <f t="shared" si="270"/>
        <v>0</v>
      </c>
      <c r="AD495" s="3327"/>
      <c r="AE495" s="3327"/>
      <c r="AF495" s="3327"/>
      <c r="AG495" s="3327"/>
      <c r="AH495" s="3327"/>
      <c r="AI495" s="3327"/>
      <c r="AJ495" s="3327"/>
      <c r="AK495" s="3327"/>
      <c r="AL495" s="3327"/>
      <c r="AM495" s="3327"/>
      <c r="AN495" s="3327"/>
      <c r="AO495" s="3327"/>
      <c r="AP495" s="3327"/>
      <c r="AQ495" s="3327"/>
      <c r="AR495" s="3327"/>
      <c r="AS495" s="3327"/>
      <c r="AT495" s="3337"/>
      <c r="AU495" s="3338"/>
      <c r="AV495" s="1410">
        <f t="shared" si="294"/>
        <v>0</v>
      </c>
      <c r="AW495" s="1410">
        <f t="shared" si="295"/>
        <v>0</v>
      </c>
      <c r="AX495" s="1410">
        <f t="shared" si="296"/>
        <v>0</v>
      </c>
      <c r="AY495" s="3352">
        <f t="shared" si="271"/>
        <v>0</v>
      </c>
      <c r="AZ495" s="3307">
        <f t="shared" si="272"/>
        <v>0</v>
      </c>
      <c r="BA495" s="3307">
        <f t="shared" si="273"/>
        <v>0</v>
      </c>
      <c r="BB495" s="3307">
        <f t="shared" si="274"/>
        <v>0</v>
      </c>
      <c r="BC495" s="3307">
        <f t="shared" si="275"/>
        <v>0</v>
      </c>
      <c r="BD495" s="3307">
        <f t="shared" si="276"/>
        <v>0</v>
      </c>
      <c r="BE495" s="3307">
        <f t="shared" si="277"/>
        <v>0</v>
      </c>
      <c r="BF495" s="3307">
        <f t="shared" si="278"/>
        <v>0</v>
      </c>
      <c r="BG495" s="3307">
        <f t="shared" si="279"/>
        <v>0</v>
      </c>
      <c r="BH495" s="3307">
        <f t="shared" si="280"/>
        <v>0</v>
      </c>
      <c r="BI495" s="3307">
        <f t="shared" si="281"/>
        <v>0</v>
      </c>
      <c r="BJ495" s="3307">
        <f t="shared" si="282"/>
        <v>0</v>
      </c>
      <c r="BK495" s="3307">
        <f t="shared" si="283"/>
        <v>0</v>
      </c>
      <c r="BL495" s="3307">
        <f t="shared" si="284"/>
        <v>0</v>
      </c>
      <c r="BM495" s="3307">
        <f t="shared" si="285"/>
        <v>0</v>
      </c>
      <c r="BN495" s="3307">
        <f t="shared" si="286"/>
        <v>0</v>
      </c>
      <c r="BO495" s="3307">
        <f t="shared" si="287"/>
        <v>0</v>
      </c>
      <c r="BP495" s="3307">
        <f t="shared" si="288"/>
        <v>0</v>
      </c>
      <c r="BQ495" s="3307">
        <f t="shared" si="289"/>
        <v>0</v>
      </c>
      <c r="BR495" s="3307">
        <f t="shared" si="290"/>
        <v>0</v>
      </c>
      <c r="BS495" s="3307">
        <f t="shared" si="291"/>
        <v>0</v>
      </c>
      <c r="BT495" s="3359">
        <f t="shared" si="292"/>
        <v>0</v>
      </c>
    </row>
    <row r="496" spans="1:72">
      <c r="A496" s="3304"/>
      <c r="B496" s="3305"/>
      <c r="C496" s="3305"/>
      <c r="D496" s="3306"/>
      <c r="E496" s="3307">
        <f t="shared" si="293"/>
        <v>0</v>
      </c>
      <c r="F496" s="3308"/>
      <c r="G496" s="3309">
        <f t="shared" si="268"/>
        <v>0</v>
      </c>
      <c r="H496" s="3310">
        <f t="shared" si="269"/>
        <v>0</v>
      </c>
      <c r="I496" s="3317"/>
      <c r="J496" s="3317"/>
      <c r="K496" s="3317"/>
      <c r="L496" s="3317"/>
      <c r="M496" s="3317"/>
      <c r="N496" s="3317"/>
      <c r="O496" s="3317"/>
      <c r="P496" s="3317"/>
      <c r="Q496" s="3317"/>
      <c r="R496" s="3317"/>
      <c r="S496" s="3317"/>
      <c r="T496" s="3317"/>
      <c r="U496" s="3317"/>
      <c r="V496" s="3317"/>
      <c r="W496" s="3317"/>
      <c r="X496" s="3317"/>
      <c r="Y496" s="3317"/>
      <c r="Z496" s="3317"/>
      <c r="AA496" s="3317"/>
      <c r="AB496" s="3317"/>
      <c r="AC496" s="3307">
        <f t="shared" si="270"/>
        <v>0</v>
      </c>
      <c r="AD496" s="3327"/>
      <c r="AE496" s="3327"/>
      <c r="AF496" s="3327"/>
      <c r="AG496" s="3327"/>
      <c r="AH496" s="3327"/>
      <c r="AI496" s="3327"/>
      <c r="AJ496" s="3327"/>
      <c r="AK496" s="3327"/>
      <c r="AL496" s="3327"/>
      <c r="AM496" s="3327"/>
      <c r="AN496" s="3327"/>
      <c r="AO496" s="3327"/>
      <c r="AP496" s="3327"/>
      <c r="AQ496" s="3327"/>
      <c r="AR496" s="3327"/>
      <c r="AS496" s="3327"/>
      <c r="AT496" s="3337"/>
      <c r="AU496" s="3338"/>
      <c r="AV496" s="1410">
        <f t="shared" si="294"/>
        <v>0</v>
      </c>
      <c r="AW496" s="1410">
        <f t="shared" si="295"/>
        <v>0</v>
      </c>
      <c r="AX496" s="1410">
        <f t="shared" si="296"/>
        <v>0</v>
      </c>
      <c r="AY496" s="3352">
        <f t="shared" si="271"/>
        <v>0</v>
      </c>
      <c r="AZ496" s="3307">
        <f t="shared" si="272"/>
        <v>0</v>
      </c>
      <c r="BA496" s="3307">
        <f t="shared" si="273"/>
        <v>0</v>
      </c>
      <c r="BB496" s="3307">
        <f t="shared" si="274"/>
        <v>0</v>
      </c>
      <c r="BC496" s="3307">
        <f t="shared" si="275"/>
        <v>0</v>
      </c>
      <c r="BD496" s="3307">
        <f t="shared" si="276"/>
        <v>0</v>
      </c>
      <c r="BE496" s="3307">
        <f t="shared" si="277"/>
        <v>0</v>
      </c>
      <c r="BF496" s="3307">
        <f t="shared" si="278"/>
        <v>0</v>
      </c>
      <c r="BG496" s="3307">
        <f t="shared" si="279"/>
        <v>0</v>
      </c>
      <c r="BH496" s="3307">
        <f t="shared" si="280"/>
        <v>0</v>
      </c>
      <c r="BI496" s="3307">
        <f t="shared" si="281"/>
        <v>0</v>
      </c>
      <c r="BJ496" s="3307">
        <f t="shared" si="282"/>
        <v>0</v>
      </c>
      <c r="BK496" s="3307">
        <f t="shared" si="283"/>
        <v>0</v>
      </c>
      <c r="BL496" s="3307">
        <f t="shared" si="284"/>
        <v>0</v>
      </c>
      <c r="BM496" s="3307">
        <f t="shared" si="285"/>
        <v>0</v>
      </c>
      <c r="BN496" s="3307">
        <f t="shared" si="286"/>
        <v>0</v>
      </c>
      <c r="BO496" s="3307">
        <f t="shared" si="287"/>
        <v>0</v>
      </c>
      <c r="BP496" s="3307">
        <f t="shared" si="288"/>
        <v>0</v>
      </c>
      <c r="BQ496" s="3307">
        <f t="shared" si="289"/>
        <v>0</v>
      </c>
      <c r="BR496" s="3307">
        <f t="shared" si="290"/>
        <v>0</v>
      </c>
      <c r="BS496" s="3307">
        <f t="shared" si="291"/>
        <v>0</v>
      </c>
      <c r="BT496" s="3359">
        <f t="shared" si="292"/>
        <v>0</v>
      </c>
    </row>
    <row r="497" spans="1:72">
      <c r="A497" s="3304"/>
      <c r="B497" s="3305"/>
      <c r="C497" s="3305"/>
      <c r="D497" s="3306"/>
      <c r="E497" s="3307">
        <f t="shared" si="293"/>
        <v>0</v>
      </c>
      <c r="F497" s="3308"/>
      <c r="G497" s="3309">
        <f t="shared" si="268"/>
        <v>0</v>
      </c>
      <c r="H497" s="3310">
        <f t="shared" si="269"/>
        <v>0</v>
      </c>
      <c r="I497" s="3317"/>
      <c r="J497" s="3317"/>
      <c r="K497" s="3317"/>
      <c r="L497" s="3317"/>
      <c r="M497" s="3317"/>
      <c r="N497" s="3317"/>
      <c r="O497" s="3317"/>
      <c r="P497" s="3317"/>
      <c r="Q497" s="3317"/>
      <c r="R497" s="3317"/>
      <c r="S497" s="3317"/>
      <c r="T497" s="3317"/>
      <c r="U497" s="3317"/>
      <c r="V497" s="3317"/>
      <c r="W497" s="3317"/>
      <c r="X497" s="3317"/>
      <c r="Y497" s="3317"/>
      <c r="Z497" s="3317"/>
      <c r="AA497" s="3317"/>
      <c r="AB497" s="3317"/>
      <c r="AC497" s="3307">
        <f t="shared" si="270"/>
        <v>0</v>
      </c>
      <c r="AD497" s="3327"/>
      <c r="AE497" s="3327"/>
      <c r="AF497" s="3327"/>
      <c r="AG497" s="3327"/>
      <c r="AH497" s="3327"/>
      <c r="AI497" s="3327"/>
      <c r="AJ497" s="3327"/>
      <c r="AK497" s="3327"/>
      <c r="AL497" s="3327"/>
      <c r="AM497" s="3327"/>
      <c r="AN497" s="3327"/>
      <c r="AO497" s="3327"/>
      <c r="AP497" s="3327"/>
      <c r="AQ497" s="3327"/>
      <c r="AR497" s="3327"/>
      <c r="AS497" s="3327"/>
      <c r="AT497" s="3337"/>
      <c r="AU497" s="3338"/>
      <c r="AV497" s="1410">
        <f t="shared" si="294"/>
        <v>0</v>
      </c>
      <c r="AW497" s="1410">
        <f t="shared" si="295"/>
        <v>0</v>
      </c>
      <c r="AX497" s="1410">
        <f t="shared" si="296"/>
        <v>0</v>
      </c>
      <c r="AY497" s="3352">
        <f t="shared" si="271"/>
        <v>0</v>
      </c>
      <c r="AZ497" s="3307">
        <f t="shared" si="272"/>
        <v>0</v>
      </c>
      <c r="BA497" s="3307">
        <f t="shared" si="273"/>
        <v>0</v>
      </c>
      <c r="BB497" s="3307">
        <f t="shared" si="274"/>
        <v>0</v>
      </c>
      <c r="BC497" s="3307">
        <f t="shared" si="275"/>
        <v>0</v>
      </c>
      <c r="BD497" s="3307">
        <f t="shared" si="276"/>
        <v>0</v>
      </c>
      <c r="BE497" s="3307">
        <f t="shared" si="277"/>
        <v>0</v>
      </c>
      <c r="BF497" s="3307">
        <f t="shared" si="278"/>
        <v>0</v>
      </c>
      <c r="BG497" s="3307">
        <f t="shared" si="279"/>
        <v>0</v>
      </c>
      <c r="BH497" s="3307">
        <f t="shared" si="280"/>
        <v>0</v>
      </c>
      <c r="BI497" s="3307">
        <f t="shared" si="281"/>
        <v>0</v>
      </c>
      <c r="BJ497" s="3307">
        <f t="shared" si="282"/>
        <v>0</v>
      </c>
      <c r="BK497" s="3307">
        <f t="shared" si="283"/>
        <v>0</v>
      </c>
      <c r="BL497" s="3307">
        <f t="shared" si="284"/>
        <v>0</v>
      </c>
      <c r="BM497" s="3307">
        <f t="shared" si="285"/>
        <v>0</v>
      </c>
      <c r="BN497" s="3307">
        <f t="shared" si="286"/>
        <v>0</v>
      </c>
      <c r="BO497" s="3307">
        <f t="shared" si="287"/>
        <v>0</v>
      </c>
      <c r="BP497" s="3307">
        <f t="shared" si="288"/>
        <v>0</v>
      </c>
      <c r="BQ497" s="3307">
        <f t="shared" si="289"/>
        <v>0</v>
      </c>
      <c r="BR497" s="3307">
        <f t="shared" si="290"/>
        <v>0</v>
      </c>
      <c r="BS497" s="3307">
        <f t="shared" si="291"/>
        <v>0</v>
      </c>
      <c r="BT497" s="3359">
        <f t="shared" si="292"/>
        <v>0</v>
      </c>
    </row>
    <row r="498" spans="1:72">
      <c r="A498" s="3304"/>
      <c r="B498" s="3305"/>
      <c r="C498" s="3305"/>
      <c r="D498" s="3306"/>
      <c r="E498" s="3307">
        <f t="shared" si="293"/>
        <v>0</v>
      </c>
      <c r="F498" s="3308"/>
      <c r="G498" s="3309">
        <f t="shared" si="268"/>
        <v>0</v>
      </c>
      <c r="H498" s="3310">
        <f t="shared" si="269"/>
        <v>0</v>
      </c>
      <c r="I498" s="3317"/>
      <c r="J498" s="3317"/>
      <c r="K498" s="3317"/>
      <c r="L498" s="3317"/>
      <c r="M498" s="3317"/>
      <c r="N498" s="3317"/>
      <c r="O498" s="3317"/>
      <c r="P498" s="3317"/>
      <c r="Q498" s="3317"/>
      <c r="R498" s="3317"/>
      <c r="S498" s="3317"/>
      <c r="T498" s="3317"/>
      <c r="U498" s="3317"/>
      <c r="V498" s="3317"/>
      <c r="W498" s="3317"/>
      <c r="X498" s="3317"/>
      <c r="Y498" s="3317"/>
      <c r="Z498" s="3317"/>
      <c r="AA498" s="3317"/>
      <c r="AB498" s="3317"/>
      <c r="AC498" s="3307">
        <f t="shared" si="270"/>
        <v>0</v>
      </c>
      <c r="AD498" s="3327"/>
      <c r="AE498" s="3327"/>
      <c r="AF498" s="3327"/>
      <c r="AG498" s="3327"/>
      <c r="AH498" s="3327"/>
      <c r="AI498" s="3327"/>
      <c r="AJ498" s="3327"/>
      <c r="AK498" s="3327"/>
      <c r="AL498" s="3327"/>
      <c r="AM498" s="3327"/>
      <c r="AN498" s="3327"/>
      <c r="AO498" s="3327"/>
      <c r="AP498" s="3327"/>
      <c r="AQ498" s="3327"/>
      <c r="AR498" s="3327"/>
      <c r="AS498" s="3327"/>
      <c r="AT498" s="3337"/>
      <c r="AU498" s="3338"/>
      <c r="AV498" s="1410">
        <f t="shared" si="294"/>
        <v>0</v>
      </c>
      <c r="AW498" s="1410">
        <f t="shared" si="295"/>
        <v>0</v>
      </c>
      <c r="AX498" s="1410">
        <f t="shared" si="296"/>
        <v>0</v>
      </c>
      <c r="AY498" s="3352">
        <f t="shared" si="271"/>
        <v>0</v>
      </c>
      <c r="AZ498" s="3307">
        <f t="shared" si="272"/>
        <v>0</v>
      </c>
      <c r="BA498" s="3307">
        <f t="shared" si="273"/>
        <v>0</v>
      </c>
      <c r="BB498" s="3307">
        <f t="shared" si="274"/>
        <v>0</v>
      </c>
      <c r="BC498" s="3307">
        <f t="shared" si="275"/>
        <v>0</v>
      </c>
      <c r="BD498" s="3307">
        <f t="shared" si="276"/>
        <v>0</v>
      </c>
      <c r="BE498" s="3307">
        <f t="shared" si="277"/>
        <v>0</v>
      </c>
      <c r="BF498" s="3307">
        <f t="shared" si="278"/>
        <v>0</v>
      </c>
      <c r="BG498" s="3307">
        <f t="shared" si="279"/>
        <v>0</v>
      </c>
      <c r="BH498" s="3307">
        <f t="shared" si="280"/>
        <v>0</v>
      </c>
      <c r="BI498" s="3307">
        <f t="shared" si="281"/>
        <v>0</v>
      </c>
      <c r="BJ498" s="3307">
        <f t="shared" si="282"/>
        <v>0</v>
      </c>
      <c r="BK498" s="3307">
        <f t="shared" si="283"/>
        <v>0</v>
      </c>
      <c r="BL498" s="3307">
        <f t="shared" si="284"/>
        <v>0</v>
      </c>
      <c r="BM498" s="3307">
        <f t="shared" si="285"/>
        <v>0</v>
      </c>
      <c r="BN498" s="3307">
        <f t="shared" si="286"/>
        <v>0</v>
      </c>
      <c r="BO498" s="3307">
        <f t="shared" si="287"/>
        <v>0</v>
      </c>
      <c r="BP498" s="3307">
        <f t="shared" si="288"/>
        <v>0</v>
      </c>
      <c r="BQ498" s="3307">
        <f t="shared" si="289"/>
        <v>0</v>
      </c>
      <c r="BR498" s="3307">
        <f t="shared" si="290"/>
        <v>0</v>
      </c>
      <c r="BS498" s="3307">
        <f t="shared" si="291"/>
        <v>0</v>
      </c>
      <c r="BT498" s="3359">
        <f t="shared" si="292"/>
        <v>0</v>
      </c>
    </row>
    <row r="499" spans="1:72">
      <c r="A499" s="3304"/>
      <c r="B499" s="3305"/>
      <c r="C499" s="3305"/>
      <c r="D499" s="3306"/>
      <c r="E499" s="3307">
        <f t="shared" si="293"/>
        <v>0</v>
      </c>
      <c r="F499" s="3308"/>
      <c r="G499" s="3309">
        <f t="shared" si="268"/>
        <v>0</v>
      </c>
      <c r="H499" s="3310">
        <f t="shared" si="269"/>
        <v>0</v>
      </c>
      <c r="I499" s="3317"/>
      <c r="J499" s="3317"/>
      <c r="K499" s="3317"/>
      <c r="L499" s="3317"/>
      <c r="M499" s="3317"/>
      <c r="N499" s="3317"/>
      <c r="O499" s="3317"/>
      <c r="P499" s="3317"/>
      <c r="Q499" s="3317"/>
      <c r="R499" s="3317"/>
      <c r="S499" s="3317"/>
      <c r="T499" s="3317"/>
      <c r="U499" s="3317"/>
      <c r="V499" s="3317"/>
      <c r="W499" s="3317"/>
      <c r="X499" s="3317"/>
      <c r="Y499" s="3317"/>
      <c r="Z499" s="3317"/>
      <c r="AA499" s="3317"/>
      <c r="AB499" s="3317"/>
      <c r="AC499" s="3307">
        <f t="shared" si="270"/>
        <v>0</v>
      </c>
      <c r="AD499" s="3327"/>
      <c r="AE499" s="3327"/>
      <c r="AF499" s="3327"/>
      <c r="AG499" s="3327"/>
      <c r="AH499" s="3327"/>
      <c r="AI499" s="3327"/>
      <c r="AJ499" s="3327"/>
      <c r="AK499" s="3327"/>
      <c r="AL499" s="3327"/>
      <c r="AM499" s="3327"/>
      <c r="AN499" s="3327"/>
      <c r="AO499" s="3327"/>
      <c r="AP499" s="3327"/>
      <c r="AQ499" s="3327"/>
      <c r="AR499" s="3327"/>
      <c r="AS499" s="3327"/>
      <c r="AT499" s="3337"/>
      <c r="AU499" s="3338"/>
      <c r="AV499" s="1410">
        <f t="shared" si="294"/>
        <v>0</v>
      </c>
      <c r="AW499" s="1410">
        <f t="shared" si="295"/>
        <v>0</v>
      </c>
      <c r="AX499" s="1410">
        <f t="shared" si="296"/>
        <v>0</v>
      </c>
      <c r="AY499" s="3352">
        <f t="shared" si="271"/>
        <v>0</v>
      </c>
      <c r="AZ499" s="3307">
        <f t="shared" si="272"/>
        <v>0</v>
      </c>
      <c r="BA499" s="3307">
        <f t="shared" si="273"/>
        <v>0</v>
      </c>
      <c r="BB499" s="3307">
        <f t="shared" si="274"/>
        <v>0</v>
      </c>
      <c r="BC499" s="3307">
        <f t="shared" si="275"/>
        <v>0</v>
      </c>
      <c r="BD499" s="3307">
        <f t="shared" si="276"/>
        <v>0</v>
      </c>
      <c r="BE499" s="3307">
        <f t="shared" si="277"/>
        <v>0</v>
      </c>
      <c r="BF499" s="3307">
        <f t="shared" si="278"/>
        <v>0</v>
      </c>
      <c r="BG499" s="3307">
        <f t="shared" si="279"/>
        <v>0</v>
      </c>
      <c r="BH499" s="3307">
        <f t="shared" si="280"/>
        <v>0</v>
      </c>
      <c r="BI499" s="3307">
        <f t="shared" si="281"/>
        <v>0</v>
      </c>
      <c r="BJ499" s="3307">
        <f t="shared" si="282"/>
        <v>0</v>
      </c>
      <c r="BK499" s="3307">
        <f t="shared" si="283"/>
        <v>0</v>
      </c>
      <c r="BL499" s="3307">
        <f t="shared" si="284"/>
        <v>0</v>
      </c>
      <c r="BM499" s="3307">
        <f t="shared" si="285"/>
        <v>0</v>
      </c>
      <c r="BN499" s="3307">
        <f t="shared" si="286"/>
        <v>0</v>
      </c>
      <c r="BO499" s="3307">
        <f t="shared" si="287"/>
        <v>0</v>
      </c>
      <c r="BP499" s="3307">
        <f t="shared" si="288"/>
        <v>0</v>
      </c>
      <c r="BQ499" s="3307">
        <f t="shared" si="289"/>
        <v>0</v>
      </c>
      <c r="BR499" s="3307">
        <f t="shared" si="290"/>
        <v>0</v>
      </c>
      <c r="BS499" s="3307">
        <f t="shared" si="291"/>
        <v>0</v>
      </c>
      <c r="BT499" s="3359">
        <f t="shared" si="292"/>
        <v>0</v>
      </c>
    </row>
    <row r="500" spans="1:72">
      <c r="A500" s="3304"/>
      <c r="B500" s="3305"/>
      <c r="C500" s="3305"/>
      <c r="D500" s="3306"/>
      <c r="E500" s="3307">
        <f t="shared" si="293"/>
        <v>0</v>
      </c>
      <c r="F500" s="3308"/>
      <c r="G500" s="3309">
        <f t="shared" si="268"/>
        <v>0</v>
      </c>
      <c r="H500" s="3310">
        <f t="shared" si="269"/>
        <v>0</v>
      </c>
      <c r="I500" s="3317"/>
      <c r="J500" s="3317"/>
      <c r="K500" s="3317"/>
      <c r="L500" s="3317"/>
      <c r="M500" s="3317"/>
      <c r="N500" s="3317"/>
      <c r="O500" s="3317"/>
      <c r="P500" s="3317"/>
      <c r="Q500" s="3317"/>
      <c r="R500" s="3317"/>
      <c r="S500" s="3317"/>
      <c r="T500" s="3317"/>
      <c r="U500" s="3317"/>
      <c r="V500" s="3317"/>
      <c r="W500" s="3317"/>
      <c r="X500" s="3317"/>
      <c r="Y500" s="3317"/>
      <c r="Z500" s="3317"/>
      <c r="AA500" s="3317"/>
      <c r="AB500" s="3317"/>
      <c r="AC500" s="3307">
        <f t="shared" si="270"/>
        <v>0</v>
      </c>
      <c r="AD500" s="3327"/>
      <c r="AE500" s="3327"/>
      <c r="AF500" s="3327"/>
      <c r="AG500" s="3327"/>
      <c r="AH500" s="3327"/>
      <c r="AI500" s="3327"/>
      <c r="AJ500" s="3327"/>
      <c r="AK500" s="3327"/>
      <c r="AL500" s="3327"/>
      <c r="AM500" s="3327"/>
      <c r="AN500" s="3327"/>
      <c r="AO500" s="3327"/>
      <c r="AP500" s="3327"/>
      <c r="AQ500" s="3327"/>
      <c r="AR500" s="3327"/>
      <c r="AS500" s="3327"/>
      <c r="AT500" s="3337"/>
      <c r="AU500" s="3338"/>
      <c r="AV500" s="1410">
        <f t="shared" si="294"/>
        <v>0</v>
      </c>
      <c r="AW500" s="1410">
        <f t="shared" si="295"/>
        <v>0</v>
      </c>
      <c r="AX500" s="1410">
        <f t="shared" si="296"/>
        <v>0</v>
      </c>
      <c r="AY500" s="3352">
        <f t="shared" si="271"/>
        <v>0</v>
      </c>
      <c r="AZ500" s="3307">
        <f t="shared" si="272"/>
        <v>0</v>
      </c>
      <c r="BA500" s="3307">
        <f t="shared" si="273"/>
        <v>0</v>
      </c>
      <c r="BB500" s="3307">
        <f t="shared" si="274"/>
        <v>0</v>
      </c>
      <c r="BC500" s="3307">
        <f t="shared" si="275"/>
        <v>0</v>
      </c>
      <c r="BD500" s="3307">
        <f t="shared" si="276"/>
        <v>0</v>
      </c>
      <c r="BE500" s="3307">
        <f t="shared" si="277"/>
        <v>0</v>
      </c>
      <c r="BF500" s="3307">
        <f t="shared" si="278"/>
        <v>0</v>
      </c>
      <c r="BG500" s="3307">
        <f t="shared" si="279"/>
        <v>0</v>
      </c>
      <c r="BH500" s="3307">
        <f t="shared" si="280"/>
        <v>0</v>
      </c>
      <c r="BI500" s="3307">
        <f t="shared" si="281"/>
        <v>0</v>
      </c>
      <c r="BJ500" s="3307">
        <f t="shared" si="282"/>
        <v>0</v>
      </c>
      <c r="BK500" s="3307">
        <f t="shared" si="283"/>
        <v>0</v>
      </c>
      <c r="BL500" s="3307">
        <f t="shared" si="284"/>
        <v>0</v>
      </c>
      <c r="BM500" s="3307">
        <f t="shared" si="285"/>
        <v>0</v>
      </c>
      <c r="BN500" s="3307">
        <f t="shared" si="286"/>
        <v>0</v>
      </c>
      <c r="BO500" s="3307">
        <f t="shared" si="287"/>
        <v>0</v>
      </c>
      <c r="BP500" s="3307">
        <f t="shared" si="288"/>
        <v>0</v>
      </c>
      <c r="BQ500" s="3307">
        <f t="shared" si="289"/>
        <v>0</v>
      </c>
      <c r="BR500" s="3307">
        <f t="shared" si="290"/>
        <v>0</v>
      </c>
      <c r="BS500" s="3307">
        <f t="shared" si="291"/>
        <v>0</v>
      </c>
      <c r="BT500" s="3359">
        <f t="shared" si="292"/>
        <v>0</v>
      </c>
    </row>
    <row r="501" spans="1:72">
      <c r="A501" s="3304"/>
      <c r="B501" s="3305"/>
      <c r="C501" s="3305"/>
      <c r="D501" s="3306"/>
      <c r="E501" s="3307">
        <f t="shared" si="293"/>
        <v>0</v>
      </c>
      <c r="F501" s="3308"/>
      <c r="G501" s="3309">
        <f t="shared" si="268"/>
        <v>0</v>
      </c>
      <c r="H501" s="3310">
        <f t="shared" si="269"/>
        <v>0</v>
      </c>
      <c r="I501" s="3317"/>
      <c r="J501" s="3317"/>
      <c r="K501" s="3317"/>
      <c r="L501" s="3317"/>
      <c r="M501" s="3317"/>
      <c r="N501" s="3317"/>
      <c r="O501" s="3317"/>
      <c r="P501" s="3317"/>
      <c r="Q501" s="3317"/>
      <c r="R501" s="3317"/>
      <c r="S501" s="3317"/>
      <c r="T501" s="3317"/>
      <c r="U501" s="3317"/>
      <c r="V501" s="3317"/>
      <c r="W501" s="3317"/>
      <c r="X501" s="3317"/>
      <c r="Y501" s="3317"/>
      <c r="Z501" s="3317"/>
      <c r="AA501" s="3317"/>
      <c r="AB501" s="3317"/>
      <c r="AC501" s="3307">
        <f t="shared" si="270"/>
        <v>0</v>
      </c>
      <c r="AD501" s="3327"/>
      <c r="AE501" s="3327"/>
      <c r="AF501" s="3327"/>
      <c r="AG501" s="3327"/>
      <c r="AH501" s="3327"/>
      <c r="AI501" s="3327"/>
      <c r="AJ501" s="3327"/>
      <c r="AK501" s="3327"/>
      <c r="AL501" s="3327"/>
      <c r="AM501" s="3327"/>
      <c r="AN501" s="3327"/>
      <c r="AO501" s="3327"/>
      <c r="AP501" s="3327"/>
      <c r="AQ501" s="3327"/>
      <c r="AR501" s="3327"/>
      <c r="AS501" s="3327"/>
      <c r="AT501" s="3337"/>
      <c r="AU501" s="3338"/>
      <c r="AV501" s="1410">
        <f t="shared" si="294"/>
        <v>0</v>
      </c>
      <c r="AW501" s="1410">
        <f t="shared" si="295"/>
        <v>0</v>
      </c>
      <c r="AX501" s="1410">
        <f t="shared" si="296"/>
        <v>0</v>
      </c>
      <c r="AY501" s="3352">
        <f t="shared" si="271"/>
        <v>0</v>
      </c>
      <c r="AZ501" s="3307">
        <f t="shared" si="272"/>
        <v>0</v>
      </c>
      <c r="BA501" s="3307">
        <f t="shared" si="273"/>
        <v>0</v>
      </c>
      <c r="BB501" s="3307">
        <f t="shared" si="274"/>
        <v>0</v>
      </c>
      <c r="BC501" s="3307">
        <f t="shared" si="275"/>
        <v>0</v>
      </c>
      <c r="BD501" s="3307">
        <f t="shared" si="276"/>
        <v>0</v>
      </c>
      <c r="BE501" s="3307">
        <f t="shared" si="277"/>
        <v>0</v>
      </c>
      <c r="BF501" s="3307">
        <f t="shared" si="278"/>
        <v>0</v>
      </c>
      <c r="BG501" s="3307">
        <f t="shared" si="279"/>
        <v>0</v>
      </c>
      <c r="BH501" s="3307">
        <f t="shared" si="280"/>
        <v>0</v>
      </c>
      <c r="BI501" s="3307">
        <f t="shared" si="281"/>
        <v>0</v>
      </c>
      <c r="BJ501" s="3307">
        <f t="shared" si="282"/>
        <v>0</v>
      </c>
      <c r="BK501" s="3307">
        <f t="shared" si="283"/>
        <v>0</v>
      </c>
      <c r="BL501" s="3307">
        <f t="shared" si="284"/>
        <v>0</v>
      </c>
      <c r="BM501" s="3307">
        <f t="shared" si="285"/>
        <v>0</v>
      </c>
      <c r="BN501" s="3307">
        <f t="shared" si="286"/>
        <v>0</v>
      </c>
      <c r="BO501" s="3307">
        <f t="shared" si="287"/>
        <v>0</v>
      </c>
      <c r="BP501" s="3307">
        <f t="shared" si="288"/>
        <v>0</v>
      </c>
      <c r="BQ501" s="3307">
        <f t="shared" si="289"/>
        <v>0</v>
      </c>
      <c r="BR501" s="3307">
        <f t="shared" si="290"/>
        <v>0</v>
      </c>
      <c r="BS501" s="3307">
        <f t="shared" si="291"/>
        <v>0</v>
      </c>
      <c r="BT501" s="3359">
        <f t="shared" si="292"/>
        <v>0</v>
      </c>
    </row>
    <row r="502" spans="1:72">
      <c r="A502" s="3304"/>
      <c r="B502" s="3305"/>
      <c r="C502" s="3305"/>
      <c r="D502" s="3306"/>
      <c r="E502" s="3307">
        <f t="shared" si="293"/>
        <v>0</v>
      </c>
      <c r="F502" s="3308"/>
      <c r="G502" s="3309">
        <f t="shared" si="268"/>
        <v>0</v>
      </c>
      <c r="H502" s="3310">
        <f t="shared" si="269"/>
        <v>0</v>
      </c>
      <c r="I502" s="3317"/>
      <c r="J502" s="3317"/>
      <c r="K502" s="3317"/>
      <c r="L502" s="3317"/>
      <c r="M502" s="3317"/>
      <c r="N502" s="3317"/>
      <c r="O502" s="3317"/>
      <c r="P502" s="3317"/>
      <c r="Q502" s="3317"/>
      <c r="R502" s="3317"/>
      <c r="S502" s="3317"/>
      <c r="T502" s="3317"/>
      <c r="U502" s="3317"/>
      <c r="V502" s="3317"/>
      <c r="W502" s="3317"/>
      <c r="X502" s="3317"/>
      <c r="Y502" s="3317"/>
      <c r="Z502" s="3317"/>
      <c r="AA502" s="3317"/>
      <c r="AB502" s="3317"/>
      <c r="AC502" s="3307">
        <f t="shared" si="270"/>
        <v>0</v>
      </c>
      <c r="AD502" s="3327"/>
      <c r="AE502" s="3327"/>
      <c r="AF502" s="3327"/>
      <c r="AG502" s="3327"/>
      <c r="AH502" s="3327"/>
      <c r="AI502" s="3327"/>
      <c r="AJ502" s="3327"/>
      <c r="AK502" s="3327"/>
      <c r="AL502" s="3327"/>
      <c r="AM502" s="3327"/>
      <c r="AN502" s="3327"/>
      <c r="AO502" s="3327"/>
      <c r="AP502" s="3327"/>
      <c r="AQ502" s="3327"/>
      <c r="AR502" s="3327"/>
      <c r="AS502" s="3327"/>
      <c r="AT502" s="3337"/>
      <c r="AU502" s="3338"/>
      <c r="AV502" s="1410">
        <f t="shared" si="294"/>
        <v>0</v>
      </c>
      <c r="AW502" s="1410">
        <f t="shared" si="295"/>
        <v>0</v>
      </c>
      <c r="AX502" s="1410">
        <f t="shared" si="296"/>
        <v>0</v>
      </c>
      <c r="AY502" s="3352">
        <f t="shared" si="271"/>
        <v>0</v>
      </c>
      <c r="AZ502" s="3307">
        <f t="shared" si="272"/>
        <v>0</v>
      </c>
      <c r="BA502" s="3307">
        <f t="shared" si="273"/>
        <v>0</v>
      </c>
      <c r="BB502" s="3307">
        <f t="shared" si="274"/>
        <v>0</v>
      </c>
      <c r="BC502" s="3307">
        <f t="shared" si="275"/>
        <v>0</v>
      </c>
      <c r="BD502" s="3307">
        <f t="shared" si="276"/>
        <v>0</v>
      </c>
      <c r="BE502" s="3307">
        <f t="shared" si="277"/>
        <v>0</v>
      </c>
      <c r="BF502" s="3307">
        <f t="shared" si="278"/>
        <v>0</v>
      </c>
      <c r="BG502" s="3307">
        <f t="shared" si="279"/>
        <v>0</v>
      </c>
      <c r="BH502" s="3307">
        <f t="shared" si="280"/>
        <v>0</v>
      </c>
      <c r="BI502" s="3307">
        <f t="shared" si="281"/>
        <v>0</v>
      </c>
      <c r="BJ502" s="3307">
        <f t="shared" si="282"/>
        <v>0</v>
      </c>
      <c r="BK502" s="3307">
        <f t="shared" si="283"/>
        <v>0</v>
      </c>
      <c r="BL502" s="3307">
        <f t="shared" si="284"/>
        <v>0</v>
      </c>
      <c r="BM502" s="3307">
        <f t="shared" si="285"/>
        <v>0</v>
      </c>
      <c r="BN502" s="3307">
        <f t="shared" si="286"/>
        <v>0</v>
      </c>
      <c r="BO502" s="3307">
        <f t="shared" si="287"/>
        <v>0</v>
      </c>
      <c r="BP502" s="3307">
        <f t="shared" si="288"/>
        <v>0</v>
      </c>
      <c r="BQ502" s="3307">
        <f t="shared" si="289"/>
        <v>0</v>
      </c>
      <c r="BR502" s="3307">
        <f t="shared" si="290"/>
        <v>0</v>
      </c>
      <c r="BS502" s="3307">
        <f t="shared" si="291"/>
        <v>0</v>
      </c>
      <c r="BT502" s="3359">
        <f t="shared" si="292"/>
        <v>0</v>
      </c>
    </row>
    <row r="503" spans="1:72">
      <c r="A503" s="3304"/>
      <c r="B503" s="3305"/>
      <c r="C503" s="3305"/>
      <c r="D503" s="3306"/>
      <c r="E503" s="3307">
        <f t="shared" si="293"/>
        <v>0</v>
      </c>
      <c r="F503" s="3308"/>
      <c r="G503" s="3309">
        <f t="shared" si="268"/>
        <v>0</v>
      </c>
      <c r="H503" s="3310">
        <f t="shared" si="269"/>
        <v>0</v>
      </c>
      <c r="I503" s="3317"/>
      <c r="J503" s="3317"/>
      <c r="K503" s="3317"/>
      <c r="L503" s="3317"/>
      <c r="M503" s="3317"/>
      <c r="N503" s="3317"/>
      <c r="O503" s="3317"/>
      <c r="P503" s="3317"/>
      <c r="Q503" s="3317"/>
      <c r="R503" s="3317"/>
      <c r="S503" s="3317"/>
      <c r="T503" s="3317"/>
      <c r="U503" s="3317"/>
      <c r="V503" s="3317"/>
      <c r="W503" s="3317"/>
      <c r="X503" s="3317"/>
      <c r="Y503" s="3317"/>
      <c r="Z503" s="3317"/>
      <c r="AA503" s="3317"/>
      <c r="AB503" s="3317"/>
      <c r="AC503" s="3307">
        <f t="shared" si="270"/>
        <v>0</v>
      </c>
      <c r="AD503" s="3327"/>
      <c r="AE503" s="3327"/>
      <c r="AF503" s="3327"/>
      <c r="AG503" s="3327"/>
      <c r="AH503" s="3327"/>
      <c r="AI503" s="3327"/>
      <c r="AJ503" s="3327"/>
      <c r="AK503" s="3327"/>
      <c r="AL503" s="3327"/>
      <c r="AM503" s="3327"/>
      <c r="AN503" s="3327"/>
      <c r="AO503" s="3327"/>
      <c r="AP503" s="3327"/>
      <c r="AQ503" s="3327"/>
      <c r="AR503" s="3327"/>
      <c r="AS503" s="3327"/>
      <c r="AT503" s="3337"/>
      <c r="AU503" s="3338"/>
      <c r="AV503" s="1410">
        <f t="shared" si="294"/>
        <v>0</v>
      </c>
      <c r="AW503" s="1410">
        <f t="shared" si="295"/>
        <v>0</v>
      </c>
      <c r="AX503" s="1410">
        <f t="shared" si="296"/>
        <v>0</v>
      </c>
      <c r="AY503" s="3352">
        <f t="shared" si="271"/>
        <v>0</v>
      </c>
      <c r="AZ503" s="3307">
        <f t="shared" si="272"/>
        <v>0</v>
      </c>
      <c r="BA503" s="3307">
        <f t="shared" si="273"/>
        <v>0</v>
      </c>
      <c r="BB503" s="3307">
        <f t="shared" si="274"/>
        <v>0</v>
      </c>
      <c r="BC503" s="3307">
        <f t="shared" si="275"/>
        <v>0</v>
      </c>
      <c r="BD503" s="3307">
        <f t="shared" si="276"/>
        <v>0</v>
      </c>
      <c r="BE503" s="3307">
        <f t="shared" si="277"/>
        <v>0</v>
      </c>
      <c r="BF503" s="3307">
        <f t="shared" si="278"/>
        <v>0</v>
      </c>
      <c r="BG503" s="3307">
        <f t="shared" si="279"/>
        <v>0</v>
      </c>
      <c r="BH503" s="3307">
        <f t="shared" si="280"/>
        <v>0</v>
      </c>
      <c r="BI503" s="3307">
        <f t="shared" si="281"/>
        <v>0</v>
      </c>
      <c r="BJ503" s="3307">
        <f t="shared" si="282"/>
        <v>0</v>
      </c>
      <c r="BK503" s="3307">
        <f t="shared" si="283"/>
        <v>0</v>
      </c>
      <c r="BL503" s="3307">
        <f t="shared" si="284"/>
        <v>0</v>
      </c>
      <c r="BM503" s="3307">
        <f t="shared" si="285"/>
        <v>0</v>
      </c>
      <c r="BN503" s="3307">
        <f t="shared" si="286"/>
        <v>0</v>
      </c>
      <c r="BO503" s="3307">
        <f t="shared" si="287"/>
        <v>0</v>
      </c>
      <c r="BP503" s="3307">
        <f t="shared" si="288"/>
        <v>0</v>
      </c>
      <c r="BQ503" s="3307">
        <f t="shared" si="289"/>
        <v>0</v>
      </c>
      <c r="BR503" s="3307">
        <f t="shared" si="290"/>
        <v>0</v>
      </c>
      <c r="BS503" s="3307">
        <f t="shared" si="291"/>
        <v>0</v>
      </c>
      <c r="BT503" s="3359">
        <f t="shared" si="292"/>
        <v>0</v>
      </c>
    </row>
    <row r="504" spans="1:72">
      <c r="A504" s="3304"/>
      <c r="B504" s="3305"/>
      <c r="C504" s="3305"/>
      <c r="D504" s="3306"/>
      <c r="E504" s="3307">
        <f t="shared" si="293"/>
        <v>0</v>
      </c>
      <c r="F504" s="3308"/>
      <c r="G504" s="3309">
        <f t="shared" si="268"/>
        <v>0</v>
      </c>
      <c r="H504" s="3310">
        <f t="shared" si="269"/>
        <v>0</v>
      </c>
      <c r="I504" s="3317"/>
      <c r="J504" s="3317"/>
      <c r="K504" s="3317"/>
      <c r="L504" s="3317"/>
      <c r="M504" s="3317"/>
      <c r="N504" s="3317"/>
      <c r="O504" s="3317"/>
      <c r="P504" s="3317"/>
      <c r="Q504" s="3317"/>
      <c r="R504" s="3317"/>
      <c r="S504" s="3317"/>
      <c r="T504" s="3317"/>
      <c r="U504" s="3317"/>
      <c r="V504" s="3317"/>
      <c r="W504" s="3317"/>
      <c r="X504" s="3317"/>
      <c r="Y504" s="3317"/>
      <c r="Z504" s="3317"/>
      <c r="AA504" s="3317"/>
      <c r="AB504" s="3317"/>
      <c r="AC504" s="3307">
        <f t="shared" si="270"/>
        <v>0</v>
      </c>
      <c r="AD504" s="3327"/>
      <c r="AE504" s="3327"/>
      <c r="AF504" s="3327"/>
      <c r="AG504" s="3327"/>
      <c r="AH504" s="3327"/>
      <c r="AI504" s="3327"/>
      <c r="AJ504" s="3327"/>
      <c r="AK504" s="3327"/>
      <c r="AL504" s="3327"/>
      <c r="AM504" s="3327"/>
      <c r="AN504" s="3327"/>
      <c r="AO504" s="3327"/>
      <c r="AP504" s="3327"/>
      <c r="AQ504" s="3327"/>
      <c r="AR504" s="3327"/>
      <c r="AS504" s="3327"/>
      <c r="AT504" s="3337"/>
      <c r="AU504" s="3338"/>
      <c r="AV504" s="1410">
        <f t="shared" si="294"/>
        <v>0</v>
      </c>
      <c r="AW504" s="1410">
        <f t="shared" si="295"/>
        <v>0</v>
      </c>
      <c r="AX504" s="1410">
        <f t="shared" si="296"/>
        <v>0</v>
      </c>
      <c r="AY504" s="3352">
        <f t="shared" si="271"/>
        <v>0</v>
      </c>
      <c r="AZ504" s="3307">
        <f t="shared" si="272"/>
        <v>0</v>
      </c>
      <c r="BA504" s="3307">
        <f t="shared" si="273"/>
        <v>0</v>
      </c>
      <c r="BB504" s="3307">
        <f t="shared" si="274"/>
        <v>0</v>
      </c>
      <c r="BC504" s="3307">
        <f t="shared" si="275"/>
        <v>0</v>
      </c>
      <c r="BD504" s="3307">
        <f t="shared" si="276"/>
        <v>0</v>
      </c>
      <c r="BE504" s="3307">
        <f t="shared" si="277"/>
        <v>0</v>
      </c>
      <c r="BF504" s="3307">
        <f t="shared" si="278"/>
        <v>0</v>
      </c>
      <c r="BG504" s="3307">
        <f t="shared" si="279"/>
        <v>0</v>
      </c>
      <c r="BH504" s="3307">
        <f t="shared" si="280"/>
        <v>0</v>
      </c>
      <c r="BI504" s="3307">
        <f t="shared" si="281"/>
        <v>0</v>
      </c>
      <c r="BJ504" s="3307">
        <f t="shared" si="282"/>
        <v>0</v>
      </c>
      <c r="BK504" s="3307">
        <f t="shared" si="283"/>
        <v>0</v>
      </c>
      <c r="BL504" s="3307">
        <f t="shared" si="284"/>
        <v>0</v>
      </c>
      <c r="BM504" s="3307">
        <f t="shared" si="285"/>
        <v>0</v>
      </c>
      <c r="BN504" s="3307">
        <f t="shared" si="286"/>
        <v>0</v>
      </c>
      <c r="BO504" s="3307">
        <f t="shared" si="287"/>
        <v>0</v>
      </c>
      <c r="BP504" s="3307">
        <f t="shared" si="288"/>
        <v>0</v>
      </c>
      <c r="BQ504" s="3307">
        <f t="shared" si="289"/>
        <v>0</v>
      </c>
      <c r="BR504" s="3307">
        <f t="shared" si="290"/>
        <v>0</v>
      </c>
      <c r="BS504" s="3307">
        <f t="shared" si="291"/>
        <v>0</v>
      </c>
      <c r="BT504" s="3359">
        <f t="shared" si="292"/>
        <v>0</v>
      </c>
    </row>
    <row r="505" spans="1:72">
      <c r="A505" s="3304"/>
      <c r="B505" s="3305"/>
      <c r="C505" s="3305"/>
      <c r="D505" s="3306"/>
      <c r="E505" s="3307">
        <f t="shared" si="293"/>
        <v>0</v>
      </c>
      <c r="F505" s="3308"/>
      <c r="G505" s="3309">
        <f t="shared" si="268"/>
        <v>0</v>
      </c>
      <c r="H505" s="3310">
        <f t="shared" si="269"/>
        <v>0</v>
      </c>
      <c r="I505" s="3317"/>
      <c r="J505" s="3317"/>
      <c r="K505" s="3317"/>
      <c r="L505" s="3317"/>
      <c r="M505" s="3317"/>
      <c r="N505" s="3317"/>
      <c r="O505" s="3317"/>
      <c r="P505" s="3317"/>
      <c r="Q505" s="3317"/>
      <c r="R505" s="3317"/>
      <c r="S505" s="3317"/>
      <c r="T505" s="3317"/>
      <c r="U505" s="3317"/>
      <c r="V505" s="3317"/>
      <c r="W505" s="3317"/>
      <c r="X505" s="3317"/>
      <c r="Y505" s="3317"/>
      <c r="Z505" s="3317"/>
      <c r="AA505" s="3317"/>
      <c r="AB505" s="3317"/>
      <c r="AC505" s="3307">
        <f t="shared" si="270"/>
        <v>0</v>
      </c>
      <c r="AD505" s="3327"/>
      <c r="AE505" s="3327"/>
      <c r="AF505" s="3327"/>
      <c r="AG505" s="3327"/>
      <c r="AH505" s="3327"/>
      <c r="AI505" s="3327"/>
      <c r="AJ505" s="3327"/>
      <c r="AK505" s="3327"/>
      <c r="AL505" s="3327"/>
      <c r="AM505" s="3327"/>
      <c r="AN505" s="3327"/>
      <c r="AO505" s="3327"/>
      <c r="AP505" s="3327"/>
      <c r="AQ505" s="3327"/>
      <c r="AR505" s="3327"/>
      <c r="AS505" s="3327"/>
      <c r="AT505" s="3337"/>
      <c r="AU505" s="3338"/>
      <c r="AV505" s="1410">
        <f t="shared" si="294"/>
        <v>0</v>
      </c>
      <c r="AW505" s="1410">
        <f t="shared" si="295"/>
        <v>0</v>
      </c>
      <c r="AX505" s="1410">
        <f t="shared" si="296"/>
        <v>0</v>
      </c>
      <c r="AY505" s="3352">
        <f t="shared" si="271"/>
        <v>0</v>
      </c>
      <c r="AZ505" s="3307">
        <f t="shared" si="272"/>
        <v>0</v>
      </c>
      <c r="BA505" s="3307">
        <f t="shared" si="273"/>
        <v>0</v>
      </c>
      <c r="BB505" s="3307">
        <f t="shared" si="274"/>
        <v>0</v>
      </c>
      <c r="BC505" s="3307">
        <f t="shared" si="275"/>
        <v>0</v>
      </c>
      <c r="BD505" s="3307">
        <f t="shared" si="276"/>
        <v>0</v>
      </c>
      <c r="BE505" s="3307">
        <f t="shared" si="277"/>
        <v>0</v>
      </c>
      <c r="BF505" s="3307">
        <f t="shared" si="278"/>
        <v>0</v>
      </c>
      <c r="BG505" s="3307">
        <f t="shared" si="279"/>
        <v>0</v>
      </c>
      <c r="BH505" s="3307">
        <f t="shared" si="280"/>
        <v>0</v>
      </c>
      <c r="BI505" s="3307">
        <f t="shared" si="281"/>
        <v>0</v>
      </c>
      <c r="BJ505" s="3307">
        <f t="shared" si="282"/>
        <v>0</v>
      </c>
      <c r="BK505" s="3307">
        <f t="shared" si="283"/>
        <v>0</v>
      </c>
      <c r="BL505" s="3307">
        <f t="shared" si="284"/>
        <v>0</v>
      </c>
      <c r="BM505" s="3307">
        <f t="shared" si="285"/>
        <v>0</v>
      </c>
      <c r="BN505" s="3307">
        <f t="shared" si="286"/>
        <v>0</v>
      </c>
      <c r="BO505" s="3307">
        <f t="shared" si="287"/>
        <v>0</v>
      </c>
      <c r="BP505" s="3307">
        <f t="shared" si="288"/>
        <v>0</v>
      </c>
      <c r="BQ505" s="3307">
        <f t="shared" si="289"/>
        <v>0</v>
      </c>
      <c r="BR505" s="3307">
        <f t="shared" si="290"/>
        <v>0</v>
      </c>
      <c r="BS505" s="3307">
        <f t="shared" si="291"/>
        <v>0</v>
      </c>
      <c r="BT505" s="3359">
        <f t="shared" si="292"/>
        <v>0</v>
      </c>
    </row>
    <row r="506" spans="1:72">
      <c r="A506" s="3304"/>
      <c r="B506" s="3305"/>
      <c r="C506" s="3305"/>
      <c r="D506" s="3306"/>
      <c r="E506" s="3307">
        <f t="shared" si="293"/>
        <v>0</v>
      </c>
      <c r="F506" s="3308"/>
      <c r="G506" s="3309">
        <f t="shared" si="268"/>
        <v>0</v>
      </c>
      <c r="H506" s="3310">
        <f t="shared" si="269"/>
        <v>0</v>
      </c>
      <c r="I506" s="3317"/>
      <c r="J506" s="3317"/>
      <c r="K506" s="3317"/>
      <c r="L506" s="3317"/>
      <c r="M506" s="3317"/>
      <c r="N506" s="3317"/>
      <c r="O506" s="3317"/>
      <c r="P506" s="3317"/>
      <c r="Q506" s="3317"/>
      <c r="R506" s="3317"/>
      <c r="S506" s="3317"/>
      <c r="T506" s="3317"/>
      <c r="U506" s="3317"/>
      <c r="V506" s="3317"/>
      <c r="W506" s="3317"/>
      <c r="X506" s="3317"/>
      <c r="Y506" s="3317"/>
      <c r="Z506" s="3317"/>
      <c r="AA506" s="3317"/>
      <c r="AB506" s="3317"/>
      <c r="AC506" s="3307">
        <f t="shared" si="270"/>
        <v>0</v>
      </c>
      <c r="AD506" s="3327"/>
      <c r="AE506" s="3327"/>
      <c r="AF506" s="3327"/>
      <c r="AG506" s="3327"/>
      <c r="AH506" s="3327"/>
      <c r="AI506" s="3327"/>
      <c r="AJ506" s="3327"/>
      <c r="AK506" s="3327"/>
      <c r="AL506" s="3327"/>
      <c r="AM506" s="3327"/>
      <c r="AN506" s="3327"/>
      <c r="AO506" s="3327"/>
      <c r="AP506" s="3327"/>
      <c r="AQ506" s="3327"/>
      <c r="AR506" s="3327"/>
      <c r="AS506" s="3327"/>
      <c r="AT506" s="3337"/>
      <c r="AU506" s="3338"/>
      <c r="AV506" s="1410">
        <f t="shared" si="294"/>
        <v>0</v>
      </c>
      <c r="AW506" s="1410">
        <f t="shared" si="295"/>
        <v>0</v>
      </c>
      <c r="AX506" s="1410">
        <f t="shared" si="296"/>
        <v>0</v>
      </c>
      <c r="AY506" s="3352">
        <f t="shared" si="271"/>
        <v>0</v>
      </c>
      <c r="AZ506" s="3307">
        <f t="shared" si="272"/>
        <v>0</v>
      </c>
      <c r="BA506" s="3307">
        <f t="shared" si="273"/>
        <v>0</v>
      </c>
      <c r="BB506" s="3307">
        <f t="shared" si="274"/>
        <v>0</v>
      </c>
      <c r="BC506" s="3307">
        <f t="shared" si="275"/>
        <v>0</v>
      </c>
      <c r="BD506" s="3307">
        <f t="shared" si="276"/>
        <v>0</v>
      </c>
      <c r="BE506" s="3307">
        <f t="shared" si="277"/>
        <v>0</v>
      </c>
      <c r="BF506" s="3307">
        <f t="shared" si="278"/>
        <v>0</v>
      </c>
      <c r="BG506" s="3307">
        <f t="shared" si="279"/>
        <v>0</v>
      </c>
      <c r="BH506" s="3307">
        <f t="shared" si="280"/>
        <v>0</v>
      </c>
      <c r="BI506" s="3307">
        <f t="shared" si="281"/>
        <v>0</v>
      </c>
      <c r="BJ506" s="3307">
        <f t="shared" si="282"/>
        <v>0</v>
      </c>
      <c r="BK506" s="3307">
        <f t="shared" si="283"/>
        <v>0</v>
      </c>
      <c r="BL506" s="3307">
        <f t="shared" si="284"/>
        <v>0</v>
      </c>
      <c r="BM506" s="3307">
        <f t="shared" si="285"/>
        <v>0</v>
      </c>
      <c r="BN506" s="3307">
        <f t="shared" si="286"/>
        <v>0</v>
      </c>
      <c r="BO506" s="3307">
        <f t="shared" si="287"/>
        <v>0</v>
      </c>
      <c r="BP506" s="3307">
        <f t="shared" si="288"/>
        <v>0</v>
      </c>
      <c r="BQ506" s="3307">
        <f t="shared" si="289"/>
        <v>0</v>
      </c>
      <c r="BR506" s="3307">
        <f t="shared" si="290"/>
        <v>0</v>
      </c>
      <c r="BS506" s="3307">
        <f t="shared" si="291"/>
        <v>0</v>
      </c>
      <c r="BT506" s="3359">
        <f t="shared" si="292"/>
        <v>0</v>
      </c>
    </row>
    <row r="507" spans="1:72">
      <c r="A507" s="3304"/>
      <c r="B507" s="3305"/>
      <c r="C507" s="3305"/>
      <c r="D507" s="3306"/>
      <c r="E507" s="3307">
        <f t="shared" si="293"/>
        <v>0</v>
      </c>
      <c r="F507" s="3308"/>
      <c r="G507" s="3309">
        <f t="shared" si="268"/>
        <v>0</v>
      </c>
      <c r="H507" s="3310">
        <f t="shared" si="269"/>
        <v>0</v>
      </c>
      <c r="I507" s="3317"/>
      <c r="J507" s="3317"/>
      <c r="K507" s="3317"/>
      <c r="L507" s="3317"/>
      <c r="M507" s="3317"/>
      <c r="N507" s="3317"/>
      <c r="O507" s="3317"/>
      <c r="P507" s="3317"/>
      <c r="Q507" s="3317"/>
      <c r="R507" s="3317"/>
      <c r="S507" s="3317"/>
      <c r="T507" s="3317"/>
      <c r="U507" s="3317"/>
      <c r="V507" s="3317"/>
      <c r="W507" s="3317"/>
      <c r="X507" s="3317"/>
      <c r="Y507" s="3317"/>
      <c r="Z507" s="3317"/>
      <c r="AA507" s="3317"/>
      <c r="AB507" s="3317"/>
      <c r="AC507" s="3307">
        <f t="shared" si="270"/>
        <v>0</v>
      </c>
      <c r="AD507" s="3327"/>
      <c r="AE507" s="3327"/>
      <c r="AF507" s="3327"/>
      <c r="AG507" s="3327"/>
      <c r="AH507" s="3327"/>
      <c r="AI507" s="3327"/>
      <c r="AJ507" s="3327"/>
      <c r="AK507" s="3327"/>
      <c r="AL507" s="3327"/>
      <c r="AM507" s="3327"/>
      <c r="AN507" s="3327"/>
      <c r="AO507" s="3327"/>
      <c r="AP507" s="3327"/>
      <c r="AQ507" s="3327"/>
      <c r="AR507" s="3327"/>
      <c r="AS507" s="3327"/>
      <c r="AT507" s="3337"/>
      <c r="AU507" s="3338"/>
      <c r="AV507" s="1410">
        <f t="shared" si="294"/>
        <v>0</v>
      </c>
      <c r="AW507" s="1410">
        <f t="shared" si="295"/>
        <v>0</v>
      </c>
      <c r="AX507" s="1410">
        <f t="shared" si="296"/>
        <v>0</v>
      </c>
      <c r="AY507" s="3352">
        <f t="shared" si="271"/>
        <v>0</v>
      </c>
      <c r="AZ507" s="3307">
        <f t="shared" si="272"/>
        <v>0</v>
      </c>
      <c r="BA507" s="3307">
        <f t="shared" si="273"/>
        <v>0</v>
      </c>
      <c r="BB507" s="3307">
        <f t="shared" si="274"/>
        <v>0</v>
      </c>
      <c r="BC507" s="3307">
        <f t="shared" si="275"/>
        <v>0</v>
      </c>
      <c r="BD507" s="3307">
        <f t="shared" si="276"/>
        <v>0</v>
      </c>
      <c r="BE507" s="3307">
        <f t="shared" si="277"/>
        <v>0</v>
      </c>
      <c r="BF507" s="3307">
        <f t="shared" si="278"/>
        <v>0</v>
      </c>
      <c r="BG507" s="3307">
        <f t="shared" si="279"/>
        <v>0</v>
      </c>
      <c r="BH507" s="3307">
        <f t="shared" si="280"/>
        <v>0</v>
      </c>
      <c r="BI507" s="3307">
        <f t="shared" si="281"/>
        <v>0</v>
      </c>
      <c r="BJ507" s="3307">
        <f t="shared" si="282"/>
        <v>0</v>
      </c>
      <c r="BK507" s="3307">
        <f t="shared" si="283"/>
        <v>0</v>
      </c>
      <c r="BL507" s="3307">
        <f t="shared" si="284"/>
        <v>0</v>
      </c>
      <c r="BM507" s="3307">
        <f t="shared" si="285"/>
        <v>0</v>
      </c>
      <c r="BN507" s="3307">
        <f t="shared" si="286"/>
        <v>0</v>
      </c>
      <c r="BO507" s="3307">
        <f t="shared" si="287"/>
        <v>0</v>
      </c>
      <c r="BP507" s="3307">
        <f t="shared" si="288"/>
        <v>0</v>
      </c>
      <c r="BQ507" s="3307">
        <f t="shared" si="289"/>
        <v>0</v>
      </c>
      <c r="BR507" s="3307">
        <f t="shared" si="290"/>
        <v>0</v>
      </c>
      <c r="BS507" s="3307">
        <f t="shared" si="291"/>
        <v>0</v>
      </c>
      <c r="BT507" s="3359">
        <f t="shared" si="292"/>
        <v>0</v>
      </c>
    </row>
    <row r="508" spans="1:72">
      <c r="A508" s="3304"/>
      <c r="B508" s="3305"/>
      <c r="C508" s="3305"/>
      <c r="D508" s="3306"/>
      <c r="E508" s="3307">
        <f t="shared" si="293"/>
        <v>0</v>
      </c>
      <c r="F508" s="3308"/>
      <c r="G508" s="3309">
        <f t="shared" si="268"/>
        <v>0</v>
      </c>
      <c r="H508" s="3310">
        <f t="shared" si="269"/>
        <v>0</v>
      </c>
      <c r="I508" s="3317"/>
      <c r="J508" s="3317"/>
      <c r="K508" s="3317"/>
      <c r="L508" s="3317"/>
      <c r="M508" s="3317"/>
      <c r="N508" s="3317"/>
      <c r="O508" s="3317"/>
      <c r="P508" s="3317"/>
      <c r="Q508" s="3317"/>
      <c r="R508" s="3317"/>
      <c r="S508" s="3317"/>
      <c r="T508" s="3317"/>
      <c r="U508" s="3317"/>
      <c r="V508" s="3317"/>
      <c r="W508" s="3317"/>
      <c r="X508" s="3317"/>
      <c r="Y508" s="3317"/>
      <c r="Z508" s="3317"/>
      <c r="AA508" s="3317"/>
      <c r="AB508" s="3317"/>
      <c r="AC508" s="3307">
        <f t="shared" si="270"/>
        <v>0</v>
      </c>
      <c r="AD508" s="3327"/>
      <c r="AE508" s="3327"/>
      <c r="AF508" s="3327"/>
      <c r="AG508" s="3327"/>
      <c r="AH508" s="3327"/>
      <c r="AI508" s="3327"/>
      <c r="AJ508" s="3327"/>
      <c r="AK508" s="3327"/>
      <c r="AL508" s="3327"/>
      <c r="AM508" s="3327"/>
      <c r="AN508" s="3327"/>
      <c r="AO508" s="3327"/>
      <c r="AP508" s="3327"/>
      <c r="AQ508" s="3327"/>
      <c r="AR508" s="3327"/>
      <c r="AS508" s="3327"/>
      <c r="AT508" s="3337"/>
      <c r="AU508" s="3338"/>
      <c r="AV508" s="1410">
        <f t="shared" si="294"/>
        <v>0</v>
      </c>
      <c r="AW508" s="1410">
        <f t="shared" si="295"/>
        <v>0</v>
      </c>
      <c r="AX508" s="1410">
        <f t="shared" si="296"/>
        <v>0</v>
      </c>
      <c r="AY508" s="3352">
        <f t="shared" si="271"/>
        <v>0</v>
      </c>
      <c r="AZ508" s="3307">
        <f t="shared" si="272"/>
        <v>0</v>
      </c>
      <c r="BA508" s="3307">
        <f t="shared" si="273"/>
        <v>0</v>
      </c>
      <c r="BB508" s="3307">
        <f t="shared" si="274"/>
        <v>0</v>
      </c>
      <c r="BC508" s="3307">
        <f t="shared" si="275"/>
        <v>0</v>
      </c>
      <c r="BD508" s="3307">
        <f t="shared" si="276"/>
        <v>0</v>
      </c>
      <c r="BE508" s="3307">
        <f t="shared" si="277"/>
        <v>0</v>
      </c>
      <c r="BF508" s="3307">
        <f t="shared" si="278"/>
        <v>0</v>
      </c>
      <c r="BG508" s="3307">
        <f t="shared" si="279"/>
        <v>0</v>
      </c>
      <c r="BH508" s="3307">
        <f t="shared" si="280"/>
        <v>0</v>
      </c>
      <c r="BI508" s="3307">
        <f t="shared" si="281"/>
        <v>0</v>
      </c>
      <c r="BJ508" s="3307">
        <f t="shared" si="282"/>
        <v>0</v>
      </c>
      <c r="BK508" s="3307">
        <f t="shared" si="283"/>
        <v>0</v>
      </c>
      <c r="BL508" s="3307">
        <f t="shared" si="284"/>
        <v>0</v>
      </c>
      <c r="BM508" s="3307">
        <f t="shared" si="285"/>
        <v>0</v>
      </c>
      <c r="BN508" s="3307">
        <f t="shared" si="286"/>
        <v>0</v>
      </c>
      <c r="BO508" s="3307">
        <f t="shared" si="287"/>
        <v>0</v>
      </c>
      <c r="BP508" s="3307">
        <f t="shared" si="288"/>
        <v>0</v>
      </c>
      <c r="BQ508" s="3307">
        <f t="shared" si="289"/>
        <v>0</v>
      </c>
      <c r="BR508" s="3307">
        <f t="shared" si="290"/>
        <v>0</v>
      </c>
      <c r="BS508" s="3307">
        <f t="shared" si="291"/>
        <v>0</v>
      </c>
      <c r="BT508" s="3359">
        <f t="shared" si="292"/>
        <v>0</v>
      </c>
    </row>
    <row r="509" spans="1:72">
      <c r="A509" s="3304"/>
      <c r="B509" s="3305"/>
      <c r="C509" s="3305"/>
      <c r="D509" s="3306"/>
      <c r="E509" s="3307">
        <f t="shared" si="293"/>
        <v>0</v>
      </c>
      <c r="F509" s="3308"/>
      <c r="G509" s="3309">
        <f t="shared" si="268"/>
        <v>0</v>
      </c>
      <c r="H509" s="3310">
        <f t="shared" si="269"/>
        <v>0</v>
      </c>
      <c r="I509" s="3317"/>
      <c r="J509" s="3317"/>
      <c r="K509" s="3317"/>
      <c r="L509" s="3317"/>
      <c r="M509" s="3317"/>
      <c r="N509" s="3317"/>
      <c r="O509" s="3317"/>
      <c r="P509" s="3317"/>
      <c r="Q509" s="3317"/>
      <c r="R509" s="3317"/>
      <c r="S509" s="3317"/>
      <c r="T509" s="3317"/>
      <c r="U509" s="3317"/>
      <c r="V509" s="3317"/>
      <c r="W509" s="3317"/>
      <c r="X509" s="3317"/>
      <c r="Y509" s="3317"/>
      <c r="Z509" s="3317"/>
      <c r="AA509" s="3317"/>
      <c r="AB509" s="3317"/>
      <c r="AC509" s="3307">
        <f t="shared" si="270"/>
        <v>0</v>
      </c>
      <c r="AD509" s="3327"/>
      <c r="AE509" s="3327"/>
      <c r="AF509" s="3327"/>
      <c r="AG509" s="3327"/>
      <c r="AH509" s="3327"/>
      <c r="AI509" s="3327"/>
      <c r="AJ509" s="3327"/>
      <c r="AK509" s="3327"/>
      <c r="AL509" s="3327"/>
      <c r="AM509" s="3327"/>
      <c r="AN509" s="3327"/>
      <c r="AO509" s="3327"/>
      <c r="AP509" s="3327"/>
      <c r="AQ509" s="3327"/>
      <c r="AR509" s="3327"/>
      <c r="AS509" s="3327"/>
      <c r="AT509" s="3337"/>
      <c r="AU509" s="3338"/>
      <c r="AV509" s="1410">
        <f t="shared" si="294"/>
        <v>0</v>
      </c>
      <c r="AW509" s="1410">
        <f t="shared" si="295"/>
        <v>0</v>
      </c>
      <c r="AX509" s="1410">
        <f t="shared" si="296"/>
        <v>0</v>
      </c>
      <c r="AY509" s="3352">
        <f t="shared" si="271"/>
        <v>0</v>
      </c>
      <c r="AZ509" s="3307">
        <f t="shared" si="272"/>
        <v>0</v>
      </c>
      <c r="BA509" s="3307">
        <f t="shared" si="273"/>
        <v>0</v>
      </c>
      <c r="BB509" s="3307">
        <f t="shared" si="274"/>
        <v>0</v>
      </c>
      <c r="BC509" s="3307">
        <f t="shared" si="275"/>
        <v>0</v>
      </c>
      <c r="BD509" s="3307">
        <f t="shared" si="276"/>
        <v>0</v>
      </c>
      <c r="BE509" s="3307">
        <f t="shared" si="277"/>
        <v>0</v>
      </c>
      <c r="BF509" s="3307">
        <f t="shared" si="278"/>
        <v>0</v>
      </c>
      <c r="BG509" s="3307">
        <f t="shared" si="279"/>
        <v>0</v>
      </c>
      <c r="BH509" s="3307">
        <f t="shared" si="280"/>
        <v>0</v>
      </c>
      <c r="BI509" s="3307">
        <f t="shared" si="281"/>
        <v>0</v>
      </c>
      <c r="BJ509" s="3307">
        <f t="shared" si="282"/>
        <v>0</v>
      </c>
      <c r="BK509" s="3307">
        <f t="shared" si="283"/>
        <v>0</v>
      </c>
      <c r="BL509" s="3307">
        <f t="shared" si="284"/>
        <v>0</v>
      </c>
      <c r="BM509" s="3307">
        <f t="shared" si="285"/>
        <v>0</v>
      </c>
      <c r="BN509" s="3307">
        <f t="shared" si="286"/>
        <v>0</v>
      </c>
      <c r="BO509" s="3307">
        <f t="shared" si="287"/>
        <v>0</v>
      </c>
      <c r="BP509" s="3307">
        <f t="shared" si="288"/>
        <v>0</v>
      </c>
      <c r="BQ509" s="3307">
        <f t="shared" si="289"/>
        <v>0</v>
      </c>
      <c r="BR509" s="3307">
        <f t="shared" si="290"/>
        <v>0</v>
      </c>
      <c r="BS509" s="3307">
        <f t="shared" si="291"/>
        <v>0</v>
      </c>
      <c r="BT509" s="3359">
        <f t="shared" si="292"/>
        <v>0</v>
      </c>
    </row>
    <row r="510" spans="1:72">
      <c r="A510" s="3304"/>
      <c r="B510" s="3305"/>
      <c r="C510" s="3305"/>
      <c r="D510" s="3306"/>
      <c r="E510" s="3307">
        <f t="shared" si="293"/>
        <v>0</v>
      </c>
      <c r="F510" s="3308"/>
      <c r="G510" s="3309">
        <f t="shared" si="268"/>
        <v>0</v>
      </c>
      <c r="H510" s="3310">
        <f t="shared" si="269"/>
        <v>0</v>
      </c>
      <c r="I510" s="3317"/>
      <c r="J510" s="3317"/>
      <c r="K510" s="3317"/>
      <c r="L510" s="3317"/>
      <c r="M510" s="3317"/>
      <c r="N510" s="3317"/>
      <c r="O510" s="3317"/>
      <c r="P510" s="3317"/>
      <c r="Q510" s="3317"/>
      <c r="R510" s="3317"/>
      <c r="S510" s="3317"/>
      <c r="T510" s="3317"/>
      <c r="U510" s="3317"/>
      <c r="V510" s="3317"/>
      <c r="W510" s="3317"/>
      <c r="X510" s="3317"/>
      <c r="Y510" s="3317"/>
      <c r="Z510" s="3317"/>
      <c r="AA510" s="3317"/>
      <c r="AB510" s="3317"/>
      <c r="AC510" s="3307">
        <f t="shared" si="270"/>
        <v>0</v>
      </c>
      <c r="AD510" s="3327"/>
      <c r="AE510" s="3327"/>
      <c r="AF510" s="3327"/>
      <c r="AG510" s="3327"/>
      <c r="AH510" s="3327"/>
      <c r="AI510" s="3327"/>
      <c r="AJ510" s="3327"/>
      <c r="AK510" s="3327"/>
      <c r="AL510" s="3327"/>
      <c r="AM510" s="3327"/>
      <c r="AN510" s="3327"/>
      <c r="AO510" s="3327"/>
      <c r="AP510" s="3327"/>
      <c r="AQ510" s="3327"/>
      <c r="AR510" s="3327"/>
      <c r="AS510" s="3327"/>
      <c r="AT510" s="3337"/>
      <c r="AU510" s="3338"/>
      <c r="AV510" s="1410">
        <f t="shared" si="294"/>
        <v>0</v>
      </c>
      <c r="AW510" s="1410">
        <f t="shared" si="295"/>
        <v>0</v>
      </c>
      <c r="AX510" s="1410">
        <f t="shared" si="296"/>
        <v>0</v>
      </c>
      <c r="AY510" s="3352">
        <f t="shared" si="271"/>
        <v>0</v>
      </c>
      <c r="AZ510" s="3307">
        <f t="shared" si="272"/>
        <v>0</v>
      </c>
      <c r="BA510" s="3307">
        <f t="shared" si="273"/>
        <v>0</v>
      </c>
      <c r="BB510" s="3307">
        <f t="shared" si="274"/>
        <v>0</v>
      </c>
      <c r="BC510" s="3307">
        <f t="shared" si="275"/>
        <v>0</v>
      </c>
      <c r="BD510" s="3307">
        <f t="shared" si="276"/>
        <v>0</v>
      </c>
      <c r="BE510" s="3307">
        <f t="shared" si="277"/>
        <v>0</v>
      </c>
      <c r="BF510" s="3307">
        <f t="shared" si="278"/>
        <v>0</v>
      </c>
      <c r="BG510" s="3307">
        <f t="shared" si="279"/>
        <v>0</v>
      </c>
      <c r="BH510" s="3307">
        <f t="shared" si="280"/>
        <v>0</v>
      </c>
      <c r="BI510" s="3307">
        <f t="shared" si="281"/>
        <v>0</v>
      </c>
      <c r="BJ510" s="3307">
        <f t="shared" si="282"/>
        <v>0</v>
      </c>
      <c r="BK510" s="3307">
        <f t="shared" si="283"/>
        <v>0</v>
      </c>
      <c r="BL510" s="3307">
        <f t="shared" si="284"/>
        <v>0</v>
      </c>
      <c r="BM510" s="3307">
        <f t="shared" si="285"/>
        <v>0</v>
      </c>
      <c r="BN510" s="3307">
        <f t="shared" si="286"/>
        <v>0</v>
      </c>
      <c r="BO510" s="3307">
        <f t="shared" si="287"/>
        <v>0</v>
      </c>
      <c r="BP510" s="3307">
        <f t="shared" si="288"/>
        <v>0</v>
      </c>
      <c r="BQ510" s="3307">
        <f t="shared" si="289"/>
        <v>0</v>
      </c>
      <c r="BR510" s="3307">
        <f t="shared" si="290"/>
        <v>0</v>
      </c>
      <c r="BS510" s="3307">
        <f t="shared" si="291"/>
        <v>0</v>
      </c>
      <c r="BT510" s="3359">
        <f t="shared" si="292"/>
        <v>0</v>
      </c>
    </row>
    <row r="511" spans="1:72">
      <c r="A511" s="3304"/>
      <c r="B511" s="3305"/>
      <c r="C511" s="3305"/>
      <c r="D511" s="3306"/>
      <c r="E511" s="3307">
        <f t="shared" si="293"/>
        <v>0</v>
      </c>
      <c r="F511" s="3308"/>
      <c r="G511" s="3309">
        <f t="shared" si="268"/>
        <v>0</v>
      </c>
      <c r="H511" s="3310">
        <f t="shared" si="269"/>
        <v>0</v>
      </c>
      <c r="I511" s="3317"/>
      <c r="J511" s="3317"/>
      <c r="K511" s="3317"/>
      <c r="L511" s="3317"/>
      <c r="M511" s="3317"/>
      <c r="N511" s="3317"/>
      <c r="O511" s="3317"/>
      <c r="P511" s="3317"/>
      <c r="Q511" s="3317"/>
      <c r="R511" s="3317"/>
      <c r="S511" s="3317"/>
      <c r="T511" s="3317"/>
      <c r="U511" s="3317"/>
      <c r="V511" s="3317"/>
      <c r="W511" s="3317"/>
      <c r="X511" s="3317"/>
      <c r="Y511" s="3317"/>
      <c r="Z511" s="3317"/>
      <c r="AA511" s="3317"/>
      <c r="AB511" s="3317"/>
      <c r="AC511" s="3307">
        <f t="shared" si="270"/>
        <v>0</v>
      </c>
      <c r="AD511" s="3327"/>
      <c r="AE511" s="3327"/>
      <c r="AF511" s="3327"/>
      <c r="AG511" s="3327"/>
      <c r="AH511" s="3327"/>
      <c r="AI511" s="3327"/>
      <c r="AJ511" s="3327"/>
      <c r="AK511" s="3327"/>
      <c r="AL511" s="3327"/>
      <c r="AM511" s="3327"/>
      <c r="AN511" s="3327"/>
      <c r="AO511" s="3327"/>
      <c r="AP511" s="3327"/>
      <c r="AQ511" s="3327"/>
      <c r="AR511" s="3327"/>
      <c r="AS511" s="3327"/>
      <c r="AT511" s="3337"/>
      <c r="AU511" s="3338"/>
      <c r="AV511" s="1410">
        <f t="shared" si="294"/>
        <v>0</v>
      </c>
      <c r="AW511" s="1410">
        <f t="shared" si="295"/>
        <v>0</v>
      </c>
      <c r="AX511" s="1410">
        <f t="shared" si="296"/>
        <v>0</v>
      </c>
      <c r="AY511" s="3352">
        <f t="shared" si="271"/>
        <v>0</v>
      </c>
      <c r="AZ511" s="3307">
        <f t="shared" si="272"/>
        <v>0</v>
      </c>
      <c r="BA511" s="3307">
        <f t="shared" si="273"/>
        <v>0</v>
      </c>
      <c r="BB511" s="3307">
        <f t="shared" si="274"/>
        <v>0</v>
      </c>
      <c r="BC511" s="3307">
        <f t="shared" si="275"/>
        <v>0</v>
      </c>
      <c r="BD511" s="3307">
        <f t="shared" si="276"/>
        <v>0</v>
      </c>
      <c r="BE511" s="3307">
        <f t="shared" si="277"/>
        <v>0</v>
      </c>
      <c r="BF511" s="3307">
        <f t="shared" si="278"/>
        <v>0</v>
      </c>
      <c r="BG511" s="3307">
        <f t="shared" si="279"/>
        <v>0</v>
      </c>
      <c r="BH511" s="3307">
        <f t="shared" si="280"/>
        <v>0</v>
      </c>
      <c r="BI511" s="3307">
        <f t="shared" si="281"/>
        <v>0</v>
      </c>
      <c r="BJ511" s="3307">
        <f t="shared" si="282"/>
        <v>0</v>
      </c>
      <c r="BK511" s="3307">
        <f t="shared" si="283"/>
        <v>0</v>
      </c>
      <c r="BL511" s="3307">
        <f t="shared" si="284"/>
        <v>0</v>
      </c>
      <c r="BM511" s="3307">
        <f t="shared" si="285"/>
        <v>0</v>
      </c>
      <c r="BN511" s="3307">
        <f t="shared" si="286"/>
        <v>0</v>
      </c>
      <c r="BO511" s="3307">
        <f t="shared" si="287"/>
        <v>0</v>
      </c>
      <c r="BP511" s="3307">
        <f t="shared" si="288"/>
        <v>0</v>
      </c>
      <c r="BQ511" s="3307">
        <f t="shared" si="289"/>
        <v>0</v>
      </c>
      <c r="BR511" s="3307">
        <f t="shared" si="290"/>
        <v>0</v>
      </c>
      <c r="BS511" s="3307">
        <f t="shared" si="291"/>
        <v>0</v>
      </c>
      <c r="BT511" s="3359">
        <f t="shared" si="292"/>
        <v>0</v>
      </c>
    </row>
    <row r="512" spans="1:72">
      <c r="A512" s="3304"/>
      <c r="B512" s="3305"/>
      <c r="C512" s="3305"/>
      <c r="D512" s="3306"/>
      <c r="E512" s="3307">
        <f t="shared" si="293"/>
        <v>0</v>
      </c>
      <c r="F512" s="3308"/>
      <c r="G512" s="3309">
        <f t="shared" si="268"/>
        <v>0</v>
      </c>
      <c r="H512" s="3310">
        <f t="shared" si="269"/>
        <v>0</v>
      </c>
      <c r="I512" s="3317"/>
      <c r="J512" s="3317"/>
      <c r="K512" s="3317"/>
      <c r="L512" s="3317"/>
      <c r="M512" s="3317"/>
      <c r="N512" s="3317"/>
      <c r="O512" s="3317"/>
      <c r="P512" s="3317"/>
      <c r="Q512" s="3317"/>
      <c r="R512" s="3317"/>
      <c r="S512" s="3317"/>
      <c r="T512" s="3317"/>
      <c r="U512" s="3317"/>
      <c r="V512" s="3317"/>
      <c r="W512" s="3317"/>
      <c r="X512" s="3317"/>
      <c r="Y512" s="3317"/>
      <c r="Z512" s="3317"/>
      <c r="AA512" s="3317"/>
      <c r="AB512" s="3317"/>
      <c r="AC512" s="3307">
        <f t="shared" si="270"/>
        <v>0</v>
      </c>
      <c r="AD512" s="3327"/>
      <c r="AE512" s="3327"/>
      <c r="AF512" s="3327"/>
      <c r="AG512" s="3327"/>
      <c r="AH512" s="3327"/>
      <c r="AI512" s="3327"/>
      <c r="AJ512" s="3327"/>
      <c r="AK512" s="3327"/>
      <c r="AL512" s="3327"/>
      <c r="AM512" s="3327"/>
      <c r="AN512" s="3327"/>
      <c r="AO512" s="3327"/>
      <c r="AP512" s="3327"/>
      <c r="AQ512" s="3327"/>
      <c r="AR512" s="3327"/>
      <c r="AS512" s="3327"/>
      <c r="AT512" s="3337"/>
      <c r="AU512" s="3338"/>
      <c r="AV512" s="1410">
        <f t="shared" si="294"/>
        <v>0</v>
      </c>
      <c r="AW512" s="1410">
        <f t="shared" si="295"/>
        <v>0</v>
      </c>
      <c r="AX512" s="1410">
        <f t="shared" si="296"/>
        <v>0</v>
      </c>
      <c r="AY512" s="3352">
        <f t="shared" si="271"/>
        <v>0</v>
      </c>
      <c r="AZ512" s="3307">
        <f t="shared" si="272"/>
        <v>0</v>
      </c>
      <c r="BA512" s="3307">
        <f t="shared" si="273"/>
        <v>0</v>
      </c>
      <c r="BB512" s="3307">
        <f t="shared" si="274"/>
        <v>0</v>
      </c>
      <c r="BC512" s="3307">
        <f t="shared" si="275"/>
        <v>0</v>
      </c>
      <c r="BD512" s="3307">
        <f t="shared" si="276"/>
        <v>0</v>
      </c>
      <c r="BE512" s="3307">
        <f t="shared" si="277"/>
        <v>0</v>
      </c>
      <c r="BF512" s="3307">
        <f t="shared" si="278"/>
        <v>0</v>
      </c>
      <c r="BG512" s="3307">
        <f t="shared" si="279"/>
        <v>0</v>
      </c>
      <c r="BH512" s="3307">
        <f t="shared" si="280"/>
        <v>0</v>
      </c>
      <c r="BI512" s="3307">
        <f t="shared" si="281"/>
        <v>0</v>
      </c>
      <c r="BJ512" s="3307">
        <f t="shared" si="282"/>
        <v>0</v>
      </c>
      <c r="BK512" s="3307">
        <f t="shared" si="283"/>
        <v>0</v>
      </c>
      <c r="BL512" s="3307">
        <f t="shared" si="284"/>
        <v>0</v>
      </c>
      <c r="BM512" s="3307">
        <f t="shared" si="285"/>
        <v>0</v>
      </c>
      <c r="BN512" s="3307">
        <f t="shared" si="286"/>
        <v>0</v>
      </c>
      <c r="BO512" s="3307">
        <f t="shared" si="287"/>
        <v>0</v>
      </c>
      <c r="BP512" s="3307">
        <f t="shared" si="288"/>
        <v>0</v>
      </c>
      <c r="BQ512" s="3307">
        <f t="shared" si="289"/>
        <v>0</v>
      </c>
      <c r="BR512" s="3307">
        <f t="shared" si="290"/>
        <v>0</v>
      </c>
      <c r="BS512" s="3307">
        <f t="shared" si="291"/>
        <v>0</v>
      </c>
      <c r="BT512" s="3359">
        <f t="shared" si="292"/>
        <v>0</v>
      </c>
    </row>
    <row r="513" spans="1:72">
      <c r="A513" s="3304"/>
      <c r="B513" s="3305"/>
      <c r="C513" s="3305"/>
      <c r="D513" s="3306"/>
      <c r="E513" s="3307">
        <f t="shared" si="293"/>
        <v>0</v>
      </c>
      <c r="F513" s="3308"/>
      <c r="G513" s="3309">
        <f t="shared" si="268"/>
        <v>0</v>
      </c>
      <c r="H513" s="3310">
        <f t="shared" si="269"/>
        <v>0</v>
      </c>
      <c r="I513" s="3317"/>
      <c r="J513" s="3317"/>
      <c r="K513" s="3317"/>
      <c r="L513" s="3317"/>
      <c r="M513" s="3317"/>
      <c r="N513" s="3317"/>
      <c r="O513" s="3317"/>
      <c r="P513" s="3317"/>
      <c r="Q513" s="3317"/>
      <c r="R513" s="3317"/>
      <c r="S513" s="3317"/>
      <c r="T513" s="3317"/>
      <c r="U513" s="3317"/>
      <c r="V513" s="3317"/>
      <c r="W513" s="3317"/>
      <c r="X513" s="3317"/>
      <c r="Y513" s="3317"/>
      <c r="Z513" s="3317"/>
      <c r="AA513" s="3317"/>
      <c r="AB513" s="3317"/>
      <c r="AC513" s="3307">
        <f t="shared" si="270"/>
        <v>0</v>
      </c>
      <c r="AD513" s="3327"/>
      <c r="AE513" s="3327"/>
      <c r="AF513" s="3327"/>
      <c r="AG513" s="3327"/>
      <c r="AH513" s="3327"/>
      <c r="AI513" s="3327"/>
      <c r="AJ513" s="3327"/>
      <c r="AK513" s="3327"/>
      <c r="AL513" s="3327"/>
      <c r="AM513" s="3327"/>
      <c r="AN513" s="3327"/>
      <c r="AO513" s="3327"/>
      <c r="AP513" s="3327"/>
      <c r="AQ513" s="3327"/>
      <c r="AR513" s="3327"/>
      <c r="AS513" s="3327"/>
      <c r="AT513" s="3337"/>
      <c r="AU513" s="3338"/>
      <c r="AV513" s="1410">
        <f t="shared" si="294"/>
        <v>0</v>
      </c>
      <c r="AW513" s="1410">
        <f t="shared" si="295"/>
        <v>0</v>
      </c>
      <c r="AX513" s="1410">
        <f t="shared" si="296"/>
        <v>0</v>
      </c>
      <c r="AY513" s="3352">
        <f t="shared" si="271"/>
        <v>0</v>
      </c>
      <c r="AZ513" s="3307">
        <f t="shared" si="272"/>
        <v>0</v>
      </c>
      <c r="BA513" s="3307">
        <f t="shared" si="273"/>
        <v>0</v>
      </c>
      <c r="BB513" s="3307">
        <f t="shared" si="274"/>
        <v>0</v>
      </c>
      <c r="BC513" s="3307">
        <f t="shared" si="275"/>
        <v>0</v>
      </c>
      <c r="BD513" s="3307">
        <f t="shared" si="276"/>
        <v>0</v>
      </c>
      <c r="BE513" s="3307">
        <f t="shared" si="277"/>
        <v>0</v>
      </c>
      <c r="BF513" s="3307">
        <f t="shared" si="278"/>
        <v>0</v>
      </c>
      <c r="BG513" s="3307">
        <f t="shared" si="279"/>
        <v>0</v>
      </c>
      <c r="BH513" s="3307">
        <f t="shared" si="280"/>
        <v>0</v>
      </c>
      <c r="BI513" s="3307">
        <f t="shared" si="281"/>
        <v>0</v>
      </c>
      <c r="BJ513" s="3307">
        <f t="shared" si="282"/>
        <v>0</v>
      </c>
      <c r="BK513" s="3307">
        <f t="shared" si="283"/>
        <v>0</v>
      </c>
      <c r="BL513" s="3307">
        <f t="shared" si="284"/>
        <v>0</v>
      </c>
      <c r="BM513" s="3307">
        <f t="shared" si="285"/>
        <v>0</v>
      </c>
      <c r="BN513" s="3307">
        <f t="shared" si="286"/>
        <v>0</v>
      </c>
      <c r="BO513" s="3307">
        <f t="shared" si="287"/>
        <v>0</v>
      </c>
      <c r="BP513" s="3307">
        <f t="shared" si="288"/>
        <v>0</v>
      </c>
      <c r="BQ513" s="3307">
        <f t="shared" si="289"/>
        <v>0</v>
      </c>
      <c r="BR513" s="3307">
        <f t="shared" si="290"/>
        <v>0</v>
      </c>
      <c r="BS513" s="3307">
        <f t="shared" si="291"/>
        <v>0</v>
      </c>
      <c r="BT513" s="3359">
        <f t="shared" si="292"/>
        <v>0</v>
      </c>
    </row>
    <row r="514" spans="1:72">
      <c r="A514" s="3304"/>
      <c r="B514" s="3305"/>
      <c r="C514" s="3305"/>
      <c r="D514" s="3306"/>
      <c r="E514" s="3307">
        <f t="shared" si="293"/>
        <v>0</v>
      </c>
      <c r="F514" s="3308"/>
      <c r="G514" s="3309">
        <f t="shared" si="268"/>
        <v>0</v>
      </c>
      <c r="H514" s="3310">
        <f t="shared" si="269"/>
        <v>0</v>
      </c>
      <c r="I514" s="3317"/>
      <c r="J514" s="3317"/>
      <c r="K514" s="3317"/>
      <c r="L514" s="3317"/>
      <c r="M514" s="3317"/>
      <c r="N514" s="3317"/>
      <c r="O514" s="3317"/>
      <c r="P514" s="3317"/>
      <c r="Q514" s="3317"/>
      <c r="R514" s="3317"/>
      <c r="S514" s="3317"/>
      <c r="T514" s="3317"/>
      <c r="U514" s="3317"/>
      <c r="V514" s="3317"/>
      <c r="W514" s="3317"/>
      <c r="X514" s="3317"/>
      <c r="Y514" s="3317"/>
      <c r="Z514" s="3317"/>
      <c r="AA514" s="3317"/>
      <c r="AB514" s="3317"/>
      <c r="AC514" s="3307">
        <f t="shared" si="270"/>
        <v>0</v>
      </c>
      <c r="AD514" s="3327"/>
      <c r="AE514" s="3327"/>
      <c r="AF514" s="3327"/>
      <c r="AG514" s="3327"/>
      <c r="AH514" s="3327"/>
      <c r="AI514" s="3327"/>
      <c r="AJ514" s="3327"/>
      <c r="AK514" s="3327"/>
      <c r="AL514" s="3327"/>
      <c r="AM514" s="3327"/>
      <c r="AN514" s="3327"/>
      <c r="AO514" s="3327"/>
      <c r="AP514" s="3327"/>
      <c r="AQ514" s="3327"/>
      <c r="AR514" s="3327"/>
      <c r="AS514" s="3327"/>
      <c r="AT514" s="3337"/>
      <c r="AU514" s="3338"/>
      <c r="AV514" s="1410">
        <f t="shared" si="294"/>
        <v>0</v>
      </c>
      <c r="AW514" s="1410">
        <f t="shared" si="295"/>
        <v>0</v>
      </c>
      <c r="AX514" s="1410">
        <f t="shared" si="296"/>
        <v>0</v>
      </c>
      <c r="AY514" s="3352">
        <f t="shared" si="271"/>
        <v>0</v>
      </c>
      <c r="AZ514" s="3307">
        <f t="shared" si="272"/>
        <v>0</v>
      </c>
      <c r="BA514" s="3307">
        <f t="shared" si="273"/>
        <v>0</v>
      </c>
      <c r="BB514" s="3307">
        <f t="shared" si="274"/>
        <v>0</v>
      </c>
      <c r="BC514" s="3307">
        <f t="shared" si="275"/>
        <v>0</v>
      </c>
      <c r="BD514" s="3307">
        <f t="shared" si="276"/>
        <v>0</v>
      </c>
      <c r="BE514" s="3307">
        <f t="shared" si="277"/>
        <v>0</v>
      </c>
      <c r="BF514" s="3307">
        <f t="shared" si="278"/>
        <v>0</v>
      </c>
      <c r="BG514" s="3307">
        <f t="shared" si="279"/>
        <v>0</v>
      </c>
      <c r="BH514" s="3307">
        <f t="shared" si="280"/>
        <v>0</v>
      </c>
      <c r="BI514" s="3307">
        <f t="shared" si="281"/>
        <v>0</v>
      </c>
      <c r="BJ514" s="3307">
        <f t="shared" si="282"/>
        <v>0</v>
      </c>
      <c r="BK514" s="3307">
        <f t="shared" si="283"/>
        <v>0</v>
      </c>
      <c r="BL514" s="3307">
        <f t="shared" si="284"/>
        <v>0</v>
      </c>
      <c r="BM514" s="3307">
        <f t="shared" si="285"/>
        <v>0</v>
      </c>
      <c r="BN514" s="3307">
        <f t="shared" si="286"/>
        <v>0</v>
      </c>
      <c r="BO514" s="3307">
        <f t="shared" si="287"/>
        <v>0</v>
      </c>
      <c r="BP514" s="3307">
        <f t="shared" si="288"/>
        <v>0</v>
      </c>
      <c r="BQ514" s="3307">
        <f t="shared" si="289"/>
        <v>0</v>
      </c>
      <c r="BR514" s="3307">
        <f t="shared" si="290"/>
        <v>0</v>
      </c>
      <c r="BS514" s="3307">
        <f t="shared" si="291"/>
        <v>0</v>
      </c>
      <c r="BT514" s="3359">
        <f t="shared" si="292"/>
        <v>0</v>
      </c>
    </row>
    <row r="515" spans="1:72">
      <c r="A515" s="3304"/>
      <c r="B515" s="3305"/>
      <c r="C515" s="3305"/>
      <c r="D515" s="3306"/>
      <c r="E515" s="3307">
        <f t="shared" si="293"/>
        <v>0</v>
      </c>
      <c r="F515" s="3308"/>
      <c r="G515" s="3309">
        <f t="shared" si="268"/>
        <v>0</v>
      </c>
      <c r="H515" s="3310">
        <f t="shared" si="269"/>
        <v>0</v>
      </c>
      <c r="I515" s="3317"/>
      <c r="J515" s="3317"/>
      <c r="K515" s="3317"/>
      <c r="L515" s="3317"/>
      <c r="M515" s="3317"/>
      <c r="N515" s="3317"/>
      <c r="O515" s="3317"/>
      <c r="P515" s="3317"/>
      <c r="Q515" s="3317"/>
      <c r="R515" s="3317"/>
      <c r="S515" s="3317"/>
      <c r="T515" s="3317"/>
      <c r="U515" s="3317"/>
      <c r="V515" s="3317"/>
      <c r="W515" s="3317"/>
      <c r="X515" s="3317"/>
      <c r="Y515" s="3317"/>
      <c r="Z515" s="3317"/>
      <c r="AA515" s="3317"/>
      <c r="AB515" s="3317"/>
      <c r="AC515" s="3307">
        <f t="shared" si="270"/>
        <v>0</v>
      </c>
      <c r="AD515" s="3327"/>
      <c r="AE515" s="3327"/>
      <c r="AF515" s="3327"/>
      <c r="AG515" s="3327"/>
      <c r="AH515" s="3327"/>
      <c r="AI515" s="3327"/>
      <c r="AJ515" s="3327"/>
      <c r="AK515" s="3327"/>
      <c r="AL515" s="3327"/>
      <c r="AM515" s="3327"/>
      <c r="AN515" s="3327"/>
      <c r="AO515" s="3327"/>
      <c r="AP515" s="3327"/>
      <c r="AQ515" s="3327"/>
      <c r="AR515" s="3327"/>
      <c r="AS515" s="3327"/>
      <c r="AT515" s="3337"/>
      <c r="AU515" s="3338"/>
      <c r="AV515" s="1410">
        <f t="shared" si="294"/>
        <v>0</v>
      </c>
      <c r="AW515" s="1410">
        <f t="shared" si="295"/>
        <v>0</v>
      </c>
      <c r="AX515" s="1410">
        <f t="shared" si="296"/>
        <v>0</v>
      </c>
      <c r="AY515" s="3352">
        <f t="shared" si="271"/>
        <v>0</v>
      </c>
      <c r="AZ515" s="3307">
        <f t="shared" si="272"/>
        <v>0</v>
      </c>
      <c r="BA515" s="3307">
        <f t="shared" si="273"/>
        <v>0</v>
      </c>
      <c r="BB515" s="3307">
        <f t="shared" si="274"/>
        <v>0</v>
      </c>
      <c r="BC515" s="3307">
        <f t="shared" si="275"/>
        <v>0</v>
      </c>
      <c r="BD515" s="3307">
        <f t="shared" si="276"/>
        <v>0</v>
      </c>
      <c r="BE515" s="3307">
        <f t="shared" si="277"/>
        <v>0</v>
      </c>
      <c r="BF515" s="3307">
        <f t="shared" si="278"/>
        <v>0</v>
      </c>
      <c r="BG515" s="3307">
        <f t="shared" si="279"/>
        <v>0</v>
      </c>
      <c r="BH515" s="3307">
        <f t="shared" si="280"/>
        <v>0</v>
      </c>
      <c r="BI515" s="3307">
        <f t="shared" si="281"/>
        <v>0</v>
      </c>
      <c r="BJ515" s="3307">
        <f t="shared" si="282"/>
        <v>0</v>
      </c>
      <c r="BK515" s="3307">
        <f t="shared" si="283"/>
        <v>0</v>
      </c>
      <c r="BL515" s="3307">
        <f t="shared" si="284"/>
        <v>0</v>
      </c>
      <c r="BM515" s="3307">
        <f t="shared" si="285"/>
        <v>0</v>
      </c>
      <c r="BN515" s="3307">
        <f t="shared" si="286"/>
        <v>0</v>
      </c>
      <c r="BO515" s="3307">
        <f t="shared" si="287"/>
        <v>0</v>
      </c>
      <c r="BP515" s="3307">
        <f t="shared" si="288"/>
        <v>0</v>
      </c>
      <c r="BQ515" s="3307">
        <f t="shared" si="289"/>
        <v>0</v>
      </c>
      <c r="BR515" s="3307">
        <f t="shared" si="290"/>
        <v>0</v>
      </c>
      <c r="BS515" s="3307">
        <f t="shared" si="291"/>
        <v>0</v>
      </c>
      <c r="BT515" s="3359">
        <f t="shared" si="292"/>
        <v>0</v>
      </c>
    </row>
    <row r="516" spans="1:72">
      <c r="A516" s="3304"/>
      <c r="B516" s="3305"/>
      <c r="C516" s="3305"/>
      <c r="D516" s="3306"/>
      <c r="E516" s="3307">
        <f t="shared" si="293"/>
        <v>0</v>
      </c>
      <c r="F516" s="3308"/>
      <c r="G516" s="3309">
        <f t="shared" si="268"/>
        <v>0</v>
      </c>
      <c r="H516" s="3310">
        <f t="shared" si="269"/>
        <v>0</v>
      </c>
      <c r="I516" s="3317"/>
      <c r="J516" s="3317"/>
      <c r="K516" s="3317"/>
      <c r="L516" s="3317"/>
      <c r="M516" s="3317"/>
      <c r="N516" s="3317"/>
      <c r="O516" s="3317"/>
      <c r="P516" s="3317"/>
      <c r="Q516" s="3317"/>
      <c r="R516" s="3317"/>
      <c r="S516" s="3317"/>
      <c r="T516" s="3317"/>
      <c r="U516" s="3317"/>
      <c r="V516" s="3317"/>
      <c r="W516" s="3317"/>
      <c r="X516" s="3317"/>
      <c r="Y516" s="3317"/>
      <c r="Z516" s="3317"/>
      <c r="AA516" s="3317"/>
      <c r="AB516" s="3317"/>
      <c r="AC516" s="3307">
        <f t="shared" si="270"/>
        <v>0</v>
      </c>
      <c r="AD516" s="3327"/>
      <c r="AE516" s="3327"/>
      <c r="AF516" s="3327"/>
      <c r="AG516" s="3327"/>
      <c r="AH516" s="3327"/>
      <c r="AI516" s="3327"/>
      <c r="AJ516" s="3327"/>
      <c r="AK516" s="3327"/>
      <c r="AL516" s="3327"/>
      <c r="AM516" s="3327"/>
      <c r="AN516" s="3327"/>
      <c r="AO516" s="3327"/>
      <c r="AP516" s="3327"/>
      <c r="AQ516" s="3327"/>
      <c r="AR516" s="3327"/>
      <c r="AS516" s="3327"/>
      <c r="AT516" s="3337"/>
      <c r="AU516" s="3338"/>
      <c r="AV516" s="1410">
        <f t="shared" si="294"/>
        <v>0</v>
      </c>
      <c r="AW516" s="1410">
        <f t="shared" si="295"/>
        <v>0</v>
      </c>
      <c r="AX516" s="1410">
        <f t="shared" si="296"/>
        <v>0</v>
      </c>
      <c r="AY516" s="3352">
        <f t="shared" si="271"/>
        <v>0</v>
      </c>
      <c r="AZ516" s="3307">
        <f t="shared" si="272"/>
        <v>0</v>
      </c>
      <c r="BA516" s="3307">
        <f t="shared" si="273"/>
        <v>0</v>
      </c>
      <c r="BB516" s="3307">
        <f t="shared" si="274"/>
        <v>0</v>
      </c>
      <c r="BC516" s="3307">
        <f t="shared" si="275"/>
        <v>0</v>
      </c>
      <c r="BD516" s="3307">
        <f t="shared" si="276"/>
        <v>0</v>
      </c>
      <c r="BE516" s="3307">
        <f t="shared" si="277"/>
        <v>0</v>
      </c>
      <c r="BF516" s="3307">
        <f t="shared" si="278"/>
        <v>0</v>
      </c>
      <c r="BG516" s="3307">
        <f t="shared" si="279"/>
        <v>0</v>
      </c>
      <c r="BH516" s="3307">
        <f t="shared" si="280"/>
        <v>0</v>
      </c>
      <c r="BI516" s="3307">
        <f t="shared" si="281"/>
        <v>0</v>
      </c>
      <c r="BJ516" s="3307">
        <f t="shared" si="282"/>
        <v>0</v>
      </c>
      <c r="BK516" s="3307">
        <f t="shared" si="283"/>
        <v>0</v>
      </c>
      <c r="BL516" s="3307">
        <f t="shared" si="284"/>
        <v>0</v>
      </c>
      <c r="BM516" s="3307">
        <f t="shared" si="285"/>
        <v>0</v>
      </c>
      <c r="BN516" s="3307">
        <f t="shared" si="286"/>
        <v>0</v>
      </c>
      <c r="BO516" s="3307">
        <f t="shared" si="287"/>
        <v>0</v>
      </c>
      <c r="BP516" s="3307">
        <f t="shared" si="288"/>
        <v>0</v>
      </c>
      <c r="BQ516" s="3307">
        <f t="shared" si="289"/>
        <v>0</v>
      </c>
      <c r="BR516" s="3307">
        <f t="shared" si="290"/>
        <v>0</v>
      </c>
      <c r="BS516" s="3307">
        <f t="shared" si="291"/>
        <v>0</v>
      </c>
      <c r="BT516" s="3359">
        <f t="shared" si="292"/>
        <v>0</v>
      </c>
    </row>
    <row r="517" spans="1:72">
      <c r="A517" s="3304"/>
      <c r="B517" s="3305"/>
      <c r="C517" s="3305"/>
      <c r="D517" s="3306"/>
      <c r="E517" s="3307">
        <f t="shared" si="293"/>
        <v>0</v>
      </c>
      <c r="F517" s="3308"/>
      <c r="G517" s="3309">
        <f t="shared" si="268"/>
        <v>0</v>
      </c>
      <c r="H517" s="3310">
        <f t="shared" si="269"/>
        <v>0</v>
      </c>
      <c r="I517" s="3317"/>
      <c r="J517" s="3317"/>
      <c r="K517" s="3317"/>
      <c r="L517" s="3317"/>
      <c r="M517" s="3317"/>
      <c r="N517" s="3317"/>
      <c r="O517" s="3317"/>
      <c r="P517" s="3317"/>
      <c r="Q517" s="3317"/>
      <c r="R517" s="3317"/>
      <c r="S517" s="3317"/>
      <c r="T517" s="3317"/>
      <c r="U517" s="3317"/>
      <c r="V517" s="3317"/>
      <c r="W517" s="3317"/>
      <c r="X517" s="3317"/>
      <c r="Y517" s="3317"/>
      <c r="Z517" s="3317"/>
      <c r="AA517" s="3317"/>
      <c r="AB517" s="3317"/>
      <c r="AC517" s="3307">
        <f t="shared" si="270"/>
        <v>0</v>
      </c>
      <c r="AD517" s="3327"/>
      <c r="AE517" s="3327"/>
      <c r="AF517" s="3327"/>
      <c r="AG517" s="3327"/>
      <c r="AH517" s="3327"/>
      <c r="AI517" s="3327"/>
      <c r="AJ517" s="3327"/>
      <c r="AK517" s="3327"/>
      <c r="AL517" s="3327"/>
      <c r="AM517" s="3327"/>
      <c r="AN517" s="3327"/>
      <c r="AO517" s="3327"/>
      <c r="AP517" s="3327"/>
      <c r="AQ517" s="3327"/>
      <c r="AR517" s="3327"/>
      <c r="AS517" s="3327"/>
      <c r="AT517" s="3337"/>
      <c r="AU517" s="3338"/>
      <c r="AV517" s="1410">
        <f t="shared" si="294"/>
        <v>0</v>
      </c>
      <c r="AW517" s="1410">
        <f t="shared" si="295"/>
        <v>0</v>
      </c>
      <c r="AX517" s="1410">
        <f t="shared" si="296"/>
        <v>0</v>
      </c>
      <c r="AY517" s="3352">
        <f t="shared" si="271"/>
        <v>0</v>
      </c>
      <c r="AZ517" s="3307">
        <f t="shared" si="272"/>
        <v>0</v>
      </c>
      <c r="BA517" s="3307">
        <f t="shared" si="273"/>
        <v>0</v>
      </c>
      <c r="BB517" s="3307">
        <f t="shared" si="274"/>
        <v>0</v>
      </c>
      <c r="BC517" s="3307">
        <f t="shared" si="275"/>
        <v>0</v>
      </c>
      <c r="BD517" s="3307">
        <f t="shared" si="276"/>
        <v>0</v>
      </c>
      <c r="BE517" s="3307">
        <f t="shared" si="277"/>
        <v>0</v>
      </c>
      <c r="BF517" s="3307">
        <f t="shared" si="278"/>
        <v>0</v>
      </c>
      <c r="BG517" s="3307">
        <f t="shared" si="279"/>
        <v>0</v>
      </c>
      <c r="BH517" s="3307">
        <f t="shared" si="280"/>
        <v>0</v>
      </c>
      <c r="BI517" s="3307">
        <f t="shared" si="281"/>
        <v>0</v>
      </c>
      <c r="BJ517" s="3307">
        <f t="shared" si="282"/>
        <v>0</v>
      </c>
      <c r="BK517" s="3307">
        <f t="shared" si="283"/>
        <v>0</v>
      </c>
      <c r="BL517" s="3307">
        <f t="shared" si="284"/>
        <v>0</v>
      </c>
      <c r="BM517" s="3307">
        <f t="shared" si="285"/>
        <v>0</v>
      </c>
      <c r="BN517" s="3307">
        <f t="shared" si="286"/>
        <v>0</v>
      </c>
      <c r="BO517" s="3307">
        <f t="shared" si="287"/>
        <v>0</v>
      </c>
      <c r="BP517" s="3307">
        <f t="shared" si="288"/>
        <v>0</v>
      </c>
      <c r="BQ517" s="3307">
        <f t="shared" si="289"/>
        <v>0</v>
      </c>
      <c r="BR517" s="3307">
        <f t="shared" si="290"/>
        <v>0</v>
      </c>
      <c r="BS517" s="3307">
        <f t="shared" si="291"/>
        <v>0</v>
      </c>
      <c r="BT517" s="3359">
        <f t="shared" si="292"/>
        <v>0</v>
      </c>
    </row>
    <row r="518" spans="1:72">
      <c r="A518" s="3304"/>
      <c r="B518" s="3305"/>
      <c r="C518" s="3305"/>
      <c r="D518" s="3306"/>
      <c r="E518" s="3307">
        <f t="shared" si="293"/>
        <v>0</v>
      </c>
      <c r="F518" s="3308"/>
      <c r="G518" s="3309">
        <f t="shared" si="268"/>
        <v>0</v>
      </c>
      <c r="H518" s="3310">
        <f t="shared" si="269"/>
        <v>0</v>
      </c>
      <c r="I518" s="3317"/>
      <c r="J518" s="3317"/>
      <c r="K518" s="3317"/>
      <c r="L518" s="3317"/>
      <c r="M518" s="3317"/>
      <c r="N518" s="3317"/>
      <c r="O518" s="3317"/>
      <c r="P518" s="3317"/>
      <c r="Q518" s="3317"/>
      <c r="R518" s="3317"/>
      <c r="S518" s="3317"/>
      <c r="T518" s="3317"/>
      <c r="U518" s="3317"/>
      <c r="V518" s="3317"/>
      <c r="W518" s="3317"/>
      <c r="X518" s="3317"/>
      <c r="Y518" s="3317"/>
      <c r="Z518" s="3317"/>
      <c r="AA518" s="3317"/>
      <c r="AB518" s="3317"/>
      <c r="AC518" s="3307">
        <f t="shared" si="270"/>
        <v>0</v>
      </c>
      <c r="AD518" s="3327"/>
      <c r="AE518" s="3327"/>
      <c r="AF518" s="3327"/>
      <c r="AG518" s="3327"/>
      <c r="AH518" s="3327"/>
      <c r="AI518" s="3327"/>
      <c r="AJ518" s="3327"/>
      <c r="AK518" s="3327"/>
      <c r="AL518" s="3327"/>
      <c r="AM518" s="3327"/>
      <c r="AN518" s="3327"/>
      <c r="AO518" s="3327"/>
      <c r="AP518" s="3327"/>
      <c r="AQ518" s="3327"/>
      <c r="AR518" s="3327"/>
      <c r="AS518" s="3327"/>
      <c r="AT518" s="3337"/>
      <c r="AU518" s="3338"/>
      <c r="AV518" s="1410">
        <f t="shared" si="294"/>
        <v>0</v>
      </c>
      <c r="AW518" s="1410">
        <f t="shared" si="295"/>
        <v>0</v>
      </c>
      <c r="AX518" s="1410">
        <f t="shared" si="296"/>
        <v>0</v>
      </c>
      <c r="AY518" s="3352">
        <f t="shared" si="271"/>
        <v>0</v>
      </c>
      <c r="AZ518" s="3307">
        <f t="shared" si="272"/>
        <v>0</v>
      </c>
      <c r="BA518" s="3307">
        <f t="shared" si="273"/>
        <v>0</v>
      </c>
      <c r="BB518" s="3307">
        <f t="shared" si="274"/>
        <v>0</v>
      </c>
      <c r="BC518" s="3307">
        <f t="shared" si="275"/>
        <v>0</v>
      </c>
      <c r="BD518" s="3307">
        <f t="shared" si="276"/>
        <v>0</v>
      </c>
      <c r="BE518" s="3307">
        <f t="shared" si="277"/>
        <v>0</v>
      </c>
      <c r="BF518" s="3307">
        <f t="shared" si="278"/>
        <v>0</v>
      </c>
      <c r="BG518" s="3307">
        <f t="shared" si="279"/>
        <v>0</v>
      </c>
      <c r="BH518" s="3307">
        <f t="shared" si="280"/>
        <v>0</v>
      </c>
      <c r="BI518" s="3307">
        <f t="shared" si="281"/>
        <v>0</v>
      </c>
      <c r="BJ518" s="3307">
        <f t="shared" si="282"/>
        <v>0</v>
      </c>
      <c r="BK518" s="3307">
        <f t="shared" si="283"/>
        <v>0</v>
      </c>
      <c r="BL518" s="3307">
        <f t="shared" si="284"/>
        <v>0</v>
      </c>
      <c r="BM518" s="3307">
        <f t="shared" si="285"/>
        <v>0</v>
      </c>
      <c r="BN518" s="3307">
        <f t="shared" si="286"/>
        <v>0</v>
      </c>
      <c r="BO518" s="3307">
        <f t="shared" si="287"/>
        <v>0</v>
      </c>
      <c r="BP518" s="3307">
        <f t="shared" si="288"/>
        <v>0</v>
      </c>
      <c r="BQ518" s="3307">
        <f t="shared" si="289"/>
        <v>0</v>
      </c>
      <c r="BR518" s="3307">
        <f t="shared" si="290"/>
        <v>0</v>
      </c>
      <c r="BS518" s="3307">
        <f t="shared" si="291"/>
        <v>0</v>
      </c>
      <c r="BT518" s="3359">
        <f t="shared" si="292"/>
        <v>0</v>
      </c>
    </row>
    <row r="519" spans="1:72">
      <c r="A519" s="3304"/>
      <c r="B519" s="3305"/>
      <c r="C519" s="3305"/>
      <c r="D519" s="3306"/>
      <c r="E519" s="3307">
        <f t="shared" si="293"/>
        <v>0</v>
      </c>
      <c r="F519" s="3308"/>
      <c r="G519" s="3309">
        <f t="shared" si="268"/>
        <v>0</v>
      </c>
      <c r="H519" s="3310">
        <f t="shared" si="269"/>
        <v>0</v>
      </c>
      <c r="I519" s="3317"/>
      <c r="J519" s="3317"/>
      <c r="K519" s="3317"/>
      <c r="L519" s="3317"/>
      <c r="M519" s="3317"/>
      <c r="N519" s="3317"/>
      <c r="O519" s="3317"/>
      <c r="P519" s="3317"/>
      <c r="Q519" s="3317"/>
      <c r="R519" s="3317"/>
      <c r="S519" s="3317"/>
      <c r="T519" s="3317"/>
      <c r="U519" s="3317"/>
      <c r="V519" s="3317"/>
      <c r="W519" s="3317"/>
      <c r="X519" s="3317"/>
      <c r="Y519" s="3317"/>
      <c r="Z519" s="3317"/>
      <c r="AA519" s="3317"/>
      <c r="AB519" s="3317"/>
      <c r="AC519" s="3307">
        <f t="shared" si="270"/>
        <v>0</v>
      </c>
      <c r="AD519" s="3327"/>
      <c r="AE519" s="3327"/>
      <c r="AF519" s="3327"/>
      <c r="AG519" s="3327"/>
      <c r="AH519" s="3327"/>
      <c r="AI519" s="3327"/>
      <c r="AJ519" s="3327"/>
      <c r="AK519" s="3327"/>
      <c r="AL519" s="3327"/>
      <c r="AM519" s="3327"/>
      <c r="AN519" s="3327"/>
      <c r="AO519" s="3327"/>
      <c r="AP519" s="3327"/>
      <c r="AQ519" s="3327"/>
      <c r="AR519" s="3327"/>
      <c r="AS519" s="3327"/>
      <c r="AT519" s="3337"/>
      <c r="AU519" s="3338"/>
      <c r="AV519" s="1410">
        <f t="shared" si="294"/>
        <v>0</v>
      </c>
      <c r="AW519" s="1410">
        <f t="shared" si="295"/>
        <v>0</v>
      </c>
      <c r="AX519" s="1410">
        <f t="shared" si="296"/>
        <v>0</v>
      </c>
      <c r="AY519" s="3352">
        <f t="shared" si="271"/>
        <v>0</v>
      </c>
      <c r="AZ519" s="3307">
        <f t="shared" si="272"/>
        <v>0</v>
      </c>
      <c r="BA519" s="3307">
        <f t="shared" si="273"/>
        <v>0</v>
      </c>
      <c r="BB519" s="3307">
        <f t="shared" si="274"/>
        <v>0</v>
      </c>
      <c r="BC519" s="3307">
        <f t="shared" si="275"/>
        <v>0</v>
      </c>
      <c r="BD519" s="3307">
        <f t="shared" si="276"/>
        <v>0</v>
      </c>
      <c r="BE519" s="3307">
        <f t="shared" si="277"/>
        <v>0</v>
      </c>
      <c r="BF519" s="3307">
        <f t="shared" si="278"/>
        <v>0</v>
      </c>
      <c r="BG519" s="3307">
        <f t="shared" si="279"/>
        <v>0</v>
      </c>
      <c r="BH519" s="3307">
        <f t="shared" si="280"/>
        <v>0</v>
      </c>
      <c r="BI519" s="3307">
        <f t="shared" si="281"/>
        <v>0</v>
      </c>
      <c r="BJ519" s="3307">
        <f t="shared" si="282"/>
        <v>0</v>
      </c>
      <c r="BK519" s="3307">
        <f t="shared" si="283"/>
        <v>0</v>
      </c>
      <c r="BL519" s="3307">
        <f t="shared" si="284"/>
        <v>0</v>
      </c>
      <c r="BM519" s="3307">
        <f t="shared" si="285"/>
        <v>0</v>
      </c>
      <c r="BN519" s="3307">
        <f t="shared" si="286"/>
        <v>0</v>
      </c>
      <c r="BO519" s="3307">
        <f t="shared" si="287"/>
        <v>0</v>
      </c>
      <c r="BP519" s="3307">
        <f t="shared" si="288"/>
        <v>0</v>
      </c>
      <c r="BQ519" s="3307">
        <f t="shared" si="289"/>
        <v>0</v>
      </c>
      <c r="BR519" s="3307">
        <f t="shared" si="290"/>
        <v>0</v>
      </c>
      <c r="BS519" s="3307">
        <f t="shared" si="291"/>
        <v>0</v>
      </c>
      <c r="BT519" s="3359">
        <f t="shared" si="292"/>
        <v>0</v>
      </c>
    </row>
    <row r="520" spans="1:72">
      <c r="A520" s="3304"/>
      <c r="B520" s="3305"/>
      <c r="C520" s="3305"/>
      <c r="D520" s="3306"/>
      <c r="E520" s="3307">
        <f t="shared" ref="E520:E551" si="297">IF($C$3="是",ROUND($A$3*G520/$B$3,2),ROUND($A$3*(G520-AT520)/$B$3,2))</f>
        <v>0</v>
      </c>
      <c r="F520" s="3308"/>
      <c r="G520" s="3309">
        <f t="shared" si="268"/>
        <v>0</v>
      </c>
      <c r="H520" s="3310">
        <f t="shared" si="269"/>
        <v>0</v>
      </c>
      <c r="I520" s="3317"/>
      <c r="J520" s="3317"/>
      <c r="K520" s="3317"/>
      <c r="L520" s="3317"/>
      <c r="M520" s="3317"/>
      <c r="N520" s="3317"/>
      <c r="O520" s="3317"/>
      <c r="P520" s="3317"/>
      <c r="Q520" s="3317"/>
      <c r="R520" s="3317"/>
      <c r="S520" s="3317"/>
      <c r="T520" s="3317"/>
      <c r="U520" s="3317"/>
      <c r="V520" s="3317"/>
      <c r="W520" s="3317"/>
      <c r="X520" s="3317"/>
      <c r="Y520" s="3317"/>
      <c r="Z520" s="3317"/>
      <c r="AA520" s="3317"/>
      <c r="AB520" s="3317"/>
      <c r="AC520" s="3307">
        <f t="shared" si="270"/>
        <v>0</v>
      </c>
      <c r="AD520" s="3327"/>
      <c r="AE520" s="3327"/>
      <c r="AF520" s="3327"/>
      <c r="AG520" s="3327"/>
      <c r="AH520" s="3327"/>
      <c r="AI520" s="3327"/>
      <c r="AJ520" s="3327"/>
      <c r="AK520" s="3327"/>
      <c r="AL520" s="3327"/>
      <c r="AM520" s="3327"/>
      <c r="AN520" s="3327"/>
      <c r="AO520" s="3327"/>
      <c r="AP520" s="3327"/>
      <c r="AQ520" s="3327"/>
      <c r="AR520" s="3327"/>
      <c r="AS520" s="3327"/>
      <c r="AT520" s="3337"/>
      <c r="AU520" s="3338"/>
      <c r="AV520" s="1410">
        <f t="shared" si="294"/>
        <v>0</v>
      </c>
      <c r="AW520" s="1410">
        <f t="shared" si="295"/>
        <v>0</v>
      </c>
      <c r="AX520" s="1410">
        <f t="shared" si="296"/>
        <v>0</v>
      </c>
      <c r="AY520" s="3352">
        <f t="shared" si="271"/>
        <v>0</v>
      </c>
      <c r="AZ520" s="3307">
        <f t="shared" si="272"/>
        <v>0</v>
      </c>
      <c r="BA520" s="3307">
        <f t="shared" si="273"/>
        <v>0</v>
      </c>
      <c r="BB520" s="3307">
        <f t="shared" si="274"/>
        <v>0</v>
      </c>
      <c r="BC520" s="3307">
        <f t="shared" si="275"/>
        <v>0</v>
      </c>
      <c r="BD520" s="3307">
        <f t="shared" si="276"/>
        <v>0</v>
      </c>
      <c r="BE520" s="3307">
        <f t="shared" si="277"/>
        <v>0</v>
      </c>
      <c r="BF520" s="3307">
        <f t="shared" si="278"/>
        <v>0</v>
      </c>
      <c r="BG520" s="3307">
        <f t="shared" si="279"/>
        <v>0</v>
      </c>
      <c r="BH520" s="3307">
        <f t="shared" si="280"/>
        <v>0</v>
      </c>
      <c r="BI520" s="3307">
        <f t="shared" si="281"/>
        <v>0</v>
      </c>
      <c r="BJ520" s="3307">
        <f t="shared" si="282"/>
        <v>0</v>
      </c>
      <c r="BK520" s="3307">
        <f t="shared" si="283"/>
        <v>0</v>
      </c>
      <c r="BL520" s="3307">
        <f t="shared" si="284"/>
        <v>0</v>
      </c>
      <c r="BM520" s="3307">
        <f t="shared" si="285"/>
        <v>0</v>
      </c>
      <c r="BN520" s="3307">
        <f t="shared" si="286"/>
        <v>0</v>
      </c>
      <c r="BO520" s="3307">
        <f t="shared" si="287"/>
        <v>0</v>
      </c>
      <c r="BP520" s="3307">
        <f t="shared" si="288"/>
        <v>0</v>
      </c>
      <c r="BQ520" s="3307">
        <f t="shared" si="289"/>
        <v>0</v>
      </c>
      <c r="BR520" s="3307">
        <f t="shared" si="290"/>
        <v>0</v>
      </c>
      <c r="BS520" s="3307">
        <f t="shared" si="291"/>
        <v>0</v>
      </c>
      <c r="BT520" s="3359">
        <f t="shared" si="292"/>
        <v>0</v>
      </c>
    </row>
    <row r="521" spans="1:72">
      <c r="A521" s="3304"/>
      <c r="B521" s="3305"/>
      <c r="C521" s="3305"/>
      <c r="D521" s="3306"/>
      <c r="E521" s="3307">
        <f t="shared" si="297"/>
        <v>0</v>
      </c>
      <c r="F521" s="3308"/>
      <c r="G521" s="3309">
        <f t="shared" si="268"/>
        <v>0</v>
      </c>
      <c r="H521" s="3310">
        <f t="shared" si="269"/>
        <v>0</v>
      </c>
      <c r="I521" s="3317"/>
      <c r="J521" s="3317"/>
      <c r="K521" s="3317"/>
      <c r="L521" s="3317"/>
      <c r="M521" s="3317"/>
      <c r="N521" s="3317"/>
      <c r="O521" s="3317"/>
      <c r="P521" s="3317"/>
      <c r="Q521" s="3317"/>
      <c r="R521" s="3317"/>
      <c r="S521" s="3317"/>
      <c r="T521" s="3317"/>
      <c r="U521" s="3317"/>
      <c r="V521" s="3317"/>
      <c r="W521" s="3317"/>
      <c r="X521" s="3317"/>
      <c r="Y521" s="3317"/>
      <c r="Z521" s="3317"/>
      <c r="AA521" s="3317"/>
      <c r="AB521" s="3317"/>
      <c r="AC521" s="3307">
        <f t="shared" si="270"/>
        <v>0</v>
      </c>
      <c r="AD521" s="3327"/>
      <c r="AE521" s="3327"/>
      <c r="AF521" s="3327"/>
      <c r="AG521" s="3327"/>
      <c r="AH521" s="3327"/>
      <c r="AI521" s="3327"/>
      <c r="AJ521" s="3327"/>
      <c r="AK521" s="3327"/>
      <c r="AL521" s="3327"/>
      <c r="AM521" s="3327"/>
      <c r="AN521" s="3327"/>
      <c r="AO521" s="3327"/>
      <c r="AP521" s="3327"/>
      <c r="AQ521" s="3327"/>
      <c r="AR521" s="3327"/>
      <c r="AS521" s="3327"/>
      <c r="AT521" s="3337"/>
      <c r="AU521" s="3338"/>
      <c r="AV521" s="1410">
        <f t="shared" ref="AV521:AV552" si="298">A521</f>
        <v>0</v>
      </c>
      <c r="AW521" s="1410">
        <f t="shared" ref="AW521:AW552" si="299">B521</f>
        <v>0</v>
      </c>
      <c r="AX521" s="1410">
        <f t="shared" ref="AX521:AX552" si="300">C521</f>
        <v>0</v>
      </c>
      <c r="AY521" s="3352">
        <f t="shared" si="271"/>
        <v>0</v>
      </c>
      <c r="AZ521" s="3307">
        <f t="shared" si="272"/>
        <v>0</v>
      </c>
      <c r="BA521" s="3307">
        <f t="shared" si="273"/>
        <v>0</v>
      </c>
      <c r="BB521" s="3307">
        <f t="shared" si="274"/>
        <v>0</v>
      </c>
      <c r="BC521" s="3307">
        <f t="shared" si="275"/>
        <v>0</v>
      </c>
      <c r="BD521" s="3307">
        <f t="shared" si="276"/>
        <v>0</v>
      </c>
      <c r="BE521" s="3307">
        <f t="shared" si="277"/>
        <v>0</v>
      </c>
      <c r="BF521" s="3307">
        <f t="shared" si="278"/>
        <v>0</v>
      </c>
      <c r="BG521" s="3307">
        <f t="shared" si="279"/>
        <v>0</v>
      </c>
      <c r="BH521" s="3307">
        <f t="shared" si="280"/>
        <v>0</v>
      </c>
      <c r="BI521" s="3307">
        <f t="shared" si="281"/>
        <v>0</v>
      </c>
      <c r="BJ521" s="3307">
        <f t="shared" si="282"/>
        <v>0</v>
      </c>
      <c r="BK521" s="3307">
        <f t="shared" si="283"/>
        <v>0</v>
      </c>
      <c r="BL521" s="3307">
        <f t="shared" si="284"/>
        <v>0</v>
      </c>
      <c r="BM521" s="3307">
        <f t="shared" si="285"/>
        <v>0</v>
      </c>
      <c r="BN521" s="3307">
        <f t="shared" si="286"/>
        <v>0</v>
      </c>
      <c r="BO521" s="3307">
        <f t="shared" si="287"/>
        <v>0</v>
      </c>
      <c r="BP521" s="3307">
        <f t="shared" si="288"/>
        <v>0</v>
      </c>
      <c r="BQ521" s="3307">
        <f t="shared" si="289"/>
        <v>0</v>
      </c>
      <c r="BR521" s="3307">
        <f t="shared" si="290"/>
        <v>0</v>
      </c>
      <c r="BS521" s="3307">
        <f t="shared" si="291"/>
        <v>0</v>
      </c>
      <c r="BT521" s="3359">
        <f t="shared" si="292"/>
        <v>0</v>
      </c>
    </row>
    <row r="522" spans="1:72">
      <c r="A522" s="3304"/>
      <c r="B522" s="3305"/>
      <c r="C522" s="3305"/>
      <c r="D522" s="3306"/>
      <c r="E522" s="3307">
        <f t="shared" si="297"/>
        <v>0</v>
      </c>
      <c r="F522" s="3308"/>
      <c r="G522" s="3309">
        <f t="shared" ref="G522:G552" si="301">H522+AC522+AT522</f>
        <v>0</v>
      </c>
      <c r="H522" s="3310">
        <f t="shared" ref="H522:H552" si="302">SUMIF(I$12:AB$12,"总值",I522:AB522)</f>
        <v>0</v>
      </c>
      <c r="I522" s="3317"/>
      <c r="J522" s="3317"/>
      <c r="K522" s="3317"/>
      <c r="L522" s="3317"/>
      <c r="M522" s="3317"/>
      <c r="N522" s="3317"/>
      <c r="O522" s="3317"/>
      <c r="P522" s="3317"/>
      <c r="Q522" s="3317"/>
      <c r="R522" s="3317"/>
      <c r="S522" s="3317"/>
      <c r="T522" s="3317"/>
      <c r="U522" s="3317"/>
      <c r="V522" s="3317"/>
      <c r="W522" s="3317"/>
      <c r="X522" s="3317"/>
      <c r="Y522" s="3317"/>
      <c r="Z522" s="3317"/>
      <c r="AA522" s="3317"/>
      <c r="AB522" s="3317"/>
      <c r="AC522" s="3307">
        <f t="shared" ref="AC522:AC552" si="303">SUMIF(AD$12:AS$12,"总值",AD522:AS522)</f>
        <v>0</v>
      </c>
      <c r="AD522" s="3327"/>
      <c r="AE522" s="3327"/>
      <c r="AF522" s="3327"/>
      <c r="AG522" s="3327"/>
      <c r="AH522" s="3327"/>
      <c r="AI522" s="3327"/>
      <c r="AJ522" s="3327"/>
      <c r="AK522" s="3327"/>
      <c r="AL522" s="3327"/>
      <c r="AM522" s="3327"/>
      <c r="AN522" s="3327"/>
      <c r="AO522" s="3327"/>
      <c r="AP522" s="3327"/>
      <c r="AQ522" s="3327"/>
      <c r="AR522" s="3327"/>
      <c r="AS522" s="3327"/>
      <c r="AT522" s="3337"/>
      <c r="AU522" s="3338"/>
      <c r="AV522" s="1410">
        <f t="shared" si="298"/>
        <v>0</v>
      </c>
      <c r="AW522" s="1410">
        <f t="shared" si="299"/>
        <v>0</v>
      </c>
      <c r="AX522" s="1410">
        <f t="shared" si="300"/>
        <v>0</v>
      </c>
      <c r="AY522" s="3352">
        <f t="shared" ref="AY522:AY552" si="304">ROUND($AY$6*AZ522/$AZ$5,2)</f>
        <v>0</v>
      </c>
      <c r="AZ522" s="3307">
        <f t="shared" ref="AZ522:AZ552" si="305">BA522+BL522</f>
        <v>0</v>
      </c>
      <c r="BA522" s="3307">
        <f t="shared" ref="BA522:BA552" si="306">SUM(BB522:BK522)</f>
        <v>0</v>
      </c>
      <c r="BB522" s="3307">
        <f t="shared" ref="BB522:BB552" si="307">IF($D522="是",I522-J522,0)</f>
        <v>0</v>
      </c>
      <c r="BC522" s="3307">
        <f t="shared" ref="BC522:BC552" si="308">IF($D522="是",K522-L522,0)</f>
        <v>0</v>
      </c>
      <c r="BD522" s="3307">
        <f t="shared" ref="BD522:BD552" si="309">IF($D522="是",M522-N522,0)</f>
        <v>0</v>
      </c>
      <c r="BE522" s="3307">
        <f t="shared" ref="BE522:BE552" si="310">IF($D522="是",O522-P522,0)</f>
        <v>0</v>
      </c>
      <c r="BF522" s="3307">
        <f t="shared" ref="BF522:BF552" si="311">IF($D522="是",Q522-R522,0)</f>
        <v>0</v>
      </c>
      <c r="BG522" s="3307">
        <f t="shared" ref="BG522:BG552" si="312">IF($D522="是",S522-T522,0)</f>
        <v>0</v>
      </c>
      <c r="BH522" s="3307">
        <f t="shared" ref="BH522:BH552" si="313">IF($D522="是",U522-V522,0)</f>
        <v>0</v>
      </c>
      <c r="BI522" s="3307">
        <f t="shared" ref="BI522:BI552" si="314">IF($D522="是",W522-X522,0)</f>
        <v>0</v>
      </c>
      <c r="BJ522" s="3307">
        <f t="shared" ref="BJ522:BJ552" si="315">IF($D522="是",Y522-Z522,0)</f>
        <v>0</v>
      </c>
      <c r="BK522" s="3307">
        <f t="shared" ref="BK522:BK552" si="316">IF($D522="是",AA522-AB522,0)</f>
        <v>0</v>
      </c>
      <c r="BL522" s="3307">
        <f t="shared" ref="BL522:BL552" si="317">SUM(BM522:BT522)</f>
        <v>0</v>
      </c>
      <c r="BM522" s="3307">
        <f t="shared" ref="BM522:BM552" si="318">IF($D522="是",AD522-AE522,0)</f>
        <v>0</v>
      </c>
      <c r="BN522" s="3307">
        <f t="shared" ref="BN522:BN552" si="319">IF($D522="是",AF522-AG522,0)</f>
        <v>0</v>
      </c>
      <c r="BO522" s="3307">
        <f t="shared" ref="BO522:BO552" si="320">IF($D522="是",AH522-AI522,0)</f>
        <v>0</v>
      </c>
      <c r="BP522" s="3307">
        <f t="shared" ref="BP522:BP552" si="321">IF($D522="是",AJ522-AK522,0)</f>
        <v>0</v>
      </c>
      <c r="BQ522" s="3307">
        <f t="shared" ref="BQ522:BQ552" si="322">IF($D522="是",AL522-AM522,0)</f>
        <v>0</v>
      </c>
      <c r="BR522" s="3307">
        <f t="shared" ref="BR522:BR552" si="323">IF($D522="是",AN522-AO522,0)</f>
        <v>0</v>
      </c>
      <c r="BS522" s="3307">
        <f t="shared" ref="BS522:BS552" si="324">IF($D522="是",AP522-AQ522,0)</f>
        <v>0</v>
      </c>
      <c r="BT522" s="3359">
        <f t="shared" ref="BT522:BT552" si="325">IF($D522="是",AR522-AS522,0)</f>
        <v>0</v>
      </c>
    </row>
    <row r="523" spans="1:72">
      <c r="A523" s="3304"/>
      <c r="B523" s="3305"/>
      <c r="C523" s="3305"/>
      <c r="D523" s="3306"/>
      <c r="E523" s="3307">
        <f t="shared" si="297"/>
        <v>0</v>
      </c>
      <c r="F523" s="3308"/>
      <c r="G523" s="3309">
        <f t="shared" si="301"/>
        <v>0</v>
      </c>
      <c r="H523" s="3310">
        <f t="shared" si="302"/>
        <v>0</v>
      </c>
      <c r="I523" s="3317"/>
      <c r="J523" s="3317"/>
      <c r="K523" s="3317"/>
      <c r="L523" s="3317"/>
      <c r="M523" s="3317"/>
      <c r="N523" s="3317"/>
      <c r="O523" s="3317"/>
      <c r="P523" s="3317"/>
      <c r="Q523" s="3317"/>
      <c r="R523" s="3317"/>
      <c r="S523" s="3317"/>
      <c r="T523" s="3317"/>
      <c r="U523" s="3317"/>
      <c r="V523" s="3317"/>
      <c r="W523" s="3317"/>
      <c r="X523" s="3317"/>
      <c r="Y523" s="3317"/>
      <c r="Z523" s="3317"/>
      <c r="AA523" s="3317"/>
      <c r="AB523" s="3317"/>
      <c r="AC523" s="3307">
        <f t="shared" si="303"/>
        <v>0</v>
      </c>
      <c r="AD523" s="3327"/>
      <c r="AE523" s="3327"/>
      <c r="AF523" s="3327"/>
      <c r="AG523" s="3327"/>
      <c r="AH523" s="3327"/>
      <c r="AI523" s="3327"/>
      <c r="AJ523" s="3327"/>
      <c r="AK523" s="3327"/>
      <c r="AL523" s="3327"/>
      <c r="AM523" s="3327"/>
      <c r="AN523" s="3327"/>
      <c r="AO523" s="3327"/>
      <c r="AP523" s="3327"/>
      <c r="AQ523" s="3327"/>
      <c r="AR523" s="3327"/>
      <c r="AS523" s="3327"/>
      <c r="AT523" s="3337"/>
      <c r="AU523" s="3338"/>
      <c r="AV523" s="1410">
        <f t="shared" si="298"/>
        <v>0</v>
      </c>
      <c r="AW523" s="1410">
        <f t="shared" si="299"/>
        <v>0</v>
      </c>
      <c r="AX523" s="1410">
        <f t="shared" si="300"/>
        <v>0</v>
      </c>
      <c r="AY523" s="3352">
        <f t="shared" si="304"/>
        <v>0</v>
      </c>
      <c r="AZ523" s="3307">
        <f t="shared" si="305"/>
        <v>0</v>
      </c>
      <c r="BA523" s="3307">
        <f t="shared" si="306"/>
        <v>0</v>
      </c>
      <c r="BB523" s="3307">
        <f t="shared" si="307"/>
        <v>0</v>
      </c>
      <c r="BC523" s="3307">
        <f t="shared" si="308"/>
        <v>0</v>
      </c>
      <c r="BD523" s="3307">
        <f t="shared" si="309"/>
        <v>0</v>
      </c>
      <c r="BE523" s="3307">
        <f t="shared" si="310"/>
        <v>0</v>
      </c>
      <c r="BF523" s="3307">
        <f t="shared" si="311"/>
        <v>0</v>
      </c>
      <c r="BG523" s="3307">
        <f t="shared" si="312"/>
        <v>0</v>
      </c>
      <c r="BH523" s="3307">
        <f t="shared" si="313"/>
        <v>0</v>
      </c>
      <c r="BI523" s="3307">
        <f t="shared" si="314"/>
        <v>0</v>
      </c>
      <c r="BJ523" s="3307">
        <f t="shared" si="315"/>
        <v>0</v>
      </c>
      <c r="BK523" s="3307">
        <f t="shared" si="316"/>
        <v>0</v>
      </c>
      <c r="BL523" s="3307">
        <f t="shared" si="317"/>
        <v>0</v>
      </c>
      <c r="BM523" s="3307">
        <f t="shared" si="318"/>
        <v>0</v>
      </c>
      <c r="BN523" s="3307">
        <f t="shared" si="319"/>
        <v>0</v>
      </c>
      <c r="BO523" s="3307">
        <f t="shared" si="320"/>
        <v>0</v>
      </c>
      <c r="BP523" s="3307">
        <f t="shared" si="321"/>
        <v>0</v>
      </c>
      <c r="BQ523" s="3307">
        <f t="shared" si="322"/>
        <v>0</v>
      </c>
      <c r="BR523" s="3307">
        <f t="shared" si="323"/>
        <v>0</v>
      </c>
      <c r="BS523" s="3307">
        <f t="shared" si="324"/>
        <v>0</v>
      </c>
      <c r="BT523" s="3359">
        <f t="shared" si="325"/>
        <v>0</v>
      </c>
    </row>
    <row r="524" spans="1:72">
      <c r="A524" s="3304"/>
      <c r="B524" s="3305"/>
      <c r="C524" s="3305"/>
      <c r="D524" s="3306"/>
      <c r="E524" s="3307">
        <f t="shared" si="297"/>
        <v>0</v>
      </c>
      <c r="F524" s="3308"/>
      <c r="G524" s="3309">
        <f t="shared" si="301"/>
        <v>0</v>
      </c>
      <c r="H524" s="3310">
        <f t="shared" si="302"/>
        <v>0</v>
      </c>
      <c r="I524" s="3317"/>
      <c r="J524" s="3317"/>
      <c r="K524" s="3317"/>
      <c r="L524" s="3317"/>
      <c r="M524" s="3317"/>
      <c r="N524" s="3317"/>
      <c r="O524" s="3317"/>
      <c r="P524" s="3317"/>
      <c r="Q524" s="3317"/>
      <c r="R524" s="3317"/>
      <c r="S524" s="3317"/>
      <c r="T524" s="3317"/>
      <c r="U524" s="3317"/>
      <c r="V524" s="3317"/>
      <c r="W524" s="3317"/>
      <c r="X524" s="3317"/>
      <c r="Y524" s="3317"/>
      <c r="Z524" s="3317"/>
      <c r="AA524" s="3317"/>
      <c r="AB524" s="3317"/>
      <c r="AC524" s="3307">
        <f t="shared" si="303"/>
        <v>0</v>
      </c>
      <c r="AD524" s="3327"/>
      <c r="AE524" s="3327"/>
      <c r="AF524" s="3327"/>
      <c r="AG524" s="3327"/>
      <c r="AH524" s="3327"/>
      <c r="AI524" s="3327"/>
      <c r="AJ524" s="3327"/>
      <c r="AK524" s="3327"/>
      <c r="AL524" s="3327"/>
      <c r="AM524" s="3327"/>
      <c r="AN524" s="3327"/>
      <c r="AO524" s="3327"/>
      <c r="AP524" s="3327"/>
      <c r="AQ524" s="3327"/>
      <c r="AR524" s="3327"/>
      <c r="AS524" s="3327"/>
      <c r="AT524" s="3337"/>
      <c r="AU524" s="3338"/>
      <c r="AV524" s="1410">
        <f t="shared" si="298"/>
        <v>0</v>
      </c>
      <c r="AW524" s="1410">
        <f t="shared" si="299"/>
        <v>0</v>
      </c>
      <c r="AX524" s="1410">
        <f t="shared" si="300"/>
        <v>0</v>
      </c>
      <c r="AY524" s="3352">
        <f t="shared" si="304"/>
        <v>0</v>
      </c>
      <c r="AZ524" s="3307">
        <f t="shared" si="305"/>
        <v>0</v>
      </c>
      <c r="BA524" s="3307">
        <f t="shared" si="306"/>
        <v>0</v>
      </c>
      <c r="BB524" s="3307">
        <f t="shared" si="307"/>
        <v>0</v>
      </c>
      <c r="BC524" s="3307">
        <f t="shared" si="308"/>
        <v>0</v>
      </c>
      <c r="BD524" s="3307">
        <f t="shared" si="309"/>
        <v>0</v>
      </c>
      <c r="BE524" s="3307">
        <f t="shared" si="310"/>
        <v>0</v>
      </c>
      <c r="BF524" s="3307">
        <f t="shared" si="311"/>
        <v>0</v>
      </c>
      <c r="BG524" s="3307">
        <f t="shared" si="312"/>
        <v>0</v>
      </c>
      <c r="BH524" s="3307">
        <f t="shared" si="313"/>
        <v>0</v>
      </c>
      <c r="BI524" s="3307">
        <f t="shared" si="314"/>
        <v>0</v>
      </c>
      <c r="BJ524" s="3307">
        <f t="shared" si="315"/>
        <v>0</v>
      </c>
      <c r="BK524" s="3307">
        <f t="shared" si="316"/>
        <v>0</v>
      </c>
      <c r="BL524" s="3307">
        <f t="shared" si="317"/>
        <v>0</v>
      </c>
      <c r="BM524" s="3307">
        <f t="shared" si="318"/>
        <v>0</v>
      </c>
      <c r="BN524" s="3307">
        <f t="shared" si="319"/>
        <v>0</v>
      </c>
      <c r="BO524" s="3307">
        <f t="shared" si="320"/>
        <v>0</v>
      </c>
      <c r="BP524" s="3307">
        <f t="shared" si="321"/>
        <v>0</v>
      </c>
      <c r="BQ524" s="3307">
        <f t="shared" si="322"/>
        <v>0</v>
      </c>
      <c r="BR524" s="3307">
        <f t="shared" si="323"/>
        <v>0</v>
      </c>
      <c r="BS524" s="3307">
        <f t="shared" si="324"/>
        <v>0</v>
      </c>
      <c r="BT524" s="3359">
        <f t="shared" si="325"/>
        <v>0</v>
      </c>
    </row>
    <row r="525" spans="1:72">
      <c r="A525" s="3304"/>
      <c r="B525" s="3305"/>
      <c r="C525" s="3305"/>
      <c r="D525" s="3306"/>
      <c r="E525" s="3307">
        <f t="shared" si="297"/>
        <v>0</v>
      </c>
      <c r="F525" s="3308"/>
      <c r="G525" s="3309">
        <f t="shared" si="301"/>
        <v>0</v>
      </c>
      <c r="H525" s="3310">
        <f t="shared" si="302"/>
        <v>0</v>
      </c>
      <c r="I525" s="3317"/>
      <c r="J525" s="3317"/>
      <c r="K525" s="3317"/>
      <c r="L525" s="3317"/>
      <c r="M525" s="3317"/>
      <c r="N525" s="3317"/>
      <c r="O525" s="3317"/>
      <c r="P525" s="3317"/>
      <c r="Q525" s="3317"/>
      <c r="R525" s="3317"/>
      <c r="S525" s="3317"/>
      <c r="T525" s="3317"/>
      <c r="U525" s="3317"/>
      <c r="V525" s="3317"/>
      <c r="W525" s="3317"/>
      <c r="X525" s="3317"/>
      <c r="Y525" s="3317"/>
      <c r="Z525" s="3317"/>
      <c r="AA525" s="3317"/>
      <c r="AB525" s="3317"/>
      <c r="AC525" s="3307">
        <f t="shared" si="303"/>
        <v>0</v>
      </c>
      <c r="AD525" s="3327"/>
      <c r="AE525" s="3327"/>
      <c r="AF525" s="3327"/>
      <c r="AG525" s="3327"/>
      <c r="AH525" s="3327"/>
      <c r="AI525" s="3327"/>
      <c r="AJ525" s="3327"/>
      <c r="AK525" s="3327"/>
      <c r="AL525" s="3327"/>
      <c r="AM525" s="3327"/>
      <c r="AN525" s="3327"/>
      <c r="AO525" s="3327"/>
      <c r="AP525" s="3327"/>
      <c r="AQ525" s="3327"/>
      <c r="AR525" s="3327"/>
      <c r="AS525" s="3327"/>
      <c r="AT525" s="3337"/>
      <c r="AU525" s="3338"/>
      <c r="AV525" s="1410">
        <f t="shared" si="298"/>
        <v>0</v>
      </c>
      <c r="AW525" s="1410">
        <f t="shared" si="299"/>
        <v>0</v>
      </c>
      <c r="AX525" s="1410">
        <f t="shared" si="300"/>
        <v>0</v>
      </c>
      <c r="AY525" s="3352">
        <f t="shared" si="304"/>
        <v>0</v>
      </c>
      <c r="AZ525" s="3307">
        <f t="shared" si="305"/>
        <v>0</v>
      </c>
      <c r="BA525" s="3307">
        <f t="shared" si="306"/>
        <v>0</v>
      </c>
      <c r="BB525" s="3307">
        <f t="shared" si="307"/>
        <v>0</v>
      </c>
      <c r="BC525" s="3307">
        <f t="shared" si="308"/>
        <v>0</v>
      </c>
      <c r="BD525" s="3307">
        <f t="shared" si="309"/>
        <v>0</v>
      </c>
      <c r="BE525" s="3307">
        <f t="shared" si="310"/>
        <v>0</v>
      </c>
      <c r="BF525" s="3307">
        <f t="shared" si="311"/>
        <v>0</v>
      </c>
      <c r="BG525" s="3307">
        <f t="shared" si="312"/>
        <v>0</v>
      </c>
      <c r="BH525" s="3307">
        <f t="shared" si="313"/>
        <v>0</v>
      </c>
      <c r="BI525" s="3307">
        <f t="shared" si="314"/>
        <v>0</v>
      </c>
      <c r="BJ525" s="3307">
        <f t="shared" si="315"/>
        <v>0</v>
      </c>
      <c r="BK525" s="3307">
        <f t="shared" si="316"/>
        <v>0</v>
      </c>
      <c r="BL525" s="3307">
        <f t="shared" si="317"/>
        <v>0</v>
      </c>
      <c r="BM525" s="3307">
        <f t="shared" si="318"/>
        <v>0</v>
      </c>
      <c r="BN525" s="3307">
        <f t="shared" si="319"/>
        <v>0</v>
      </c>
      <c r="BO525" s="3307">
        <f t="shared" si="320"/>
        <v>0</v>
      </c>
      <c r="BP525" s="3307">
        <f t="shared" si="321"/>
        <v>0</v>
      </c>
      <c r="BQ525" s="3307">
        <f t="shared" si="322"/>
        <v>0</v>
      </c>
      <c r="BR525" s="3307">
        <f t="shared" si="323"/>
        <v>0</v>
      </c>
      <c r="BS525" s="3307">
        <f t="shared" si="324"/>
        <v>0</v>
      </c>
      <c r="BT525" s="3359">
        <f t="shared" si="325"/>
        <v>0</v>
      </c>
    </row>
    <row r="526" spans="1:72">
      <c r="A526" s="3304"/>
      <c r="B526" s="3305"/>
      <c r="C526" s="3305"/>
      <c r="D526" s="3306"/>
      <c r="E526" s="3307">
        <f t="shared" si="297"/>
        <v>0</v>
      </c>
      <c r="F526" s="3308"/>
      <c r="G526" s="3309">
        <f t="shared" si="301"/>
        <v>0</v>
      </c>
      <c r="H526" s="3310">
        <f t="shared" si="302"/>
        <v>0</v>
      </c>
      <c r="I526" s="3317"/>
      <c r="J526" s="3317"/>
      <c r="K526" s="3317"/>
      <c r="L526" s="3317"/>
      <c r="M526" s="3317"/>
      <c r="N526" s="3317"/>
      <c r="O526" s="3317"/>
      <c r="P526" s="3317"/>
      <c r="Q526" s="3317"/>
      <c r="R526" s="3317"/>
      <c r="S526" s="3317"/>
      <c r="T526" s="3317"/>
      <c r="U526" s="3317"/>
      <c r="V526" s="3317"/>
      <c r="W526" s="3317"/>
      <c r="X526" s="3317"/>
      <c r="Y526" s="3317"/>
      <c r="Z526" s="3317"/>
      <c r="AA526" s="3317"/>
      <c r="AB526" s="3317"/>
      <c r="AC526" s="3307">
        <f t="shared" si="303"/>
        <v>0</v>
      </c>
      <c r="AD526" s="3327"/>
      <c r="AE526" s="3327"/>
      <c r="AF526" s="3327"/>
      <c r="AG526" s="3327"/>
      <c r="AH526" s="3327"/>
      <c r="AI526" s="3327"/>
      <c r="AJ526" s="3327"/>
      <c r="AK526" s="3327"/>
      <c r="AL526" s="3327"/>
      <c r="AM526" s="3327"/>
      <c r="AN526" s="3327"/>
      <c r="AO526" s="3327"/>
      <c r="AP526" s="3327"/>
      <c r="AQ526" s="3327"/>
      <c r="AR526" s="3327"/>
      <c r="AS526" s="3327"/>
      <c r="AT526" s="3337"/>
      <c r="AU526" s="3338"/>
      <c r="AV526" s="1410">
        <f t="shared" si="298"/>
        <v>0</v>
      </c>
      <c r="AW526" s="1410">
        <f t="shared" si="299"/>
        <v>0</v>
      </c>
      <c r="AX526" s="1410">
        <f t="shared" si="300"/>
        <v>0</v>
      </c>
      <c r="AY526" s="3352">
        <f t="shared" si="304"/>
        <v>0</v>
      </c>
      <c r="AZ526" s="3307">
        <f t="shared" si="305"/>
        <v>0</v>
      </c>
      <c r="BA526" s="3307">
        <f t="shared" si="306"/>
        <v>0</v>
      </c>
      <c r="BB526" s="3307">
        <f t="shared" si="307"/>
        <v>0</v>
      </c>
      <c r="BC526" s="3307">
        <f t="shared" si="308"/>
        <v>0</v>
      </c>
      <c r="BD526" s="3307">
        <f t="shared" si="309"/>
        <v>0</v>
      </c>
      <c r="BE526" s="3307">
        <f t="shared" si="310"/>
        <v>0</v>
      </c>
      <c r="BF526" s="3307">
        <f t="shared" si="311"/>
        <v>0</v>
      </c>
      <c r="BG526" s="3307">
        <f t="shared" si="312"/>
        <v>0</v>
      </c>
      <c r="BH526" s="3307">
        <f t="shared" si="313"/>
        <v>0</v>
      </c>
      <c r="BI526" s="3307">
        <f t="shared" si="314"/>
        <v>0</v>
      </c>
      <c r="BJ526" s="3307">
        <f t="shared" si="315"/>
        <v>0</v>
      </c>
      <c r="BK526" s="3307">
        <f t="shared" si="316"/>
        <v>0</v>
      </c>
      <c r="BL526" s="3307">
        <f t="shared" si="317"/>
        <v>0</v>
      </c>
      <c r="BM526" s="3307">
        <f t="shared" si="318"/>
        <v>0</v>
      </c>
      <c r="BN526" s="3307">
        <f t="shared" si="319"/>
        <v>0</v>
      </c>
      <c r="BO526" s="3307">
        <f t="shared" si="320"/>
        <v>0</v>
      </c>
      <c r="BP526" s="3307">
        <f t="shared" si="321"/>
        <v>0</v>
      </c>
      <c r="BQ526" s="3307">
        <f t="shared" si="322"/>
        <v>0</v>
      </c>
      <c r="BR526" s="3307">
        <f t="shared" si="323"/>
        <v>0</v>
      </c>
      <c r="BS526" s="3307">
        <f t="shared" si="324"/>
        <v>0</v>
      </c>
      <c r="BT526" s="3359">
        <f t="shared" si="325"/>
        <v>0</v>
      </c>
    </row>
    <row r="527" spans="1:72">
      <c r="A527" s="3304"/>
      <c r="B527" s="3305"/>
      <c r="C527" s="3305"/>
      <c r="D527" s="3306"/>
      <c r="E527" s="3307">
        <f t="shared" si="297"/>
        <v>0</v>
      </c>
      <c r="F527" s="3308"/>
      <c r="G527" s="3309">
        <f t="shared" si="301"/>
        <v>0</v>
      </c>
      <c r="H527" s="3310">
        <f t="shared" si="302"/>
        <v>0</v>
      </c>
      <c r="I527" s="3317"/>
      <c r="J527" s="3317"/>
      <c r="K527" s="3317"/>
      <c r="L527" s="3317"/>
      <c r="M527" s="3317"/>
      <c r="N527" s="3317"/>
      <c r="O527" s="3317"/>
      <c r="P527" s="3317"/>
      <c r="Q527" s="3317"/>
      <c r="R527" s="3317"/>
      <c r="S527" s="3317"/>
      <c r="T527" s="3317"/>
      <c r="U527" s="3317"/>
      <c r="V527" s="3317"/>
      <c r="W527" s="3317"/>
      <c r="X527" s="3317"/>
      <c r="Y527" s="3317"/>
      <c r="Z527" s="3317"/>
      <c r="AA527" s="3317"/>
      <c r="AB527" s="3317"/>
      <c r="AC527" s="3307">
        <f t="shared" si="303"/>
        <v>0</v>
      </c>
      <c r="AD527" s="3327"/>
      <c r="AE527" s="3327"/>
      <c r="AF527" s="3327"/>
      <c r="AG527" s="3327"/>
      <c r="AH527" s="3327"/>
      <c r="AI527" s="3327"/>
      <c r="AJ527" s="3327"/>
      <c r="AK527" s="3327"/>
      <c r="AL527" s="3327"/>
      <c r="AM527" s="3327"/>
      <c r="AN527" s="3327"/>
      <c r="AO527" s="3327"/>
      <c r="AP527" s="3327"/>
      <c r="AQ527" s="3327"/>
      <c r="AR527" s="3327"/>
      <c r="AS527" s="3327"/>
      <c r="AT527" s="3337"/>
      <c r="AU527" s="3338"/>
      <c r="AV527" s="1410">
        <f t="shared" si="298"/>
        <v>0</v>
      </c>
      <c r="AW527" s="1410">
        <f t="shared" si="299"/>
        <v>0</v>
      </c>
      <c r="AX527" s="1410">
        <f t="shared" si="300"/>
        <v>0</v>
      </c>
      <c r="AY527" s="3352">
        <f t="shared" si="304"/>
        <v>0</v>
      </c>
      <c r="AZ527" s="3307">
        <f t="shared" si="305"/>
        <v>0</v>
      </c>
      <c r="BA527" s="3307">
        <f t="shared" si="306"/>
        <v>0</v>
      </c>
      <c r="BB527" s="3307">
        <f t="shared" si="307"/>
        <v>0</v>
      </c>
      <c r="BC527" s="3307">
        <f t="shared" si="308"/>
        <v>0</v>
      </c>
      <c r="BD527" s="3307">
        <f t="shared" si="309"/>
        <v>0</v>
      </c>
      <c r="BE527" s="3307">
        <f t="shared" si="310"/>
        <v>0</v>
      </c>
      <c r="BF527" s="3307">
        <f t="shared" si="311"/>
        <v>0</v>
      </c>
      <c r="BG527" s="3307">
        <f t="shared" si="312"/>
        <v>0</v>
      </c>
      <c r="BH527" s="3307">
        <f t="shared" si="313"/>
        <v>0</v>
      </c>
      <c r="BI527" s="3307">
        <f t="shared" si="314"/>
        <v>0</v>
      </c>
      <c r="BJ527" s="3307">
        <f t="shared" si="315"/>
        <v>0</v>
      </c>
      <c r="BK527" s="3307">
        <f t="shared" si="316"/>
        <v>0</v>
      </c>
      <c r="BL527" s="3307">
        <f t="shared" si="317"/>
        <v>0</v>
      </c>
      <c r="BM527" s="3307">
        <f t="shared" si="318"/>
        <v>0</v>
      </c>
      <c r="BN527" s="3307">
        <f t="shared" si="319"/>
        <v>0</v>
      </c>
      <c r="BO527" s="3307">
        <f t="shared" si="320"/>
        <v>0</v>
      </c>
      <c r="BP527" s="3307">
        <f t="shared" si="321"/>
        <v>0</v>
      </c>
      <c r="BQ527" s="3307">
        <f t="shared" si="322"/>
        <v>0</v>
      </c>
      <c r="BR527" s="3307">
        <f t="shared" si="323"/>
        <v>0</v>
      </c>
      <c r="BS527" s="3307">
        <f t="shared" si="324"/>
        <v>0</v>
      </c>
      <c r="BT527" s="3359">
        <f t="shared" si="325"/>
        <v>0</v>
      </c>
    </row>
    <row r="528" spans="1:72">
      <c r="A528" s="3304"/>
      <c r="B528" s="3305"/>
      <c r="C528" s="3305"/>
      <c r="D528" s="3306"/>
      <c r="E528" s="3307">
        <f t="shared" si="297"/>
        <v>0</v>
      </c>
      <c r="F528" s="3308"/>
      <c r="G528" s="3309">
        <f t="shared" si="301"/>
        <v>0</v>
      </c>
      <c r="H528" s="3310">
        <f t="shared" si="302"/>
        <v>0</v>
      </c>
      <c r="I528" s="3317"/>
      <c r="J528" s="3317"/>
      <c r="K528" s="3317"/>
      <c r="L528" s="3317"/>
      <c r="M528" s="3317"/>
      <c r="N528" s="3317"/>
      <c r="O528" s="3317"/>
      <c r="P528" s="3317"/>
      <c r="Q528" s="3317"/>
      <c r="R528" s="3317"/>
      <c r="S528" s="3317"/>
      <c r="T528" s="3317"/>
      <c r="U528" s="3317"/>
      <c r="V528" s="3317"/>
      <c r="W528" s="3317"/>
      <c r="X528" s="3317"/>
      <c r="Y528" s="3317"/>
      <c r="Z528" s="3317"/>
      <c r="AA528" s="3317"/>
      <c r="AB528" s="3317"/>
      <c r="AC528" s="3307">
        <f t="shared" si="303"/>
        <v>0</v>
      </c>
      <c r="AD528" s="3327"/>
      <c r="AE528" s="3327"/>
      <c r="AF528" s="3327"/>
      <c r="AG528" s="3327"/>
      <c r="AH528" s="3327"/>
      <c r="AI528" s="3327"/>
      <c r="AJ528" s="3327"/>
      <c r="AK528" s="3327"/>
      <c r="AL528" s="3327"/>
      <c r="AM528" s="3327"/>
      <c r="AN528" s="3327"/>
      <c r="AO528" s="3327"/>
      <c r="AP528" s="3327"/>
      <c r="AQ528" s="3327"/>
      <c r="AR528" s="3327"/>
      <c r="AS528" s="3327"/>
      <c r="AT528" s="3337"/>
      <c r="AU528" s="3338"/>
      <c r="AV528" s="1410">
        <f t="shared" si="298"/>
        <v>0</v>
      </c>
      <c r="AW528" s="1410">
        <f t="shared" si="299"/>
        <v>0</v>
      </c>
      <c r="AX528" s="1410">
        <f t="shared" si="300"/>
        <v>0</v>
      </c>
      <c r="AY528" s="3352">
        <f t="shared" si="304"/>
        <v>0</v>
      </c>
      <c r="AZ528" s="3307">
        <f t="shared" si="305"/>
        <v>0</v>
      </c>
      <c r="BA528" s="3307">
        <f t="shared" si="306"/>
        <v>0</v>
      </c>
      <c r="BB528" s="3307">
        <f t="shared" si="307"/>
        <v>0</v>
      </c>
      <c r="BC528" s="3307">
        <f t="shared" si="308"/>
        <v>0</v>
      </c>
      <c r="BD528" s="3307">
        <f t="shared" si="309"/>
        <v>0</v>
      </c>
      <c r="BE528" s="3307">
        <f t="shared" si="310"/>
        <v>0</v>
      </c>
      <c r="BF528" s="3307">
        <f t="shared" si="311"/>
        <v>0</v>
      </c>
      <c r="BG528" s="3307">
        <f t="shared" si="312"/>
        <v>0</v>
      </c>
      <c r="BH528" s="3307">
        <f t="shared" si="313"/>
        <v>0</v>
      </c>
      <c r="BI528" s="3307">
        <f t="shared" si="314"/>
        <v>0</v>
      </c>
      <c r="BJ528" s="3307">
        <f t="shared" si="315"/>
        <v>0</v>
      </c>
      <c r="BK528" s="3307">
        <f t="shared" si="316"/>
        <v>0</v>
      </c>
      <c r="BL528" s="3307">
        <f t="shared" si="317"/>
        <v>0</v>
      </c>
      <c r="BM528" s="3307">
        <f t="shared" si="318"/>
        <v>0</v>
      </c>
      <c r="BN528" s="3307">
        <f t="shared" si="319"/>
        <v>0</v>
      </c>
      <c r="BO528" s="3307">
        <f t="shared" si="320"/>
        <v>0</v>
      </c>
      <c r="BP528" s="3307">
        <f t="shared" si="321"/>
        <v>0</v>
      </c>
      <c r="BQ528" s="3307">
        <f t="shared" si="322"/>
        <v>0</v>
      </c>
      <c r="BR528" s="3307">
        <f t="shared" si="323"/>
        <v>0</v>
      </c>
      <c r="BS528" s="3307">
        <f t="shared" si="324"/>
        <v>0</v>
      </c>
      <c r="BT528" s="3359">
        <f t="shared" si="325"/>
        <v>0</v>
      </c>
    </row>
    <row r="529" spans="1:72">
      <c r="A529" s="3304"/>
      <c r="B529" s="3305"/>
      <c r="C529" s="3305"/>
      <c r="D529" s="3306"/>
      <c r="E529" s="3307">
        <f t="shared" si="297"/>
        <v>0</v>
      </c>
      <c r="F529" s="3308"/>
      <c r="G529" s="3309">
        <f t="shared" si="301"/>
        <v>0</v>
      </c>
      <c r="H529" s="3310">
        <f t="shared" si="302"/>
        <v>0</v>
      </c>
      <c r="I529" s="3317"/>
      <c r="J529" s="3317"/>
      <c r="K529" s="3317"/>
      <c r="L529" s="3317"/>
      <c r="M529" s="3317"/>
      <c r="N529" s="3317"/>
      <c r="O529" s="3317"/>
      <c r="P529" s="3317"/>
      <c r="Q529" s="3317"/>
      <c r="R529" s="3317"/>
      <c r="S529" s="3317"/>
      <c r="T529" s="3317"/>
      <c r="U529" s="3317"/>
      <c r="V529" s="3317"/>
      <c r="W529" s="3317"/>
      <c r="X529" s="3317"/>
      <c r="Y529" s="3317"/>
      <c r="Z529" s="3317"/>
      <c r="AA529" s="3317"/>
      <c r="AB529" s="3317"/>
      <c r="AC529" s="3307">
        <f t="shared" si="303"/>
        <v>0</v>
      </c>
      <c r="AD529" s="3327"/>
      <c r="AE529" s="3327"/>
      <c r="AF529" s="3327"/>
      <c r="AG529" s="3327"/>
      <c r="AH529" s="3327"/>
      <c r="AI529" s="3327"/>
      <c r="AJ529" s="3327"/>
      <c r="AK529" s="3327"/>
      <c r="AL529" s="3327"/>
      <c r="AM529" s="3327"/>
      <c r="AN529" s="3327"/>
      <c r="AO529" s="3327"/>
      <c r="AP529" s="3327"/>
      <c r="AQ529" s="3327"/>
      <c r="AR529" s="3327"/>
      <c r="AS529" s="3327"/>
      <c r="AT529" s="3337"/>
      <c r="AU529" s="3338"/>
      <c r="AV529" s="1410">
        <f t="shared" si="298"/>
        <v>0</v>
      </c>
      <c r="AW529" s="1410">
        <f t="shared" si="299"/>
        <v>0</v>
      </c>
      <c r="AX529" s="1410">
        <f t="shared" si="300"/>
        <v>0</v>
      </c>
      <c r="AY529" s="3352">
        <f t="shared" si="304"/>
        <v>0</v>
      </c>
      <c r="AZ529" s="3307">
        <f t="shared" si="305"/>
        <v>0</v>
      </c>
      <c r="BA529" s="3307">
        <f t="shared" si="306"/>
        <v>0</v>
      </c>
      <c r="BB529" s="3307">
        <f t="shared" si="307"/>
        <v>0</v>
      </c>
      <c r="BC529" s="3307">
        <f t="shared" si="308"/>
        <v>0</v>
      </c>
      <c r="BD529" s="3307">
        <f t="shared" si="309"/>
        <v>0</v>
      </c>
      <c r="BE529" s="3307">
        <f t="shared" si="310"/>
        <v>0</v>
      </c>
      <c r="BF529" s="3307">
        <f t="shared" si="311"/>
        <v>0</v>
      </c>
      <c r="BG529" s="3307">
        <f t="shared" si="312"/>
        <v>0</v>
      </c>
      <c r="BH529" s="3307">
        <f t="shared" si="313"/>
        <v>0</v>
      </c>
      <c r="BI529" s="3307">
        <f t="shared" si="314"/>
        <v>0</v>
      </c>
      <c r="BJ529" s="3307">
        <f t="shared" si="315"/>
        <v>0</v>
      </c>
      <c r="BK529" s="3307">
        <f t="shared" si="316"/>
        <v>0</v>
      </c>
      <c r="BL529" s="3307">
        <f t="shared" si="317"/>
        <v>0</v>
      </c>
      <c r="BM529" s="3307">
        <f t="shared" si="318"/>
        <v>0</v>
      </c>
      <c r="BN529" s="3307">
        <f t="shared" si="319"/>
        <v>0</v>
      </c>
      <c r="BO529" s="3307">
        <f t="shared" si="320"/>
        <v>0</v>
      </c>
      <c r="BP529" s="3307">
        <f t="shared" si="321"/>
        <v>0</v>
      </c>
      <c r="BQ529" s="3307">
        <f t="shared" si="322"/>
        <v>0</v>
      </c>
      <c r="BR529" s="3307">
        <f t="shared" si="323"/>
        <v>0</v>
      </c>
      <c r="BS529" s="3307">
        <f t="shared" si="324"/>
        <v>0</v>
      </c>
      <c r="BT529" s="3359">
        <f t="shared" si="325"/>
        <v>0</v>
      </c>
    </row>
    <row r="530" spans="1:72">
      <c r="A530" s="3304"/>
      <c r="B530" s="3305"/>
      <c r="C530" s="3305"/>
      <c r="D530" s="3306"/>
      <c r="E530" s="3307">
        <f t="shared" si="297"/>
        <v>0</v>
      </c>
      <c r="F530" s="3308"/>
      <c r="G530" s="3309">
        <f t="shared" si="301"/>
        <v>0</v>
      </c>
      <c r="H530" s="3310">
        <f t="shared" si="302"/>
        <v>0</v>
      </c>
      <c r="I530" s="3317"/>
      <c r="J530" s="3317"/>
      <c r="K530" s="3317"/>
      <c r="L530" s="3317"/>
      <c r="M530" s="3317"/>
      <c r="N530" s="3317"/>
      <c r="O530" s="3317"/>
      <c r="P530" s="3317"/>
      <c r="Q530" s="3317"/>
      <c r="R530" s="3317"/>
      <c r="S530" s="3317"/>
      <c r="T530" s="3317"/>
      <c r="U530" s="3317"/>
      <c r="V530" s="3317"/>
      <c r="W530" s="3317"/>
      <c r="X530" s="3317"/>
      <c r="Y530" s="3317"/>
      <c r="Z530" s="3317"/>
      <c r="AA530" s="3317"/>
      <c r="AB530" s="3317"/>
      <c r="AC530" s="3307">
        <f t="shared" si="303"/>
        <v>0</v>
      </c>
      <c r="AD530" s="3327"/>
      <c r="AE530" s="3327"/>
      <c r="AF530" s="3327"/>
      <c r="AG530" s="3327"/>
      <c r="AH530" s="3327"/>
      <c r="AI530" s="3327"/>
      <c r="AJ530" s="3327"/>
      <c r="AK530" s="3327"/>
      <c r="AL530" s="3327"/>
      <c r="AM530" s="3327"/>
      <c r="AN530" s="3327"/>
      <c r="AO530" s="3327"/>
      <c r="AP530" s="3327"/>
      <c r="AQ530" s="3327"/>
      <c r="AR530" s="3327"/>
      <c r="AS530" s="3327"/>
      <c r="AT530" s="3337"/>
      <c r="AU530" s="3338"/>
      <c r="AV530" s="1410">
        <f t="shared" si="298"/>
        <v>0</v>
      </c>
      <c r="AW530" s="1410">
        <f t="shared" si="299"/>
        <v>0</v>
      </c>
      <c r="AX530" s="1410">
        <f t="shared" si="300"/>
        <v>0</v>
      </c>
      <c r="AY530" s="3352">
        <f t="shared" si="304"/>
        <v>0</v>
      </c>
      <c r="AZ530" s="3307">
        <f t="shared" si="305"/>
        <v>0</v>
      </c>
      <c r="BA530" s="3307">
        <f t="shared" si="306"/>
        <v>0</v>
      </c>
      <c r="BB530" s="3307">
        <f t="shared" si="307"/>
        <v>0</v>
      </c>
      <c r="BC530" s="3307">
        <f t="shared" si="308"/>
        <v>0</v>
      </c>
      <c r="BD530" s="3307">
        <f t="shared" si="309"/>
        <v>0</v>
      </c>
      <c r="BE530" s="3307">
        <f t="shared" si="310"/>
        <v>0</v>
      </c>
      <c r="BF530" s="3307">
        <f t="shared" si="311"/>
        <v>0</v>
      </c>
      <c r="BG530" s="3307">
        <f t="shared" si="312"/>
        <v>0</v>
      </c>
      <c r="BH530" s="3307">
        <f t="shared" si="313"/>
        <v>0</v>
      </c>
      <c r="BI530" s="3307">
        <f t="shared" si="314"/>
        <v>0</v>
      </c>
      <c r="BJ530" s="3307">
        <f t="shared" si="315"/>
        <v>0</v>
      </c>
      <c r="BK530" s="3307">
        <f t="shared" si="316"/>
        <v>0</v>
      </c>
      <c r="BL530" s="3307">
        <f t="shared" si="317"/>
        <v>0</v>
      </c>
      <c r="BM530" s="3307">
        <f t="shared" si="318"/>
        <v>0</v>
      </c>
      <c r="BN530" s="3307">
        <f t="shared" si="319"/>
        <v>0</v>
      </c>
      <c r="BO530" s="3307">
        <f t="shared" si="320"/>
        <v>0</v>
      </c>
      <c r="BP530" s="3307">
        <f t="shared" si="321"/>
        <v>0</v>
      </c>
      <c r="BQ530" s="3307">
        <f t="shared" si="322"/>
        <v>0</v>
      </c>
      <c r="BR530" s="3307">
        <f t="shared" si="323"/>
        <v>0</v>
      </c>
      <c r="BS530" s="3307">
        <f t="shared" si="324"/>
        <v>0</v>
      </c>
      <c r="BT530" s="3359">
        <f t="shared" si="325"/>
        <v>0</v>
      </c>
    </row>
    <row r="531" spans="1:72">
      <c r="A531" s="3304"/>
      <c r="B531" s="3305"/>
      <c r="C531" s="3305"/>
      <c r="D531" s="3306"/>
      <c r="E531" s="3307">
        <f t="shared" si="297"/>
        <v>0</v>
      </c>
      <c r="F531" s="3308"/>
      <c r="G531" s="3309">
        <f t="shared" si="301"/>
        <v>0</v>
      </c>
      <c r="H531" s="3310">
        <f t="shared" si="302"/>
        <v>0</v>
      </c>
      <c r="I531" s="3317"/>
      <c r="J531" s="3317"/>
      <c r="K531" s="3317"/>
      <c r="L531" s="3317"/>
      <c r="M531" s="3317"/>
      <c r="N531" s="3317"/>
      <c r="O531" s="3317"/>
      <c r="P531" s="3317"/>
      <c r="Q531" s="3317"/>
      <c r="R531" s="3317"/>
      <c r="S531" s="3317"/>
      <c r="T531" s="3317"/>
      <c r="U531" s="3317"/>
      <c r="V531" s="3317"/>
      <c r="W531" s="3317"/>
      <c r="X531" s="3317"/>
      <c r="Y531" s="3317"/>
      <c r="Z531" s="3317"/>
      <c r="AA531" s="3317"/>
      <c r="AB531" s="3317"/>
      <c r="AC531" s="3307">
        <f t="shared" si="303"/>
        <v>0</v>
      </c>
      <c r="AD531" s="3327"/>
      <c r="AE531" s="3327"/>
      <c r="AF531" s="3327"/>
      <c r="AG531" s="3327"/>
      <c r="AH531" s="3327"/>
      <c r="AI531" s="3327"/>
      <c r="AJ531" s="3327"/>
      <c r="AK531" s="3327"/>
      <c r="AL531" s="3327"/>
      <c r="AM531" s="3327"/>
      <c r="AN531" s="3327"/>
      <c r="AO531" s="3327"/>
      <c r="AP531" s="3327"/>
      <c r="AQ531" s="3327"/>
      <c r="AR531" s="3327"/>
      <c r="AS531" s="3327"/>
      <c r="AT531" s="3337"/>
      <c r="AU531" s="3338"/>
      <c r="AV531" s="1410">
        <f t="shared" si="298"/>
        <v>0</v>
      </c>
      <c r="AW531" s="1410">
        <f t="shared" si="299"/>
        <v>0</v>
      </c>
      <c r="AX531" s="1410">
        <f t="shared" si="300"/>
        <v>0</v>
      </c>
      <c r="AY531" s="3352">
        <f t="shared" si="304"/>
        <v>0</v>
      </c>
      <c r="AZ531" s="3307">
        <f t="shared" si="305"/>
        <v>0</v>
      </c>
      <c r="BA531" s="3307">
        <f t="shared" si="306"/>
        <v>0</v>
      </c>
      <c r="BB531" s="3307">
        <f t="shared" si="307"/>
        <v>0</v>
      </c>
      <c r="BC531" s="3307">
        <f t="shared" si="308"/>
        <v>0</v>
      </c>
      <c r="BD531" s="3307">
        <f t="shared" si="309"/>
        <v>0</v>
      </c>
      <c r="BE531" s="3307">
        <f t="shared" si="310"/>
        <v>0</v>
      </c>
      <c r="BF531" s="3307">
        <f t="shared" si="311"/>
        <v>0</v>
      </c>
      <c r="BG531" s="3307">
        <f t="shared" si="312"/>
        <v>0</v>
      </c>
      <c r="BH531" s="3307">
        <f t="shared" si="313"/>
        <v>0</v>
      </c>
      <c r="BI531" s="3307">
        <f t="shared" si="314"/>
        <v>0</v>
      </c>
      <c r="BJ531" s="3307">
        <f t="shared" si="315"/>
        <v>0</v>
      </c>
      <c r="BK531" s="3307">
        <f t="shared" si="316"/>
        <v>0</v>
      </c>
      <c r="BL531" s="3307">
        <f t="shared" si="317"/>
        <v>0</v>
      </c>
      <c r="BM531" s="3307">
        <f t="shared" si="318"/>
        <v>0</v>
      </c>
      <c r="BN531" s="3307">
        <f t="shared" si="319"/>
        <v>0</v>
      </c>
      <c r="BO531" s="3307">
        <f t="shared" si="320"/>
        <v>0</v>
      </c>
      <c r="BP531" s="3307">
        <f t="shared" si="321"/>
        <v>0</v>
      </c>
      <c r="BQ531" s="3307">
        <f t="shared" si="322"/>
        <v>0</v>
      </c>
      <c r="BR531" s="3307">
        <f t="shared" si="323"/>
        <v>0</v>
      </c>
      <c r="BS531" s="3307">
        <f t="shared" si="324"/>
        <v>0</v>
      </c>
      <c r="BT531" s="3359">
        <f t="shared" si="325"/>
        <v>0</v>
      </c>
    </row>
    <row r="532" spans="1:72">
      <c r="A532" s="3304"/>
      <c r="B532" s="3305"/>
      <c r="C532" s="3305"/>
      <c r="D532" s="3306"/>
      <c r="E532" s="3307">
        <f t="shared" si="297"/>
        <v>0</v>
      </c>
      <c r="F532" s="3308"/>
      <c r="G532" s="3309">
        <f t="shared" si="301"/>
        <v>0</v>
      </c>
      <c r="H532" s="3310">
        <f t="shared" si="302"/>
        <v>0</v>
      </c>
      <c r="I532" s="3317"/>
      <c r="J532" s="3317"/>
      <c r="K532" s="3317"/>
      <c r="L532" s="3317"/>
      <c r="M532" s="3317"/>
      <c r="N532" s="3317"/>
      <c r="O532" s="3317"/>
      <c r="P532" s="3317"/>
      <c r="Q532" s="3317"/>
      <c r="R532" s="3317"/>
      <c r="S532" s="3317"/>
      <c r="T532" s="3317"/>
      <c r="U532" s="3317"/>
      <c r="V532" s="3317"/>
      <c r="W532" s="3317"/>
      <c r="X532" s="3317"/>
      <c r="Y532" s="3317"/>
      <c r="Z532" s="3317"/>
      <c r="AA532" s="3317"/>
      <c r="AB532" s="3317"/>
      <c r="AC532" s="3307">
        <f t="shared" si="303"/>
        <v>0</v>
      </c>
      <c r="AD532" s="3327"/>
      <c r="AE532" s="3327"/>
      <c r="AF532" s="3327"/>
      <c r="AG532" s="3327"/>
      <c r="AH532" s="3327"/>
      <c r="AI532" s="3327"/>
      <c r="AJ532" s="3327"/>
      <c r="AK532" s="3327"/>
      <c r="AL532" s="3327"/>
      <c r="AM532" s="3327"/>
      <c r="AN532" s="3327"/>
      <c r="AO532" s="3327"/>
      <c r="AP532" s="3327"/>
      <c r="AQ532" s="3327"/>
      <c r="AR532" s="3327"/>
      <c r="AS532" s="3327"/>
      <c r="AT532" s="3337"/>
      <c r="AU532" s="3338"/>
      <c r="AV532" s="1410">
        <f t="shared" si="298"/>
        <v>0</v>
      </c>
      <c r="AW532" s="1410">
        <f t="shared" si="299"/>
        <v>0</v>
      </c>
      <c r="AX532" s="1410">
        <f t="shared" si="300"/>
        <v>0</v>
      </c>
      <c r="AY532" s="3352">
        <f t="shared" si="304"/>
        <v>0</v>
      </c>
      <c r="AZ532" s="3307">
        <f t="shared" si="305"/>
        <v>0</v>
      </c>
      <c r="BA532" s="3307">
        <f t="shared" si="306"/>
        <v>0</v>
      </c>
      <c r="BB532" s="3307">
        <f t="shared" si="307"/>
        <v>0</v>
      </c>
      <c r="BC532" s="3307">
        <f t="shared" si="308"/>
        <v>0</v>
      </c>
      <c r="BD532" s="3307">
        <f t="shared" si="309"/>
        <v>0</v>
      </c>
      <c r="BE532" s="3307">
        <f t="shared" si="310"/>
        <v>0</v>
      </c>
      <c r="BF532" s="3307">
        <f t="shared" si="311"/>
        <v>0</v>
      </c>
      <c r="BG532" s="3307">
        <f t="shared" si="312"/>
        <v>0</v>
      </c>
      <c r="BH532" s="3307">
        <f t="shared" si="313"/>
        <v>0</v>
      </c>
      <c r="BI532" s="3307">
        <f t="shared" si="314"/>
        <v>0</v>
      </c>
      <c r="BJ532" s="3307">
        <f t="shared" si="315"/>
        <v>0</v>
      </c>
      <c r="BK532" s="3307">
        <f t="shared" si="316"/>
        <v>0</v>
      </c>
      <c r="BL532" s="3307">
        <f t="shared" si="317"/>
        <v>0</v>
      </c>
      <c r="BM532" s="3307">
        <f t="shared" si="318"/>
        <v>0</v>
      </c>
      <c r="BN532" s="3307">
        <f t="shared" si="319"/>
        <v>0</v>
      </c>
      <c r="BO532" s="3307">
        <f t="shared" si="320"/>
        <v>0</v>
      </c>
      <c r="BP532" s="3307">
        <f t="shared" si="321"/>
        <v>0</v>
      </c>
      <c r="BQ532" s="3307">
        <f t="shared" si="322"/>
        <v>0</v>
      </c>
      <c r="BR532" s="3307">
        <f t="shared" si="323"/>
        <v>0</v>
      </c>
      <c r="BS532" s="3307">
        <f t="shared" si="324"/>
        <v>0</v>
      </c>
      <c r="BT532" s="3359">
        <f t="shared" si="325"/>
        <v>0</v>
      </c>
    </row>
    <row r="533" spans="1:72">
      <c r="A533" s="3304"/>
      <c r="B533" s="3305"/>
      <c r="C533" s="3305"/>
      <c r="D533" s="3306"/>
      <c r="E533" s="3307">
        <f t="shared" si="297"/>
        <v>0</v>
      </c>
      <c r="F533" s="3308"/>
      <c r="G533" s="3309">
        <f t="shared" si="301"/>
        <v>0</v>
      </c>
      <c r="H533" s="3310">
        <f t="shared" si="302"/>
        <v>0</v>
      </c>
      <c r="I533" s="3317"/>
      <c r="J533" s="3317"/>
      <c r="K533" s="3317"/>
      <c r="L533" s="3317"/>
      <c r="M533" s="3317"/>
      <c r="N533" s="3317"/>
      <c r="O533" s="3317"/>
      <c r="P533" s="3317"/>
      <c r="Q533" s="3317"/>
      <c r="R533" s="3317"/>
      <c r="S533" s="3317"/>
      <c r="T533" s="3317"/>
      <c r="U533" s="3317"/>
      <c r="V533" s="3317"/>
      <c r="W533" s="3317"/>
      <c r="X533" s="3317"/>
      <c r="Y533" s="3317"/>
      <c r="Z533" s="3317"/>
      <c r="AA533" s="3317"/>
      <c r="AB533" s="3317"/>
      <c r="AC533" s="3307">
        <f t="shared" si="303"/>
        <v>0</v>
      </c>
      <c r="AD533" s="3327"/>
      <c r="AE533" s="3327"/>
      <c r="AF533" s="3327"/>
      <c r="AG533" s="3327"/>
      <c r="AH533" s="3327"/>
      <c r="AI533" s="3327"/>
      <c r="AJ533" s="3327"/>
      <c r="AK533" s="3327"/>
      <c r="AL533" s="3327"/>
      <c r="AM533" s="3327"/>
      <c r="AN533" s="3327"/>
      <c r="AO533" s="3327"/>
      <c r="AP533" s="3327"/>
      <c r="AQ533" s="3327"/>
      <c r="AR533" s="3327"/>
      <c r="AS533" s="3327"/>
      <c r="AT533" s="3337"/>
      <c r="AU533" s="3338"/>
      <c r="AV533" s="1410">
        <f t="shared" si="298"/>
        <v>0</v>
      </c>
      <c r="AW533" s="1410">
        <f t="shared" si="299"/>
        <v>0</v>
      </c>
      <c r="AX533" s="1410">
        <f t="shared" si="300"/>
        <v>0</v>
      </c>
      <c r="AY533" s="3352">
        <f t="shared" si="304"/>
        <v>0</v>
      </c>
      <c r="AZ533" s="3307">
        <f t="shared" si="305"/>
        <v>0</v>
      </c>
      <c r="BA533" s="3307">
        <f t="shared" si="306"/>
        <v>0</v>
      </c>
      <c r="BB533" s="3307">
        <f t="shared" si="307"/>
        <v>0</v>
      </c>
      <c r="BC533" s="3307">
        <f t="shared" si="308"/>
        <v>0</v>
      </c>
      <c r="BD533" s="3307">
        <f t="shared" si="309"/>
        <v>0</v>
      </c>
      <c r="BE533" s="3307">
        <f t="shared" si="310"/>
        <v>0</v>
      </c>
      <c r="BF533" s="3307">
        <f t="shared" si="311"/>
        <v>0</v>
      </c>
      <c r="BG533" s="3307">
        <f t="shared" si="312"/>
        <v>0</v>
      </c>
      <c r="BH533" s="3307">
        <f t="shared" si="313"/>
        <v>0</v>
      </c>
      <c r="BI533" s="3307">
        <f t="shared" si="314"/>
        <v>0</v>
      </c>
      <c r="BJ533" s="3307">
        <f t="shared" si="315"/>
        <v>0</v>
      </c>
      <c r="BK533" s="3307">
        <f t="shared" si="316"/>
        <v>0</v>
      </c>
      <c r="BL533" s="3307">
        <f t="shared" si="317"/>
        <v>0</v>
      </c>
      <c r="BM533" s="3307">
        <f t="shared" si="318"/>
        <v>0</v>
      </c>
      <c r="BN533" s="3307">
        <f t="shared" si="319"/>
        <v>0</v>
      </c>
      <c r="BO533" s="3307">
        <f t="shared" si="320"/>
        <v>0</v>
      </c>
      <c r="BP533" s="3307">
        <f t="shared" si="321"/>
        <v>0</v>
      </c>
      <c r="BQ533" s="3307">
        <f t="shared" si="322"/>
        <v>0</v>
      </c>
      <c r="BR533" s="3307">
        <f t="shared" si="323"/>
        <v>0</v>
      </c>
      <c r="BS533" s="3307">
        <f t="shared" si="324"/>
        <v>0</v>
      </c>
      <c r="BT533" s="3359">
        <f t="shared" si="325"/>
        <v>0</v>
      </c>
    </row>
    <row r="534" spans="1:72">
      <c r="A534" s="3304"/>
      <c r="B534" s="3305"/>
      <c r="C534" s="3305"/>
      <c r="D534" s="3306"/>
      <c r="E534" s="3307">
        <f t="shared" si="297"/>
        <v>0</v>
      </c>
      <c r="F534" s="3308"/>
      <c r="G534" s="3309">
        <f t="shared" si="301"/>
        <v>0</v>
      </c>
      <c r="H534" s="3310">
        <f t="shared" si="302"/>
        <v>0</v>
      </c>
      <c r="I534" s="3317"/>
      <c r="J534" s="3317"/>
      <c r="K534" s="3317"/>
      <c r="L534" s="3317"/>
      <c r="M534" s="3317"/>
      <c r="N534" s="3317"/>
      <c r="O534" s="3317"/>
      <c r="P534" s="3317"/>
      <c r="Q534" s="3317"/>
      <c r="R534" s="3317"/>
      <c r="S534" s="3317"/>
      <c r="T534" s="3317"/>
      <c r="U534" s="3317"/>
      <c r="V534" s="3317"/>
      <c r="W534" s="3317"/>
      <c r="X534" s="3317"/>
      <c r="Y534" s="3317"/>
      <c r="Z534" s="3317"/>
      <c r="AA534" s="3317"/>
      <c r="AB534" s="3317"/>
      <c r="AC534" s="3307">
        <f t="shared" si="303"/>
        <v>0</v>
      </c>
      <c r="AD534" s="3327"/>
      <c r="AE534" s="3327"/>
      <c r="AF534" s="3327"/>
      <c r="AG534" s="3327"/>
      <c r="AH534" s="3327"/>
      <c r="AI534" s="3327"/>
      <c r="AJ534" s="3327"/>
      <c r="AK534" s="3327"/>
      <c r="AL534" s="3327"/>
      <c r="AM534" s="3327"/>
      <c r="AN534" s="3327"/>
      <c r="AO534" s="3327"/>
      <c r="AP534" s="3327"/>
      <c r="AQ534" s="3327"/>
      <c r="AR534" s="3327"/>
      <c r="AS534" s="3327"/>
      <c r="AT534" s="3337"/>
      <c r="AU534" s="3338"/>
      <c r="AV534" s="1410">
        <f t="shared" si="298"/>
        <v>0</v>
      </c>
      <c r="AW534" s="1410">
        <f t="shared" si="299"/>
        <v>0</v>
      </c>
      <c r="AX534" s="1410">
        <f t="shared" si="300"/>
        <v>0</v>
      </c>
      <c r="AY534" s="3352">
        <f t="shared" si="304"/>
        <v>0</v>
      </c>
      <c r="AZ534" s="3307">
        <f t="shared" si="305"/>
        <v>0</v>
      </c>
      <c r="BA534" s="3307">
        <f t="shared" si="306"/>
        <v>0</v>
      </c>
      <c r="BB534" s="3307">
        <f t="shared" si="307"/>
        <v>0</v>
      </c>
      <c r="BC534" s="3307">
        <f t="shared" si="308"/>
        <v>0</v>
      </c>
      <c r="BD534" s="3307">
        <f t="shared" si="309"/>
        <v>0</v>
      </c>
      <c r="BE534" s="3307">
        <f t="shared" si="310"/>
        <v>0</v>
      </c>
      <c r="BF534" s="3307">
        <f t="shared" si="311"/>
        <v>0</v>
      </c>
      <c r="BG534" s="3307">
        <f t="shared" si="312"/>
        <v>0</v>
      </c>
      <c r="BH534" s="3307">
        <f t="shared" si="313"/>
        <v>0</v>
      </c>
      <c r="BI534" s="3307">
        <f t="shared" si="314"/>
        <v>0</v>
      </c>
      <c r="BJ534" s="3307">
        <f t="shared" si="315"/>
        <v>0</v>
      </c>
      <c r="BK534" s="3307">
        <f t="shared" si="316"/>
        <v>0</v>
      </c>
      <c r="BL534" s="3307">
        <f t="shared" si="317"/>
        <v>0</v>
      </c>
      <c r="BM534" s="3307">
        <f t="shared" si="318"/>
        <v>0</v>
      </c>
      <c r="BN534" s="3307">
        <f t="shared" si="319"/>
        <v>0</v>
      </c>
      <c r="BO534" s="3307">
        <f t="shared" si="320"/>
        <v>0</v>
      </c>
      <c r="BP534" s="3307">
        <f t="shared" si="321"/>
        <v>0</v>
      </c>
      <c r="BQ534" s="3307">
        <f t="shared" si="322"/>
        <v>0</v>
      </c>
      <c r="BR534" s="3307">
        <f t="shared" si="323"/>
        <v>0</v>
      </c>
      <c r="BS534" s="3307">
        <f t="shared" si="324"/>
        <v>0</v>
      </c>
      <c r="BT534" s="3359">
        <f t="shared" si="325"/>
        <v>0</v>
      </c>
    </row>
    <row r="535" spans="1:72">
      <c r="A535" s="3304"/>
      <c r="B535" s="3305"/>
      <c r="C535" s="3305"/>
      <c r="D535" s="3306"/>
      <c r="E535" s="3307">
        <f t="shared" si="297"/>
        <v>0</v>
      </c>
      <c r="F535" s="3308"/>
      <c r="G535" s="3309">
        <f t="shared" si="301"/>
        <v>0</v>
      </c>
      <c r="H535" s="3310">
        <f t="shared" si="302"/>
        <v>0</v>
      </c>
      <c r="I535" s="3317"/>
      <c r="J535" s="3317"/>
      <c r="K535" s="3317"/>
      <c r="L535" s="3317"/>
      <c r="M535" s="3317"/>
      <c r="N535" s="3317"/>
      <c r="O535" s="3317"/>
      <c r="P535" s="3317"/>
      <c r="Q535" s="3317"/>
      <c r="R535" s="3317"/>
      <c r="S535" s="3317"/>
      <c r="T535" s="3317"/>
      <c r="U535" s="3317"/>
      <c r="V535" s="3317"/>
      <c r="W535" s="3317"/>
      <c r="X535" s="3317"/>
      <c r="Y535" s="3317"/>
      <c r="Z535" s="3317"/>
      <c r="AA535" s="3317"/>
      <c r="AB535" s="3317"/>
      <c r="AC535" s="3307">
        <f t="shared" si="303"/>
        <v>0</v>
      </c>
      <c r="AD535" s="3327"/>
      <c r="AE535" s="3327"/>
      <c r="AF535" s="3327"/>
      <c r="AG535" s="3327"/>
      <c r="AH535" s="3327"/>
      <c r="AI535" s="3327"/>
      <c r="AJ535" s="3327"/>
      <c r="AK535" s="3327"/>
      <c r="AL535" s="3327"/>
      <c r="AM535" s="3327"/>
      <c r="AN535" s="3327"/>
      <c r="AO535" s="3327"/>
      <c r="AP535" s="3327"/>
      <c r="AQ535" s="3327"/>
      <c r="AR535" s="3327"/>
      <c r="AS535" s="3327"/>
      <c r="AT535" s="3337"/>
      <c r="AU535" s="3338"/>
      <c r="AV535" s="1410">
        <f t="shared" si="298"/>
        <v>0</v>
      </c>
      <c r="AW535" s="1410">
        <f t="shared" si="299"/>
        <v>0</v>
      </c>
      <c r="AX535" s="1410">
        <f t="shared" si="300"/>
        <v>0</v>
      </c>
      <c r="AY535" s="3352">
        <f t="shared" si="304"/>
        <v>0</v>
      </c>
      <c r="AZ535" s="3307">
        <f t="shared" si="305"/>
        <v>0</v>
      </c>
      <c r="BA535" s="3307">
        <f t="shared" si="306"/>
        <v>0</v>
      </c>
      <c r="BB535" s="3307">
        <f t="shared" si="307"/>
        <v>0</v>
      </c>
      <c r="BC535" s="3307">
        <f t="shared" si="308"/>
        <v>0</v>
      </c>
      <c r="BD535" s="3307">
        <f t="shared" si="309"/>
        <v>0</v>
      </c>
      <c r="BE535" s="3307">
        <f t="shared" si="310"/>
        <v>0</v>
      </c>
      <c r="BF535" s="3307">
        <f t="shared" si="311"/>
        <v>0</v>
      </c>
      <c r="BG535" s="3307">
        <f t="shared" si="312"/>
        <v>0</v>
      </c>
      <c r="BH535" s="3307">
        <f t="shared" si="313"/>
        <v>0</v>
      </c>
      <c r="BI535" s="3307">
        <f t="shared" si="314"/>
        <v>0</v>
      </c>
      <c r="BJ535" s="3307">
        <f t="shared" si="315"/>
        <v>0</v>
      </c>
      <c r="BK535" s="3307">
        <f t="shared" si="316"/>
        <v>0</v>
      </c>
      <c r="BL535" s="3307">
        <f t="shared" si="317"/>
        <v>0</v>
      </c>
      <c r="BM535" s="3307">
        <f t="shared" si="318"/>
        <v>0</v>
      </c>
      <c r="BN535" s="3307">
        <f t="shared" si="319"/>
        <v>0</v>
      </c>
      <c r="BO535" s="3307">
        <f t="shared" si="320"/>
        <v>0</v>
      </c>
      <c r="BP535" s="3307">
        <f t="shared" si="321"/>
        <v>0</v>
      </c>
      <c r="BQ535" s="3307">
        <f t="shared" si="322"/>
        <v>0</v>
      </c>
      <c r="BR535" s="3307">
        <f t="shared" si="323"/>
        <v>0</v>
      </c>
      <c r="BS535" s="3307">
        <f t="shared" si="324"/>
        <v>0</v>
      </c>
      <c r="BT535" s="3359">
        <f t="shared" si="325"/>
        <v>0</v>
      </c>
    </row>
    <row r="536" spans="1:72">
      <c r="A536" s="3304"/>
      <c r="B536" s="3305"/>
      <c r="C536" s="3305"/>
      <c r="D536" s="3306"/>
      <c r="E536" s="3307">
        <f t="shared" si="297"/>
        <v>0</v>
      </c>
      <c r="F536" s="3308"/>
      <c r="G536" s="3309">
        <f t="shared" si="301"/>
        <v>0</v>
      </c>
      <c r="H536" s="3310">
        <f t="shared" si="302"/>
        <v>0</v>
      </c>
      <c r="I536" s="3317"/>
      <c r="J536" s="3317"/>
      <c r="K536" s="3317"/>
      <c r="L536" s="3317"/>
      <c r="M536" s="3317"/>
      <c r="N536" s="3317"/>
      <c r="O536" s="3317"/>
      <c r="P536" s="3317"/>
      <c r="Q536" s="3317"/>
      <c r="R536" s="3317"/>
      <c r="S536" s="3317"/>
      <c r="T536" s="3317"/>
      <c r="U536" s="3317"/>
      <c r="V536" s="3317"/>
      <c r="W536" s="3317"/>
      <c r="X536" s="3317"/>
      <c r="Y536" s="3317"/>
      <c r="Z536" s="3317"/>
      <c r="AA536" s="3317"/>
      <c r="AB536" s="3317"/>
      <c r="AC536" s="3307">
        <f t="shared" si="303"/>
        <v>0</v>
      </c>
      <c r="AD536" s="3327"/>
      <c r="AE536" s="3327"/>
      <c r="AF536" s="3327"/>
      <c r="AG536" s="3327"/>
      <c r="AH536" s="3327"/>
      <c r="AI536" s="3327"/>
      <c r="AJ536" s="3327"/>
      <c r="AK536" s="3327"/>
      <c r="AL536" s="3327"/>
      <c r="AM536" s="3327"/>
      <c r="AN536" s="3327"/>
      <c r="AO536" s="3327"/>
      <c r="AP536" s="3327"/>
      <c r="AQ536" s="3327"/>
      <c r="AR536" s="3327"/>
      <c r="AS536" s="3327"/>
      <c r="AT536" s="3337"/>
      <c r="AU536" s="3338"/>
      <c r="AV536" s="1410">
        <f t="shared" si="298"/>
        <v>0</v>
      </c>
      <c r="AW536" s="1410">
        <f t="shared" si="299"/>
        <v>0</v>
      </c>
      <c r="AX536" s="1410">
        <f t="shared" si="300"/>
        <v>0</v>
      </c>
      <c r="AY536" s="3352">
        <f t="shared" si="304"/>
        <v>0</v>
      </c>
      <c r="AZ536" s="3307">
        <f t="shared" si="305"/>
        <v>0</v>
      </c>
      <c r="BA536" s="3307">
        <f t="shared" si="306"/>
        <v>0</v>
      </c>
      <c r="BB536" s="3307">
        <f t="shared" si="307"/>
        <v>0</v>
      </c>
      <c r="BC536" s="3307">
        <f t="shared" si="308"/>
        <v>0</v>
      </c>
      <c r="BD536" s="3307">
        <f t="shared" si="309"/>
        <v>0</v>
      </c>
      <c r="BE536" s="3307">
        <f t="shared" si="310"/>
        <v>0</v>
      </c>
      <c r="BF536" s="3307">
        <f t="shared" si="311"/>
        <v>0</v>
      </c>
      <c r="BG536" s="3307">
        <f t="shared" si="312"/>
        <v>0</v>
      </c>
      <c r="BH536" s="3307">
        <f t="shared" si="313"/>
        <v>0</v>
      </c>
      <c r="BI536" s="3307">
        <f t="shared" si="314"/>
        <v>0</v>
      </c>
      <c r="BJ536" s="3307">
        <f t="shared" si="315"/>
        <v>0</v>
      </c>
      <c r="BK536" s="3307">
        <f t="shared" si="316"/>
        <v>0</v>
      </c>
      <c r="BL536" s="3307">
        <f t="shared" si="317"/>
        <v>0</v>
      </c>
      <c r="BM536" s="3307">
        <f t="shared" si="318"/>
        <v>0</v>
      </c>
      <c r="BN536" s="3307">
        <f t="shared" si="319"/>
        <v>0</v>
      </c>
      <c r="BO536" s="3307">
        <f t="shared" si="320"/>
        <v>0</v>
      </c>
      <c r="BP536" s="3307">
        <f t="shared" si="321"/>
        <v>0</v>
      </c>
      <c r="BQ536" s="3307">
        <f t="shared" si="322"/>
        <v>0</v>
      </c>
      <c r="BR536" s="3307">
        <f t="shared" si="323"/>
        <v>0</v>
      </c>
      <c r="BS536" s="3307">
        <f t="shared" si="324"/>
        <v>0</v>
      </c>
      <c r="BT536" s="3359">
        <f t="shared" si="325"/>
        <v>0</v>
      </c>
    </row>
    <row r="537" spans="1:72">
      <c r="A537" s="3304"/>
      <c r="B537" s="3305"/>
      <c r="C537" s="3305"/>
      <c r="D537" s="3306"/>
      <c r="E537" s="3307">
        <f t="shared" si="297"/>
        <v>0</v>
      </c>
      <c r="F537" s="3308"/>
      <c r="G537" s="3309">
        <f t="shared" si="301"/>
        <v>0</v>
      </c>
      <c r="H537" s="3310">
        <f t="shared" si="302"/>
        <v>0</v>
      </c>
      <c r="I537" s="3317"/>
      <c r="J537" s="3317"/>
      <c r="K537" s="3317"/>
      <c r="L537" s="3317"/>
      <c r="M537" s="3317"/>
      <c r="N537" s="3317"/>
      <c r="O537" s="3317"/>
      <c r="P537" s="3317"/>
      <c r="Q537" s="3317"/>
      <c r="R537" s="3317"/>
      <c r="S537" s="3317"/>
      <c r="T537" s="3317"/>
      <c r="U537" s="3317"/>
      <c r="V537" s="3317"/>
      <c r="W537" s="3317"/>
      <c r="X537" s="3317"/>
      <c r="Y537" s="3317"/>
      <c r="Z537" s="3317"/>
      <c r="AA537" s="3317"/>
      <c r="AB537" s="3317"/>
      <c r="AC537" s="3307">
        <f t="shared" si="303"/>
        <v>0</v>
      </c>
      <c r="AD537" s="3327"/>
      <c r="AE537" s="3327"/>
      <c r="AF537" s="3327"/>
      <c r="AG537" s="3327"/>
      <c r="AH537" s="3327"/>
      <c r="AI537" s="3327"/>
      <c r="AJ537" s="3327"/>
      <c r="AK537" s="3327"/>
      <c r="AL537" s="3327"/>
      <c r="AM537" s="3327"/>
      <c r="AN537" s="3327"/>
      <c r="AO537" s="3327"/>
      <c r="AP537" s="3327"/>
      <c r="AQ537" s="3327"/>
      <c r="AR537" s="3327"/>
      <c r="AS537" s="3327"/>
      <c r="AT537" s="3337"/>
      <c r="AU537" s="3338"/>
      <c r="AV537" s="1410">
        <f t="shared" si="298"/>
        <v>0</v>
      </c>
      <c r="AW537" s="1410">
        <f t="shared" si="299"/>
        <v>0</v>
      </c>
      <c r="AX537" s="1410">
        <f t="shared" si="300"/>
        <v>0</v>
      </c>
      <c r="AY537" s="3352">
        <f t="shared" si="304"/>
        <v>0</v>
      </c>
      <c r="AZ537" s="3307">
        <f t="shared" si="305"/>
        <v>0</v>
      </c>
      <c r="BA537" s="3307">
        <f t="shared" si="306"/>
        <v>0</v>
      </c>
      <c r="BB537" s="3307">
        <f t="shared" si="307"/>
        <v>0</v>
      </c>
      <c r="BC537" s="3307">
        <f t="shared" si="308"/>
        <v>0</v>
      </c>
      <c r="BD537" s="3307">
        <f t="shared" si="309"/>
        <v>0</v>
      </c>
      <c r="BE537" s="3307">
        <f t="shared" si="310"/>
        <v>0</v>
      </c>
      <c r="BF537" s="3307">
        <f t="shared" si="311"/>
        <v>0</v>
      </c>
      <c r="BG537" s="3307">
        <f t="shared" si="312"/>
        <v>0</v>
      </c>
      <c r="BH537" s="3307">
        <f t="shared" si="313"/>
        <v>0</v>
      </c>
      <c r="BI537" s="3307">
        <f t="shared" si="314"/>
        <v>0</v>
      </c>
      <c r="BJ537" s="3307">
        <f t="shared" si="315"/>
        <v>0</v>
      </c>
      <c r="BK537" s="3307">
        <f t="shared" si="316"/>
        <v>0</v>
      </c>
      <c r="BL537" s="3307">
        <f t="shared" si="317"/>
        <v>0</v>
      </c>
      <c r="BM537" s="3307">
        <f t="shared" si="318"/>
        <v>0</v>
      </c>
      <c r="BN537" s="3307">
        <f t="shared" si="319"/>
        <v>0</v>
      </c>
      <c r="BO537" s="3307">
        <f t="shared" si="320"/>
        <v>0</v>
      </c>
      <c r="BP537" s="3307">
        <f t="shared" si="321"/>
        <v>0</v>
      </c>
      <c r="BQ537" s="3307">
        <f t="shared" si="322"/>
        <v>0</v>
      </c>
      <c r="BR537" s="3307">
        <f t="shared" si="323"/>
        <v>0</v>
      </c>
      <c r="BS537" s="3307">
        <f t="shared" si="324"/>
        <v>0</v>
      </c>
      <c r="BT537" s="3359">
        <f t="shared" si="325"/>
        <v>0</v>
      </c>
    </row>
    <row r="538" spans="1:72">
      <c r="A538" s="3304"/>
      <c r="B538" s="3305"/>
      <c r="C538" s="3305"/>
      <c r="D538" s="3306"/>
      <c r="E538" s="3307">
        <f t="shared" si="297"/>
        <v>0</v>
      </c>
      <c r="F538" s="3308"/>
      <c r="G538" s="3309">
        <f t="shared" si="301"/>
        <v>0</v>
      </c>
      <c r="H538" s="3310">
        <f t="shared" si="302"/>
        <v>0</v>
      </c>
      <c r="I538" s="3317"/>
      <c r="J538" s="3317"/>
      <c r="K538" s="3317"/>
      <c r="L538" s="3317"/>
      <c r="M538" s="3317"/>
      <c r="N538" s="3317"/>
      <c r="O538" s="3317"/>
      <c r="P538" s="3317"/>
      <c r="Q538" s="3317"/>
      <c r="R538" s="3317"/>
      <c r="S538" s="3317"/>
      <c r="T538" s="3317"/>
      <c r="U538" s="3317"/>
      <c r="V538" s="3317"/>
      <c r="W538" s="3317"/>
      <c r="X538" s="3317"/>
      <c r="Y538" s="3317"/>
      <c r="Z538" s="3317"/>
      <c r="AA538" s="3317"/>
      <c r="AB538" s="3317"/>
      <c r="AC538" s="3307">
        <f t="shared" si="303"/>
        <v>0</v>
      </c>
      <c r="AD538" s="3327"/>
      <c r="AE538" s="3327"/>
      <c r="AF538" s="3327"/>
      <c r="AG538" s="3327"/>
      <c r="AH538" s="3327"/>
      <c r="AI538" s="3327"/>
      <c r="AJ538" s="3327"/>
      <c r="AK538" s="3327"/>
      <c r="AL538" s="3327"/>
      <c r="AM538" s="3327"/>
      <c r="AN538" s="3327"/>
      <c r="AO538" s="3327"/>
      <c r="AP538" s="3327"/>
      <c r="AQ538" s="3327"/>
      <c r="AR538" s="3327"/>
      <c r="AS538" s="3327"/>
      <c r="AT538" s="3337"/>
      <c r="AU538" s="3338"/>
      <c r="AV538" s="1410">
        <f t="shared" si="298"/>
        <v>0</v>
      </c>
      <c r="AW538" s="1410">
        <f t="shared" si="299"/>
        <v>0</v>
      </c>
      <c r="AX538" s="1410">
        <f t="shared" si="300"/>
        <v>0</v>
      </c>
      <c r="AY538" s="3352">
        <f t="shared" si="304"/>
        <v>0</v>
      </c>
      <c r="AZ538" s="3307">
        <f t="shared" si="305"/>
        <v>0</v>
      </c>
      <c r="BA538" s="3307">
        <f t="shared" si="306"/>
        <v>0</v>
      </c>
      <c r="BB538" s="3307">
        <f t="shared" si="307"/>
        <v>0</v>
      </c>
      <c r="BC538" s="3307">
        <f t="shared" si="308"/>
        <v>0</v>
      </c>
      <c r="BD538" s="3307">
        <f t="shared" si="309"/>
        <v>0</v>
      </c>
      <c r="BE538" s="3307">
        <f t="shared" si="310"/>
        <v>0</v>
      </c>
      <c r="BF538" s="3307">
        <f t="shared" si="311"/>
        <v>0</v>
      </c>
      <c r="BG538" s="3307">
        <f t="shared" si="312"/>
        <v>0</v>
      </c>
      <c r="BH538" s="3307">
        <f t="shared" si="313"/>
        <v>0</v>
      </c>
      <c r="BI538" s="3307">
        <f t="shared" si="314"/>
        <v>0</v>
      </c>
      <c r="BJ538" s="3307">
        <f t="shared" si="315"/>
        <v>0</v>
      </c>
      <c r="BK538" s="3307">
        <f t="shared" si="316"/>
        <v>0</v>
      </c>
      <c r="BL538" s="3307">
        <f t="shared" si="317"/>
        <v>0</v>
      </c>
      <c r="BM538" s="3307">
        <f t="shared" si="318"/>
        <v>0</v>
      </c>
      <c r="BN538" s="3307">
        <f t="shared" si="319"/>
        <v>0</v>
      </c>
      <c r="BO538" s="3307">
        <f t="shared" si="320"/>
        <v>0</v>
      </c>
      <c r="BP538" s="3307">
        <f t="shared" si="321"/>
        <v>0</v>
      </c>
      <c r="BQ538" s="3307">
        <f t="shared" si="322"/>
        <v>0</v>
      </c>
      <c r="BR538" s="3307">
        <f t="shared" si="323"/>
        <v>0</v>
      </c>
      <c r="BS538" s="3307">
        <f t="shared" si="324"/>
        <v>0</v>
      </c>
      <c r="BT538" s="3359">
        <f t="shared" si="325"/>
        <v>0</v>
      </c>
    </row>
    <row r="539" spans="1:72">
      <c r="A539" s="3304"/>
      <c r="B539" s="3305"/>
      <c r="C539" s="3305"/>
      <c r="D539" s="3306"/>
      <c r="E539" s="3307">
        <f t="shared" si="297"/>
        <v>0</v>
      </c>
      <c r="F539" s="3308"/>
      <c r="G539" s="3309">
        <f t="shared" si="301"/>
        <v>0</v>
      </c>
      <c r="H539" s="3310">
        <f t="shared" si="302"/>
        <v>0</v>
      </c>
      <c r="I539" s="3317"/>
      <c r="J539" s="3317"/>
      <c r="K539" s="3317"/>
      <c r="L539" s="3317"/>
      <c r="M539" s="3317"/>
      <c r="N539" s="3317"/>
      <c r="O539" s="3317"/>
      <c r="P539" s="3317"/>
      <c r="Q539" s="3317"/>
      <c r="R539" s="3317"/>
      <c r="S539" s="3317"/>
      <c r="T539" s="3317"/>
      <c r="U539" s="3317"/>
      <c r="V539" s="3317"/>
      <c r="W539" s="3317"/>
      <c r="X539" s="3317"/>
      <c r="Y539" s="3317"/>
      <c r="Z539" s="3317"/>
      <c r="AA539" s="3317"/>
      <c r="AB539" s="3317"/>
      <c r="AC539" s="3307">
        <f t="shared" si="303"/>
        <v>0</v>
      </c>
      <c r="AD539" s="3327"/>
      <c r="AE539" s="3327"/>
      <c r="AF539" s="3327"/>
      <c r="AG539" s="3327"/>
      <c r="AH539" s="3327"/>
      <c r="AI539" s="3327"/>
      <c r="AJ539" s="3327"/>
      <c r="AK539" s="3327"/>
      <c r="AL539" s="3327"/>
      <c r="AM539" s="3327"/>
      <c r="AN539" s="3327"/>
      <c r="AO539" s="3327"/>
      <c r="AP539" s="3327"/>
      <c r="AQ539" s="3327"/>
      <c r="AR539" s="3327"/>
      <c r="AS539" s="3327"/>
      <c r="AT539" s="3337"/>
      <c r="AU539" s="3338"/>
      <c r="AV539" s="1410">
        <f t="shared" si="298"/>
        <v>0</v>
      </c>
      <c r="AW539" s="1410">
        <f t="shared" si="299"/>
        <v>0</v>
      </c>
      <c r="AX539" s="1410">
        <f t="shared" si="300"/>
        <v>0</v>
      </c>
      <c r="AY539" s="3352">
        <f t="shared" si="304"/>
        <v>0</v>
      </c>
      <c r="AZ539" s="3307">
        <f t="shared" si="305"/>
        <v>0</v>
      </c>
      <c r="BA539" s="3307">
        <f t="shared" si="306"/>
        <v>0</v>
      </c>
      <c r="BB539" s="3307">
        <f t="shared" si="307"/>
        <v>0</v>
      </c>
      <c r="BC539" s="3307">
        <f t="shared" si="308"/>
        <v>0</v>
      </c>
      <c r="BD539" s="3307">
        <f t="shared" si="309"/>
        <v>0</v>
      </c>
      <c r="BE539" s="3307">
        <f t="shared" si="310"/>
        <v>0</v>
      </c>
      <c r="BF539" s="3307">
        <f t="shared" si="311"/>
        <v>0</v>
      </c>
      <c r="BG539" s="3307">
        <f t="shared" si="312"/>
        <v>0</v>
      </c>
      <c r="BH539" s="3307">
        <f t="shared" si="313"/>
        <v>0</v>
      </c>
      <c r="BI539" s="3307">
        <f t="shared" si="314"/>
        <v>0</v>
      </c>
      <c r="BJ539" s="3307">
        <f t="shared" si="315"/>
        <v>0</v>
      </c>
      <c r="BK539" s="3307">
        <f t="shared" si="316"/>
        <v>0</v>
      </c>
      <c r="BL539" s="3307">
        <f t="shared" si="317"/>
        <v>0</v>
      </c>
      <c r="BM539" s="3307">
        <f t="shared" si="318"/>
        <v>0</v>
      </c>
      <c r="BN539" s="3307">
        <f t="shared" si="319"/>
        <v>0</v>
      </c>
      <c r="BO539" s="3307">
        <f t="shared" si="320"/>
        <v>0</v>
      </c>
      <c r="BP539" s="3307">
        <f t="shared" si="321"/>
        <v>0</v>
      </c>
      <c r="BQ539" s="3307">
        <f t="shared" si="322"/>
        <v>0</v>
      </c>
      <c r="BR539" s="3307">
        <f t="shared" si="323"/>
        <v>0</v>
      </c>
      <c r="BS539" s="3307">
        <f t="shared" si="324"/>
        <v>0</v>
      </c>
      <c r="BT539" s="3359">
        <f t="shared" si="325"/>
        <v>0</v>
      </c>
    </row>
    <row r="540" spans="1:72">
      <c r="A540" s="3304"/>
      <c r="B540" s="3305"/>
      <c r="C540" s="3305"/>
      <c r="D540" s="3306"/>
      <c r="E540" s="3307">
        <f t="shared" si="297"/>
        <v>0</v>
      </c>
      <c r="F540" s="3308"/>
      <c r="G540" s="3309">
        <f t="shared" si="301"/>
        <v>0</v>
      </c>
      <c r="H540" s="3310">
        <f t="shared" si="302"/>
        <v>0</v>
      </c>
      <c r="I540" s="3317"/>
      <c r="J540" s="3317"/>
      <c r="K540" s="3317"/>
      <c r="L540" s="3317"/>
      <c r="M540" s="3317"/>
      <c r="N540" s="3317"/>
      <c r="O540" s="3317"/>
      <c r="P540" s="3317"/>
      <c r="Q540" s="3317"/>
      <c r="R540" s="3317"/>
      <c r="S540" s="3317"/>
      <c r="T540" s="3317"/>
      <c r="U540" s="3317"/>
      <c r="V540" s="3317"/>
      <c r="W540" s="3317"/>
      <c r="X540" s="3317"/>
      <c r="Y540" s="3317"/>
      <c r="Z540" s="3317"/>
      <c r="AA540" s="3317"/>
      <c r="AB540" s="3317"/>
      <c r="AC540" s="3307">
        <f t="shared" si="303"/>
        <v>0</v>
      </c>
      <c r="AD540" s="3327"/>
      <c r="AE540" s="3327"/>
      <c r="AF540" s="3327"/>
      <c r="AG540" s="3327"/>
      <c r="AH540" s="3327"/>
      <c r="AI540" s="3327"/>
      <c r="AJ540" s="3327"/>
      <c r="AK540" s="3327"/>
      <c r="AL540" s="3327"/>
      <c r="AM540" s="3327"/>
      <c r="AN540" s="3327"/>
      <c r="AO540" s="3327"/>
      <c r="AP540" s="3327"/>
      <c r="AQ540" s="3327"/>
      <c r="AR540" s="3327"/>
      <c r="AS540" s="3327"/>
      <c r="AT540" s="3337"/>
      <c r="AU540" s="3338"/>
      <c r="AV540" s="1410">
        <f t="shared" si="298"/>
        <v>0</v>
      </c>
      <c r="AW540" s="1410">
        <f t="shared" si="299"/>
        <v>0</v>
      </c>
      <c r="AX540" s="1410">
        <f t="shared" si="300"/>
        <v>0</v>
      </c>
      <c r="AY540" s="3352">
        <f t="shared" si="304"/>
        <v>0</v>
      </c>
      <c r="AZ540" s="3307">
        <f t="shared" si="305"/>
        <v>0</v>
      </c>
      <c r="BA540" s="3307">
        <f t="shared" si="306"/>
        <v>0</v>
      </c>
      <c r="BB540" s="3307">
        <f t="shared" si="307"/>
        <v>0</v>
      </c>
      <c r="BC540" s="3307">
        <f t="shared" si="308"/>
        <v>0</v>
      </c>
      <c r="BD540" s="3307">
        <f t="shared" si="309"/>
        <v>0</v>
      </c>
      <c r="BE540" s="3307">
        <f t="shared" si="310"/>
        <v>0</v>
      </c>
      <c r="BF540" s="3307">
        <f t="shared" si="311"/>
        <v>0</v>
      </c>
      <c r="BG540" s="3307">
        <f t="shared" si="312"/>
        <v>0</v>
      </c>
      <c r="BH540" s="3307">
        <f t="shared" si="313"/>
        <v>0</v>
      </c>
      <c r="BI540" s="3307">
        <f t="shared" si="314"/>
        <v>0</v>
      </c>
      <c r="BJ540" s="3307">
        <f t="shared" si="315"/>
        <v>0</v>
      </c>
      <c r="BK540" s="3307">
        <f t="shared" si="316"/>
        <v>0</v>
      </c>
      <c r="BL540" s="3307">
        <f t="shared" si="317"/>
        <v>0</v>
      </c>
      <c r="BM540" s="3307">
        <f t="shared" si="318"/>
        <v>0</v>
      </c>
      <c r="BN540" s="3307">
        <f t="shared" si="319"/>
        <v>0</v>
      </c>
      <c r="BO540" s="3307">
        <f t="shared" si="320"/>
        <v>0</v>
      </c>
      <c r="BP540" s="3307">
        <f t="shared" si="321"/>
        <v>0</v>
      </c>
      <c r="BQ540" s="3307">
        <f t="shared" si="322"/>
        <v>0</v>
      </c>
      <c r="BR540" s="3307">
        <f t="shared" si="323"/>
        <v>0</v>
      </c>
      <c r="BS540" s="3307">
        <f t="shared" si="324"/>
        <v>0</v>
      </c>
      <c r="BT540" s="3359">
        <f t="shared" si="325"/>
        <v>0</v>
      </c>
    </row>
    <row r="541" spans="1:72">
      <c r="A541" s="3304"/>
      <c r="B541" s="3305"/>
      <c r="C541" s="3305"/>
      <c r="D541" s="3306"/>
      <c r="E541" s="3307">
        <f t="shared" si="297"/>
        <v>0</v>
      </c>
      <c r="F541" s="3308"/>
      <c r="G541" s="3309">
        <f t="shared" si="301"/>
        <v>0</v>
      </c>
      <c r="H541" s="3310">
        <f t="shared" si="302"/>
        <v>0</v>
      </c>
      <c r="I541" s="3317"/>
      <c r="J541" s="3317"/>
      <c r="K541" s="3317"/>
      <c r="L541" s="3317"/>
      <c r="M541" s="3317"/>
      <c r="N541" s="3317"/>
      <c r="O541" s="3317"/>
      <c r="P541" s="3317"/>
      <c r="Q541" s="3317"/>
      <c r="R541" s="3317"/>
      <c r="S541" s="3317"/>
      <c r="T541" s="3317"/>
      <c r="U541" s="3317"/>
      <c r="V541" s="3317"/>
      <c r="W541" s="3317"/>
      <c r="X541" s="3317"/>
      <c r="Y541" s="3317"/>
      <c r="Z541" s="3317"/>
      <c r="AA541" s="3317"/>
      <c r="AB541" s="3317"/>
      <c r="AC541" s="3307">
        <f t="shared" si="303"/>
        <v>0</v>
      </c>
      <c r="AD541" s="3327"/>
      <c r="AE541" s="3327"/>
      <c r="AF541" s="3327"/>
      <c r="AG541" s="3327"/>
      <c r="AH541" s="3327"/>
      <c r="AI541" s="3327"/>
      <c r="AJ541" s="3327"/>
      <c r="AK541" s="3327"/>
      <c r="AL541" s="3327"/>
      <c r="AM541" s="3327"/>
      <c r="AN541" s="3327"/>
      <c r="AO541" s="3327"/>
      <c r="AP541" s="3327"/>
      <c r="AQ541" s="3327"/>
      <c r="AR541" s="3327"/>
      <c r="AS541" s="3327"/>
      <c r="AT541" s="3337"/>
      <c r="AU541" s="3338"/>
      <c r="AV541" s="1410">
        <f t="shared" si="298"/>
        <v>0</v>
      </c>
      <c r="AW541" s="1410">
        <f t="shared" si="299"/>
        <v>0</v>
      </c>
      <c r="AX541" s="1410">
        <f t="shared" si="300"/>
        <v>0</v>
      </c>
      <c r="AY541" s="3352">
        <f t="shared" si="304"/>
        <v>0</v>
      </c>
      <c r="AZ541" s="3307">
        <f t="shared" si="305"/>
        <v>0</v>
      </c>
      <c r="BA541" s="3307">
        <f t="shared" si="306"/>
        <v>0</v>
      </c>
      <c r="BB541" s="3307">
        <f t="shared" si="307"/>
        <v>0</v>
      </c>
      <c r="BC541" s="3307">
        <f t="shared" si="308"/>
        <v>0</v>
      </c>
      <c r="BD541" s="3307">
        <f t="shared" si="309"/>
        <v>0</v>
      </c>
      <c r="BE541" s="3307">
        <f t="shared" si="310"/>
        <v>0</v>
      </c>
      <c r="BF541" s="3307">
        <f t="shared" si="311"/>
        <v>0</v>
      </c>
      <c r="BG541" s="3307">
        <f t="shared" si="312"/>
        <v>0</v>
      </c>
      <c r="BH541" s="3307">
        <f t="shared" si="313"/>
        <v>0</v>
      </c>
      <c r="BI541" s="3307">
        <f t="shared" si="314"/>
        <v>0</v>
      </c>
      <c r="BJ541" s="3307">
        <f t="shared" si="315"/>
        <v>0</v>
      </c>
      <c r="BK541" s="3307">
        <f t="shared" si="316"/>
        <v>0</v>
      </c>
      <c r="BL541" s="3307">
        <f t="shared" si="317"/>
        <v>0</v>
      </c>
      <c r="BM541" s="3307">
        <f t="shared" si="318"/>
        <v>0</v>
      </c>
      <c r="BN541" s="3307">
        <f t="shared" si="319"/>
        <v>0</v>
      </c>
      <c r="BO541" s="3307">
        <f t="shared" si="320"/>
        <v>0</v>
      </c>
      <c r="BP541" s="3307">
        <f t="shared" si="321"/>
        <v>0</v>
      </c>
      <c r="BQ541" s="3307">
        <f t="shared" si="322"/>
        <v>0</v>
      </c>
      <c r="BR541" s="3307">
        <f t="shared" si="323"/>
        <v>0</v>
      </c>
      <c r="BS541" s="3307">
        <f t="shared" si="324"/>
        <v>0</v>
      </c>
      <c r="BT541" s="3359">
        <f t="shared" si="325"/>
        <v>0</v>
      </c>
    </row>
    <row r="542" spans="1:72">
      <c r="A542" s="3304"/>
      <c r="B542" s="3305"/>
      <c r="C542" s="3305"/>
      <c r="D542" s="3306"/>
      <c r="E542" s="3307">
        <f t="shared" si="297"/>
        <v>0</v>
      </c>
      <c r="F542" s="3308"/>
      <c r="G542" s="3309">
        <f t="shared" si="301"/>
        <v>0</v>
      </c>
      <c r="H542" s="3310">
        <f t="shared" si="302"/>
        <v>0</v>
      </c>
      <c r="I542" s="3317"/>
      <c r="J542" s="3317"/>
      <c r="K542" s="3317"/>
      <c r="L542" s="3317"/>
      <c r="M542" s="3317"/>
      <c r="N542" s="3317"/>
      <c r="O542" s="3317"/>
      <c r="P542" s="3317"/>
      <c r="Q542" s="3317"/>
      <c r="R542" s="3317"/>
      <c r="S542" s="3317"/>
      <c r="T542" s="3317"/>
      <c r="U542" s="3317"/>
      <c r="V542" s="3317"/>
      <c r="W542" s="3317"/>
      <c r="X542" s="3317"/>
      <c r="Y542" s="3317"/>
      <c r="Z542" s="3317"/>
      <c r="AA542" s="3317"/>
      <c r="AB542" s="3317"/>
      <c r="AC542" s="3307">
        <f t="shared" si="303"/>
        <v>0</v>
      </c>
      <c r="AD542" s="3327"/>
      <c r="AE542" s="3327"/>
      <c r="AF542" s="3327"/>
      <c r="AG542" s="3327"/>
      <c r="AH542" s="3327"/>
      <c r="AI542" s="3327"/>
      <c r="AJ542" s="3327"/>
      <c r="AK542" s="3327"/>
      <c r="AL542" s="3327"/>
      <c r="AM542" s="3327"/>
      <c r="AN542" s="3327"/>
      <c r="AO542" s="3327"/>
      <c r="AP542" s="3327"/>
      <c r="AQ542" s="3327"/>
      <c r="AR542" s="3327"/>
      <c r="AS542" s="3327"/>
      <c r="AT542" s="3337"/>
      <c r="AU542" s="3338"/>
      <c r="AV542" s="1410">
        <f t="shared" si="298"/>
        <v>0</v>
      </c>
      <c r="AW542" s="1410">
        <f t="shared" si="299"/>
        <v>0</v>
      </c>
      <c r="AX542" s="1410">
        <f t="shared" si="300"/>
        <v>0</v>
      </c>
      <c r="AY542" s="3352">
        <f t="shared" si="304"/>
        <v>0</v>
      </c>
      <c r="AZ542" s="3307">
        <f t="shared" si="305"/>
        <v>0</v>
      </c>
      <c r="BA542" s="3307">
        <f t="shared" si="306"/>
        <v>0</v>
      </c>
      <c r="BB542" s="3307">
        <f t="shared" si="307"/>
        <v>0</v>
      </c>
      <c r="BC542" s="3307">
        <f t="shared" si="308"/>
        <v>0</v>
      </c>
      <c r="BD542" s="3307">
        <f t="shared" si="309"/>
        <v>0</v>
      </c>
      <c r="BE542" s="3307">
        <f t="shared" si="310"/>
        <v>0</v>
      </c>
      <c r="BF542" s="3307">
        <f t="shared" si="311"/>
        <v>0</v>
      </c>
      <c r="BG542" s="3307">
        <f t="shared" si="312"/>
        <v>0</v>
      </c>
      <c r="BH542" s="3307">
        <f t="shared" si="313"/>
        <v>0</v>
      </c>
      <c r="BI542" s="3307">
        <f t="shared" si="314"/>
        <v>0</v>
      </c>
      <c r="BJ542" s="3307">
        <f t="shared" si="315"/>
        <v>0</v>
      </c>
      <c r="BK542" s="3307">
        <f t="shared" si="316"/>
        <v>0</v>
      </c>
      <c r="BL542" s="3307">
        <f t="shared" si="317"/>
        <v>0</v>
      </c>
      <c r="BM542" s="3307">
        <f t="shared" si="318"/>
        <v>0</v>
      </c>
      <c r="BN542" s="3307">
        <f t="shared" si="319"/>
        <v>0</v>
      </c>
      <c r="BO542" s="3307">
        <f t="shared" si="320"/>
        <v>0</v>
      </c>
      <c r="BP542" s="3307">
        <f t="shared" si="321"/>
        <v>0</v>
      </c>
      <c r="BQ542" s="3307">
        <f t="shared" si="322"/>
        <v>0</v>
      </c>
      <c r="BR542" s="3307">
        <f t="shared" si="323"/>
        <v>0</v>
      </c>
      <c r="BS542" s="3307">
        <f t="shared" si="324"/>
        <v>0</v>
      </c>
      <c r="BT542" s="3359">
        <f t="shared" si="325"/>
        <v>0</v>
      </c>
    </row>
    <row r="543" spans="1:72">
      <c r="A543" s="3304"/>
      <c r="B543" s="3305"/>
      <c r="C543" s="3305"/>
      <c r="D543" s="3306"/>
      <c r="E543" s="3307">
        <f t="shared" si="297"/>
        <v>0</v>
      </c>
      <c r="F543" s="3308"/>
      <c r="G543" s="3309">
        <f t="shared" si="301"/>
        <v>0</v>
      </c>
      <c r="H543" s="3310">
        <f t="shared" si="302"/>
        <v>0</v>
      </c>
      <c r="I543" s="3317"/>
      <c r="J543" s="3317"/>
      <c r="K543" s="3317"/>
      <c r="L543" s="3317"/>
      <c r="M543" s="3317"/>
      <c r="N543" s="3317"/>
      <c r="O543" s="3317"/>
      <c r="P543" s="3317"/>
      <c r="Q543" s="3317"/>
      <c r="R543" s="3317"/>
      <c r="S543" s="3317"/>
      <c r="T543" s="3317"/>
      <c r="U543" s="3317"/>
      <c r="V543" s="3317"/>
      <c r="W543" s="3317"/>
      <c r="X543" s="3317"/>
      <c r="Y543" s="3317"/>
      <c r="Z543" s="3317"/>
      <c r="AA543" s="3317"/>
      <c r="AB543" s="3317"/>
      <c r="AC543" s="3307">
        <f t="shared" si="303"/>
        <v>0</v>
      </c>
      <c r="AD543" s="3327"/>
      <c r="AE543" s="3327"/>
      <c r="AF543" s="3327"/>
      <c r="AG543" s="3327"/>
      <c r="AH543" s="3327"/>
      <c r="AI543" s="3327"/>
      <c r="AJ543" s="3327"/>
      <c r="AK543" s="3327"/>
      <c r="AL543" s="3327"/>
      <c r="AM543" s="3327"/>
      <c r="AN543" s="3327"/>
      <c r="AO543" s="3327"/>
      <c r="AP543" s="3327"/>
      <c r="AQ543" s="3327"/>
      <c r="AR543" s="3327"/>
      <c r="AS543" s="3327"/>
      <c r="AT543" s="3337"/>
      <c r="AU543" s="3338"/>
      <c r="AV543" s="1410">
        <f t="shared" si="298"/>
        <v>0</v>
      </c>
      <c r="AW543" s="1410">
        <f t="shared" si="299"/>
        <v>0</v>
      </c>
      <c r="AX543" s="1410">
        <f t="shared" si="300"/>
        <v>0</v>
      </c>
      <c r="AY543" s="3352">
        <f t="shared" si="304"/>
        <v>0</v>
      </c>
      <c r="AZ543" s="3307">
        <f t="shared" si="305"/>
        <v>0</v>
      </c>
      <c r="BA543" s="3307">
        <f t="shared" si="306"/>
        <v>0</v>
      </c>
      <c r="BB543" s="3307">
        <f t="shared" si="307"/>
        <v>0</v>
      </c>
      <c r="BC543" s="3307">
        <f t="shared" si="308"/>
        <v>0</v>
      </c>
      <c r="BD543" s="3307">
        <f t="shared" si="309"/>
        <v>0</v>
      </c>
      <c r="BE543" s="3307">
        <f t="shared" si="310"/>
        <v>0</v>
      </c>
      <c r="BF543" s="3307">
        <f t="shared" si="311"/>
        <v>0</v>
      </c>
      <c r="BG543" s="3307">
        <f t="shared" si="312"/>
        <v>0</v>
      </c>
      <c r="BH543" s="3307">
        <f t="shared" si="313"/>
        <v>0</v>
      </c>
      <c r="BI543" s="3307">
        <f t="shared" si="314"/>
        <v>0</v>
      </c>
      <c r="BJ543" s="3307">
        <f t="shared" si="315"/>
        <v>0</v>
      </c>
      <c r="BK543" s="3307">
        <f t="shared" si="316"/>
        <v>0</v>
      </c>
      <c r="BL543" s="3307">
        <f t="shared" si="317"/>
        <v>0</v>
      </c>
      <c r="BM543" s="3307">
        <f t="shared" si="318"/>
        <v>0</v>
      </c>
      <c r="BN543" s="3307">
        <f t="shared" si="319"/>
        <v>0</v>
      </c>
      <c r="BO543" s="3307">
        <f t="shared" si="320"/>
        <v>0</v>
      </c>
      <c r="BP543" s="3307">
        <f t="shared" si="321"/>
        <v>0</v>
      </c>
      <c r="BQ543" s="3307">
        <f t="shared" si="322"/>
        <v>0</v>
      </c>
      <c r="BR543" s="3307">
        <f t="shared" si="323"/>
        <v>0</v>
      </c>
      <c r="BS543" s="3307">
        <f t="shared" si="324"/>
        <v>0</v>
      </c>
      <c r="BT543" s="3359">
        <f t="shared" si="325"/>
        <v>0</v>
      </c>
    </row>
    <row r="544" spans="1:72">
      <c r="A544" s="3304"/>
      <c r="B544" s="3305"/>
      <c r="C544" s="3305"/>
      <c r="D544" s="3306"/>
      <c r="E544" s="3307">
        <f t="shared" si="297"/>
        <v>0</v>
      </c>
      <c r="F544" s="3308"/>
      <c r="G544" s="3309">
        <f t="shared" si="301"/>
        <v>0</v>
      </c>
      <c r="H544" s="3310">
        <f t="shared" si="302"/>
        <v>0</v>
      </c>
      <c r="I544" s="3317"/>
      <c r="J544" s="3317"/>
      <c r="K544" s="3317"/>
      <c r="L544" s="3317"/>
      <c r="M544" s="3317"/>
      <c r="N544" s="3317"/>
      <c r="O544" s="3317"/>
      <c r="P544" s="3317"/>
      <c r="Q544" s="3317"/>
      <c r="R544" s="3317"/>
      <c r="S544" s="3317"/>
      <c r="T544" s="3317"/>
      <c r="U544" s="3317"/>
      <c r="V544" s="3317"/>
      <c r="W544" s="3317"/>
      <c r="X544" s="3317"/>
      <c r="Y544" s="3317"/>
      <c r="Z544" s="3317"/>
      <c r="AA544" s="3317"/>
      <c r="AB544" s="3317"/>
      <c r="AC544" s="3307">
        <f t="shared" si="303"/>
        <v>0</v>
      </c>
      <c r="AD544" s="3327"/>
      <c r="AE544" s="3327"/>
      <c r="AF544" s="3327"/>
      <c r="AG544" s="3327"/>
      <c r="AH544" s="3327"/>
      <c r="AI544" s="3327"/>
      <c r="AJ544" s="3327"/>
      <c r="AK544" s="3327"/>
      <c r="AL544" s="3327"/>
      <c r="AM544" s="3327"/>
      <c r="AN544" s="3327"/>
      <c r="AO544" s="3327"/>
      <c r="AP544" s="3327"/>
      <c r="AQ544" s="3327"/>
      <c r="AR544" s="3327"/>
      <c r="AS544" s="3327"/>
      <c r="AT544" s="3337"/>
      <c r="AU544" s="3338"/>
      <c r="AV544" s="1410">
        <f t="shared" si="298"/>
        <v>0</v>
      </c>
      <c r="AW544" s="1410">
        <f t="shared" si="299"/>
        <v>0</v>
      </c>
      <c r="AX544" s="1410">
        <f t="shared" si="300"/>
        <v>0</v>
      </c>
      <c r="AY544" s="3352">
        <f t="shared" si="304"/>
        <v>0</v>
      </c>
      <c r="AZ544" s="3307">
        <f t="shared" si="305"/>
        <v>0</v>
      </c>
      <c r="BA544" s="3307">
        <f t="shared" si="306"/>
        <v>0</v>
      </c>
      <c r="BB544" s="3307">
        <f t="shared" si="307"/>
        <v>0</v>
      </c>
      <c r="BC544" s="3307">
        <f t="shared" si="308"/>
        <v>0</v>
      </c>
      <c r="BD544" s="3307">
        <f t="shared" si="309"/>
        <v>0</v>
      </c>
      <c r="BE544" s="3307">
        <f t="shared" si="310"/>
        <v>0</v>
      </c>
      <c r="BF544" s="3307">
        <f t="shared" si="311"/>
        <v>0</v>
      </c>
      <c r="BG544" s="3307">
        <f t="shared" si="312"/>
        <v>0</v>
      </c>
      <c r="BH544" s="3307">
        <f t="shared" si="313"/>
        <v>0</v>
      </c>
      <c r="BI544" s="3307">
        <f t="shared" si="314"/>
        <v>0</v>
      </c>
      <c r="BJ544" s="3307">
        <f t="shared" si="315"/>
        <v>0</v>
      </c>
      <c r="BK544" s="3307">
        <f t="shared" si="316"/>
        <v>0</v>
      </c>
      <c r="BL544" s="3307">
        <f t="shared" si="317"/>
        <v>0</v>
      </c>
      <c r="BM544" s="3307">
        <f t="shared" si="318"/>
        <v>0</v>
      </c>
      <c r="BN544" s="3307">
        <f t="shared" si="319"/>
        <v>0</v>
      </c>
      <c r="BO544" s="3307">
        <f t="shared" si="320"/>
        <v>0</v>
      </c>
      <c r="BP544" s="3307">
        <f t="shared" si="321"/>
        <v>0</v>
      </c>
      <c r="BQ544" s="3307">
        <f t="shared" si="322"/>
        <v>0</v>
      </c>
      <c r="BR544" s="3307">
        <f t="shared" si="323"/>
        <v>0</v>
      </c>
      <c r="BS544" s="3307">
        <f t="shared" si="324"/>
        <v>0</v>
      </c>
      <c r="BT544" s="3359">
        <f t="shared" si="325"/>
        <v>0</v>
      </c>
    </row>
    <row r="545" spans="1:72">
      <c r="A545" s="3304"/>
      <c r="B545" s="3305"/>
      <c r="C545" s="3305"/>
      <c r="D545" s="3306"/>
      <c r="E545" s="3307">
        <f t="shared" si="297"/>
        <v>0</v>
      </c>
      <c r="F545" s="3308"/>
      <c r="G545" s="3309">
        <f t="shared" si="301"/>
        <v>0</v>
      </c>
      <c r="H545" s="3310">
        <f t="shared" si="302"/>
        <v>0</v>
      </c>
      <c r="I545" s="3317"/>
      <c r="J545" s="3317"/>
      <c r="K545" s="3317"/>
      <c r="L545" s="3317"/>
      <c r="M545" s="3317"/>
      <c r="N545" s="3317"/>
      <c r="O545" s="3317"/>
      <c r="P545" s="3317"/>
      <c r="Q545" s="3317"/>
      <c r="R545" s="3317"/>
      <c r="S545" s="3317"/>
      <c r="T545" s="3317"/>
      <c r="U545" s="3317"/>
      <c r="V545" s="3317"/>
      <c r="W545" s="3317"/>
      <c r="X545" s="3317"/>
      <c r="Y545" s="3317"/>
      <c r="Z545" s="3317"/>
      <c r="AA545" s="3317"/>
      <c r="AB545" s="3317"/>
      <c r="AC545" s="3307">
        <f t="shared" si="303"/>
        <v>0</v>
      </c>
      <c r="AD545" s="3327"/>
      <c r="AE545" s="3327"/>
      <c r="AF545" s="3327"/>
      <c r="AG545" s="3327"/>
      <c r="AH545" s="3327"/>
      <c r="AI545" s="3327"/>
      <c r="AJ545" s="3327"/>
      <c r="AK545" s="3327"/>
      <c r="AL545" s="3327"/>
      <c r="AM545" s="3327"/>
      <c r="AN545" s="3327"/>
      <c r="AO545" s="3327"/>
      <c r="AP545" s="3327"/>
      <c r="AQ545" s="3327"/>
      <c r="AR545" s="3327"/>
      <c r="AS545" s="3327"/>
      <c r="AT545" s="3337"/>
      <c r="AU545" s="3338"/>
      <c r="AV545" s="1410">
        <f t="shared" si="298"/>
        <v>0</v>
      </c>
      <c r="AW545" s="1410">
        <f t="shared" si="299"/>
        <v>0</v>
      </c>
      <c r="AX545" s="1410">
        <f t="shared" si="300"/>
        <v>0</v>
      </c>
      <c r="AY545" s="3352">
        <f t="shared" si="304"/>
        <v>0</v>
      </c>
      <c r="AZ545" s="3307">
        <f t="shared" si="305"/>
        <v>0</v>
      </c>
      <c r="BA545" s="3307">
        <f t="shared" si="306"/>
        <v>0</v>
      </c>
      <c r="BB545" s="3307">
        <f t="shared" si="307"/>
        <v>0</v>
      </c>
      <c r="BC545" s="3307">
        <f t="shared" si="308"/>
        <v>0</v>
      </c>
      <c r="BD545" s="3307">
        <f t="shared" si="309"/>
        <v>0</v>
      </c>
      <c r="BE545" s="3307">
        <f t="shared" si="310"/>
        <v>0</v>
      </c>
      <c r="BF545" s="3307">
        <f t="shared" si="311"/>
        <v>0</v>
      </c>
      <c r="BG545" s="3307">
        <f t="shared" si="312"/>
        <v>0</v>
      </c>
      <c r="BH545" s="3307">
        <f t="shared" si="313"/>
        <v>0</v>
      </c>
      <c r="BI545" s="3307">
        <f t="shared" si="314"/>
        <v>0</v>
      </c>
      <c r="BJ545" s="3307">
        <f t="shared" si="315"/>
        <v>0</v>
      </c>
      <c r="BK545" s="3307">
        <f t="shared" si="316"/>
        <v>0</v>
      </c>
      <c r="BL545" s="3307">
        <f t="shared" si="317"/>
        <v>0</v>
      </c>
      <c r="BM545" s="3307">
        <f t="shared" si="318"/>
        <v>0</v>
      </c>
      <c r="BN545" s="3307">
        <f t="shared" si="319"/>
        <v>0</v>
      </c>
      <c r="BO545" s="3307">
        <f t="shared" si="320"/>
        <v>0</v>
      </c>
      <c r="BP545" s="3307">
        <f t="shared" si="321"/>
        <v>0</v>
      </c>
      <c r="BQ545" s="3307">
        <f t="shared" si="322"/>
        <v>0</v>
      </c>
      <c r="BR545" s="3307">
        <f t="shared" si="323"/>
        <v>0</v>
      </c>
      <c r="BS545" s="3307">
        <f t="shared" si="324"/>
        <v>0</v>
      </c>
      <c r="BT545" s="3359">
        <f t="shared" si="325"/>
        <v>0</v>
      </c>
    </row>
    <row r="546" spans="1:72">
      <c r="A546" s="3304"/>
      <c r="B546" s="3305"/>
      <c r="C546" s="3305"/>
      <c r="D546" s="3306"/>
      <c r="E546" s="3307">
        <f t="shared" si="297"/>
        <v>0</v>
      </c>
      <c r="F546" s="3308"/>
      <c r="G546" s="3309">
        <f t="shared" si="301"/>
        <v>0</v>
      </c>
      <c r="H546" s="3310">
        <f t="shared" si="302"/>
        <v>0</v>
      </c>
      <c r="I546" s="3317"/>
      <c r="J546" s="3317"/>
      <c r="K546" s="3317"/>
      <c r="L546" s="3317"/>
      <c r="M546" s="3317"/>
      <c r="N546" s="3317"/>
      <c r="O546" s="3317"/>
      <c r="P546" s="3317"/>
      <c r="Q546" s="3317"/>
      <c r="R546" s="3317"/>
      <c r="S546" s="3317"/>
      <c r="T546" s="3317"/>
      <c r="U546" s="3317"/>
      <c r="V546" s="3317"/>
      <c r="W546" s="3317"/>
      <c r="X546" s="3317"/>
      <c r="Y546" s="3317"/>
      <c r="Z546" s="3317"/>
      <c r="AA546" s="3317"/>
      <c r="AB546" s="3317"/>
      <c r="AC546" s="3307">
        <f t="shared" si="303"/>
        <v>0</v>
      </c>
      <c r="AD546" s="3327"/>
      <c r="AE546" s="3327"/>
      <c r="AF546" s="3327"/>
      <c r="AG546" s="3327"/>
      <c r="AH546" s="3327"/>
      <c r="AI546" s="3327"/>
      <c r="AJ546" s="3327"/>
      <c r="AK546" s="3327"/>
      <c r="AL546" s="3327"/>
      <c r="AM546" s="3327"/>
      <c r="AN546" s="3327"/>
      <c r="AO546" s="3327"/>
      <c r="AP546" s="3327"/>
      <c r="AQ546" s="3327"/>
      <c r="AR546" s="3327"/>
      <c r="AS546" s="3327"/>
      <c r="AT546" s="3337"/>
      <c r="AU546" s="3338"/>
      <c r="AV546" s="1410">
        <f t="shared" si="298"/>
        <v>0</v>
      </c>
      <c r="AW546" s="1410">
        <f t="shared" si="299"/>
        <v>0</v>
      </c>
      <c r="AX546" s="1410">
        <f t="shared" si="300"/>
        <v>0</v>
      </c>
      <c r="AY546" s="3352">
        <f t="shared" si="304"/>
        <v>0</v>
      </c>
      <c r="AZ546" s="3307">
        <f t="shared" si="305"/>
        <v>0</v>
      </c>
      <c r="BA546" s="3307">
        <f t="shared" si="306"/>
        <v>0</v>
      </c>
      <c r="BB546" s="3307">
        <f t="shared" si="307"/>
        <v>0</v>
      </c>
      <c r="BC546" s="3307">
        <f t="shared" si="308"/>
        <v>0</v>
      </c>
      <c r="BD546" s="3307">
        <f t="shared" si="309"/>
        <v>0</v>
      </c>
      <c r="BE546" s="3307">
        <f t="shared" si="310"/>
        <v>0</v>
      </c>
      <c r="BF546" s="3307">
        <f t="shared" si="311"/>
        <v>0</v>
      </c>
      <c r="BG546" s="3307">
        <f t="shared" si="312"/>
        <v>0</v>
      </c>
      <c r="BH546" s="3307">
        <f t="shared" si="313"/>
        <v>0</v>
      </c>
      <c r="BI546" s="3307">
        <f t="shared" si="314"/>
        <v>0</v>
      </c>
      <c r="BJ546" s="3307">
        <f t="shared" si="315"/>
        <v>0</v>
      </c>
      <c r="BK546" s="3307">
        <f t="shared" si="316"/>
        <v>0</v>
      </c>
      <c r="BL546" s="3307">
        <f t="shared" si="317"/>
        <v>0</v>
      </c>
      <c r="BM546" s="3307">
        <f t="shared" si="318"/>
        <v>0</v>
      </c>
      <c r="BN546" s="3307">
        <f t="shared" si="319"/>
        <v>0</v>
      </c>
      <c r="BO546" s="3307">
        <f t="shared" si="320"/>
        <v>0</v>
      </c>
      <c r="BP546" s="3307">
        <f t="shared" si="321"/>
        <v>0</v>
      </c>
      <c r="BQ546" s="3307">
        <f t="shared" si="322"/>
        <v>0</v>
      </c>
      <c r="BR546" s="3307">
        <f t="shared" si="323"/>
        <v>0</v>
      </c>
      <c r="BS546" s="3307">
        <f t="shared" si="324"/>
        <v>0</v>
      </c>
      <c r="BT546" s="3359">
        <f t="shared" si="325"/>
        <v>0</v>
      </c>
    </row>
    <row r="547" spans="1:72">
      <c r="A547" s="3304"/>
      <c r="B547" s="3305"/>
      <c r="C547" s="3305"/>
      <c r="D547" s="3306"/>
      <c r="E547" s="3307">
        <f t="shared" si="297"/>
        <v>0</v>
      </c>
      <c r="F547" s="3308"/>
      <c r="G547" s="3309">
        <f t="shared" si="301"/>
        <v>0</v>
      </c>
      <c r="H547" s="3310">
        <f t="shared" si="302"/>
        <v>0</v>
      </c>
      <c r="I547" s="3317"/>
      <c r="J547" s="3317"/>
      <c r="K547" s="3317"/>
      <c r="L547" s="3317"/>
      <c r="M547" s="3317"/>
      <c r="N547" s="3317"/>
      <c r="O547" s="3317"/>
      <c r="P547" s="3317"/>
      <c r="Q547" s="3317"/>
      <c r="R547" s="3317"/>
      <c r="S547" s="3317"/>
      <c r="T547" s="3317"/>
      <c r="U547" s="3317"/>
      <c r="V547" s="3317"/>
      <c r="W547" s="3317"/>
      <c r="X547" s="3317"/>
      <c r="Y547" s="3317"/>
      <c r="Z547" s="3317"/>
      <c r="AA547" s="3317"/>
      <c r="AB547" s="3317"/>
      <c r="AC547" s="3307">
        <f t="shared" si="303"/>
        <v>0</v>
      </c>
      <c r="AD547" s="3327"/>
      <c r="AE547" s="3327"/>
      <c r="AF547" s="3327"/>
      <c r="AG547" s="3327"/>
      <c r="AH547" s="3327"/>
      <c r="AI547" s="3327"/>
      <c r="AJ547" s="3327"/>
      <c r="AK547" s="3327"/>
      <c r="AL547" s="3327"/>
      <c r="AM547" s="3327"/>
      <c r="AN547" s="3327"/>
      <c r="AO547" s="3327"/>
      <c r="AP547" s="3327"/>
      <c r="AQ547" s="3327"/>
      <c r="AR547" s="3327"/>
      <c r="AS547" s="3327"/>
      <c r="AT547" s="3337"/>
      <c r="AU547" s="3338"/>
      <c r="AV547" s="1410">
        <f t="shared" si="298"/>
        <v>0</v>
      </c>
      <c r="AW547" s="1410">
        <f t="shared" si="299"/>
        <v>0</v>
      </c>
      <c r="AX547" s="1410">
        <f t="shared" si="300"/>
        <v>0</v>
      </c>
      <c r="AY547" s="3352">
        <f t="shared" si="304"/>
        <v>0</v>
      </c>
      <c r="AZ547" s="3307">
        <f t="shared" si="305"/>
        <v>0</v>
      </c>
      <c r="BA547" s="3307">
        <f t="shared" si="306"/>
        <v>0</v>
      </c>
      <c r="BB547" s="3307">
        <f t="shared" si="307"/>
        <v>0</v>
      </c>
      <c r="BC547" s="3307">
        <f t="shared" si="308"/>
        <v>0</v>
      </c>
      <c r="BD547" s="3307">
        <f t="shared" si="309"/>
        <v>0</v>
      </c>
      <c r="BE547" s="3307">
        <f t="shared" si="310"/>
        <v>0</v>
      </c>
      <c r="BF547" s="3307">
        <f t="shared" si="311"/>
        <v>0</v>
      </c>
      <c r="BG547" s="3307">
        <f t="shared" si="312"/>
        <v>0</v>
      </c>
      <c r="BH547" s="3307">
        <f t="shared" si="313"/>
        <v>0</v>
      </c>
      <c r="BI547" s="3307">
        <f t="shared" si="314"/>
        <v>0</v>
      </c>
      <c r="BJ547" s="3307">
        <f t="shared" si="315"/>
        <v>0</v>
      </c>
      <c r="BK547" s="3307">
        <f t="shared" si="316"/>
        <v>0</v>
      </c>
      <c r="BL547" s="3307">
        <f t="shared" si="317"/>
        <v>0</v>
      </c>
      <c r="BM547" s="3307">
        <f t="shared" si="318"/>
        <v>0</v>
      </c>
      <c r="BN547" s="3307">
        <f t="shared" si="319"/>
        <v>0</v>
      </c>
      <c r="BO547" s="3307">
        <f t="shared" si="320"/>
        <v>0</v>
      </c>
      <c r="BP547" s="3307">
        <f t="shared" si="321"/>
        <v>0</v>
      </c>
      <c r="BQ547" s="3307">
        <f t="shared" si="322"/>
        <v>0</v>
      </c>
      <c r="BR547" s="3307">
        <f t="shared" si="323"/>
        <v>0</v>
      </c>
      <c r="BS547" s="3307">
        <f t="shared" si="324"/>
        <v>0</v>
      </c>
      <c r="BT547" s="3359">
        <f t="shared" si="325"/>
        <v>0</v>
      </c>
    </row>
    <row r="548" spans="1:72">
      <c r="A548" s="3304"/>
      <c r="B548" s="3305"/>
      <c r="C548" s="3305"/>
      <c r="D548" s="3306"/>
      <c r="E548" s="3307">
        <f t="shared" si="297"/>
        <v>0</v>
      </c>
      <c r="F548" s="3308"/>
      <c r="G548" s="3309">
        <f t="shared" si="301"/>
        <v>0</v>
      </c>
      <c r="H548" s="3310">
        <f t="shared" si="302"/>
        <v>0</v>
      </c>
      <c r="I548" s="3317"/>
      <c r="J548" s="3317"/>
      <c r="K548" s="3317"/>
      <c r="L548" s="3317"/>
      <c r="M548" s="3317"/>
      <c r="N548" s="3317"/>
      <c r="O548" s="3317"/>
      <c r="P548" s="3317"/>
      <c r="Q548" s="3317"/>
      <c r="R548" s="3317"/>
      <c r="S548" s="3317"/>
      <c r="T548" s="3317"/>
      <c r="U548" s="3317"/>
      <c r="V548" s="3317"/>
      <c r="W548" s="3317"/>
      <c r="X548" s="3317"/>
      <c r="Y548" s="3317"/>
      <c r="Z548" s="3317"/>
      <c r="AA548" s="3317"/>
      <c r="AB548" s="3317"/>
      <c r="AC548" s="3307">
        <f t="shared" si="303"/>
        <v>0</v>
      </c>
      <c r="AD548" s="3327"/>
      <c r="AE548" s="3327"/>
      <c r="AF548" s="3327"/>
      <c r="AG548" s="3327"/>
      <c r="AH548" s="3327"/>
      <c r="AI548" s="3327"/>
      <c r="AJ548" s="3327"/>
      <c r="AK548" s="3327"/>
      <c r="AL548" s="3327"/>
      <c r="AM548" s="3327"/>
      <c r="AN548" s="3327"/>
      <c r="AO548" s="3327"/>
      <c r="AP548" s="3327"/>
      <c r="AQ548" s="3327"/>
      <c r="AR548" s="3327"/>
      <c r="AS548" s="3327"/>
      <c r="AT548" s="3337"/>
      <c r="AU548" s="3338"/>
      <c r="AV548" s="1410">
        <f t="shared" si="298"/>
        <v>0</v>
      </c>
      <c r="AW548" s="1410">
        <f t="shared" si="299"/>
        <v>0</v>
      </c>
      <c r="AX548" s="1410">
        <f t="shared" si="300"/>
        <v>0</v>
      </c>
      <c r="AY548" s="3352">
        <f t="shared" si="304"/>
        <v>0</v>
      </c>
      <c r="AZ548" s="3307">
        <f t="shared" si="305"/>
        <v>0</v>
      </c>
      <c r="BA548" s="3307">
        <f t="shared" si="306"/>
        <v>0</v>
      </c>
      <c r="BB548" s="3307">
        <f t="shared" si="307"/>
        <v>0</v>
      </c>
      <c r="BC548" s="3307">
        <f t="shared" si="308"/>
        <v>0</v>
      </c>
      <c r="BD548" s="3307">
        <f t="shared" si="309"/>
        <v>0</v>
      </c>
      <c r="BE548" s="3307">
        <f t="shared" si="310"/>
        <v>0</v>
      </c>
      <c r="BF548" s="3307">
        <f t="shared" si="311"/>
        <v>0</v>
      </c>
      <c r="BG548" s="3307">
        <f t="shared" si="312"/>
        <v>0</v>
      </c>
      <c r="BH548" s="3307">
        <f t="shared" si="313"/>
        <v>0</v>
      </c>
      <c r="BI548" s="3307">
        <f t="shared" si="314"/>
        <v>0</v>
      </c>
      <c r="BJ548" s="3307">
        <f t="shared" si="315"/>
        <v>0</v>
      </c>
      <c r="BK548" s="3307">
        <f t="shared" si="316"/>
        <v>0</v>
      </c>
      <c r="BL548" s="3307">
        <f t="shared" si="317"/>
        <v>0</v>
      </c>
      <c r="BM548" s="3307">
        <f t="shared" si="318"/>
        <v>0</v>
      </c>
      <c r="BN548" s="3307">
        <f t="shared" si="319"/>
        <v>0</v>
      </c>
      <c r="BO548" s="3307">
        <f t="shared" si="320"/>
        <v>0</v>
      </c>
      <c r="BP548" s="3307">
        <f t="shared" si="321"/>
        <v>0</v>
      </c>
      <c r="BQ548" s="3307">
        <f t="shared" si="322"/>
        <v>0</v>
      </c>
      <c r="BR548" s="3307">
        <f t="shared" si="323"/>
        <v>0</v>
      </c>
      <c r="BS548" s="3307">
        <f t="shared" si="324"/>
        <v>0</v>
      </c>
      <c r="BT548" s="3359">
        <f t="shared" si="325"/>
        <v>0</v>
      </c>
    </row>
    <row r="549" spans="1:72">
      <c r="A549" s="3304"/>
      <c r="B549" s="3305"/>
      <c r="C549" s="3305"/>
      <c r="D549" s="3306"/>
      <c r="E549" s="3307">
        <f t="shared" si="297"/>
        <v>0</v>
      </c>
      <c r="F549" s="3308"/>
      <c r="G549" s="3309">
        <f t="shared" si="301"/>
        <v>0</v>
      </c>
      <c r="H549" s="3310">
        <f t="shared" si="302"/>
        <v>0</v>
      </c>
      <c r="I549" s="3317"/>
      <c r="J549" s="3317"/>
      <c r="K549" s="3317"/>
      <c r="L549" s="3317"/>
      <c r="M549" s="3317"/>
      <c r="N549" s="3317"/>
      <c r="O549" s="3317"/>
      <c r="P549" s="3317"/>
      <c r="Q549" s="3317"/>
      <c r="R549" s="3317"/>
      <c r="S549" s="3317"/>
      <c r="T549" s="3317"/>
      <c r="U549" s="3317"/>
      <c r="V549" s="3317"/>
      <c r="W549" s="3317"/>
      <c r="X549" s="3317"/>
      <c r="Y549" s="3317"/>
      <c r="Z549" s="3317"/>
      <c r="AA549" s="3317"/>
      <c r="AB549" s="3317"/>
      <c r="AC549" s="3307">
        <f t="shared" si="303"/>
        <v>0</v>
      </c>
      <c r="AD549" s="3327"/>
      <c r="AE549" s="3327"/>
      <c r="AF549" s="3327"/>
      <c r="AG549" s="3327"/>
      <c r="AH549" s="3327"/>
      <c r="AI549" s="3327"/>
      <c r="AJ549" s="3327"/>
      <c r="AK549" s="3327"/>
      <c r="AL549" s="3327"/>
      <c r="AM549" s="3327"/>
      <c r="AN549" s="3327"/>
      <c r="AO549" s="3327"/>
      <c r="AP549" s="3327"/>
      <c r="AQ549" s="3327"/>
      <c r="AR549" s="3327"/>
      <c r="AS549" s="3327"/>
      <c r="AT549" s="3337"/>
      <c r="AU549" s="3338"/>
      <c r="AV549" s="1410">
        <f t="shared" si="298"/>
        <v>0</v>
      </c>
      <c r="AW549" s="1410">
        <f t="shared" si="299"/>
        <v>0</v>
      </c>
      <c r="AX549" s="1410">
        <f t="shared" si="300"/>
        <v>0</v>
      </c>
      <c r="AY549" s="3352">
        <f t="shared" si="304"/>
        <v>0</v>
      </c>
      <c r="AZ549" s="3307">
        <f t="shared" si="305"/>
        <v>0</v>
      </c>
      <c r="BA549" s="3307">
        <f t="shared" si="306"/>
        <v>0</v>
      </c>
      <c r="BB549" s="3307">
        <f t="shared" si="307"/>
        <v>0</v>
      </c>
      <c r="BC549" s="3307">
        <f t="shared" si="308"/>
        <v>0</v>
      </c>
      <c r="BD549" s="3307">
        <f t="shared" si="309"/>
        <v>0</v>
      </c>
      <c r="BE549" s="3307">
        <f t="shared" si="310"/>
        <v>0</v>
      </c>
      <c r="BF549" s="3307">
        <f t="shared" si="311"/>
        <v>0</v>
      </c>
      <c r="BG549" s="3307">
        <f t="shared" si="312"/>
        <v>0</v>
      </c>
      <c r="BH549" s="3307">
        <f t="shared" si="313"/>
        <v>0</v>
      </c>
      <c r="BI549" s="3307">
        <f t="shared" si="314"/>
        <v>0</v>
      </c>
      <c r="BJ549" s="3307">
        <f t="shared" si="315"/>
        <v>0</v>
      </c>
      <c r="BK549" s="3307">
        <f t="shared" si="316"/>
        <v>0</v>
      </c>
      <c r="BL549" s="3307">
        <f t="shared" si="317"/>
        <v>0</v>
      </c>
      <c r="BM549" s="3307">
        <f t="shared" si="318"/>
        <v>0</v>
      </c>
      <c r="BN549" s="3307">
        <f t="shared" si="319"/>
        <v>0</v>
      </c>
      <c r="BO549" s="3307">
        <f t="shared" si="320"/>
        <v>0</v>
      </c>
      <c r="BP549" s="3307">
        <f t="shared" si="321"/>
        <v>0</v>
      </c>
      <c r="BQ549" s="3307">
        <f t="shared" si="322"/>
        <v>0</v>
      </c>
      <c r="BR549" s="3307">
        <f t="shared" si="323"/>
        <v>0</v>
      </c>
      <c r="BS549" s="3307">
        <f t="shared" si="324"/>
        <v>0</v>
      </c>
      <c r="BT549" s="3359">
        <f t="shared" si="325"/>
        <v>0</v>
      </c>
    </row>
    <row r="550" spans="1:72">
      <c r="A550" s="3304"/>
      <c r="B550" s="3305"/>
      <c r="C550" s="3305"/>
      <c r="D550" s="3306"/>
      <c r="E550" s="3307">
        <f t="shared" si="297"/>
        <v>0</v>
      </c>
      <c r="F550" s="3308"/>
      <c r="G550" s="3309">
        <f t="shared" si="301"/>
        <v>0</v>
      </c>
      <c r="H550" s="3310">
        <f t="shared" si="302"/>
        <v>0</v>
      </c>
      <c r="I550" s="3317"/>
      <c r="J550" s="3317"/>
      <c r="K550" s="3317"/>
      <c r="L550" s="3317"/>
      <c r="M550" s="3317"/>
      <c r="N550" s="3317"/>
      <c r="O550" s="3317"/>
      <c r="P550" s="3317"/>
      <c r="Q550" s="3317"/>
      <c r="R550" s="3317"/>
      <c r="S550" s="3317"/>
      <c r="T550" s="3317"/>
      <c r="U550" s="3317"/>
      <c r="V550" s="3317"/>
      <c r="W550" s="3317"/>
      <c r="X550" s="3317"/>
      <c r="Y550" s="3317"/>
      <c r="Z550" s="3317"/>
      <c r="AA550" s="3317"/>
      <c r="AB550" s="3317"/>
      <c r="AC550" s="3307">
        <f t="shared" si="303"/>
        <v>0</v>
      </c>
      <c r="AD550" s="3327"/>
      <c r="AE550" s="3327"/>
      <c r="AF550" s="3327"/>
      <c r="AG550" s="3327"/>
      <c r="AH550" s="3327"/>
      <c r="AI550" s="3327"/>
      <c r="AJ550" s="3327"/>
      <c r="AK550" s="3327"/>
      <c r="AL550" s="3327"/>
      <c r="AM550" s="3327"/>
      <c r="AN550" s="3327"/>
      <c r="AO550" s="3327"/>
      <c r="AP550" s="3327"/>
      <c r="AQ550" s="3327"/>
      <c r="AR550" s="3327"/>
      <c r="AS550" s="3327"/>
      <c r="AT550" s="3337"/>
      <c r="AU550" s="3338"/>
      <c r="AV550" s="1410">
        <f t="shared" si="298"/>
        <v>0</v>
      </c>
      <c r="AW550" s="1410">
        <f t="shared" si="299"/>
        <v>0</v>
      </c>
      <c r="AX550" s="1410">
        <f t="shared" si="300"/>
        <v>0</v>
      </c>
      <c r="AY550" s="3352">
        <f t="shared" si="304"/>
        <v>0</v>
      </c>
      <c r="AZ550" s="3307">
        <f t="shared" si="305"/>
        <v>0</v>
      </c>
      <c r="BA550" s="3307">
        <f t="shared" si="306"/>
        <v>0</v>
      </c>
      <c r="BB550" s="3307">
        <f t="shared" si="307"/>
        <v>0</v>
      </c>
      <c r="BC550" s="3307">
        <f t="shared" si="308"/>
        <v>0</v>
      </c>
      <c r="BD550" s="3307">
        <f t="shared" si="309"/>
        <v>0</v>
      </c>
      <c r="BE550" s="3307">
        <f t="shared" si="310"/>
        <v>0</v>
      </c>
      <c r="BF550" s="3307">
        <f t="shared" si="311"/>
        <v>0</v>
      </c>
      <c r="BG550" s="3307">
        <f t="shared" si="312"/>
        <v>0</v>
      </c>
      <c r="BH550" s="3307">
        <f t="shared" si="313"/>
        <v>0</v>
      </c>
      <c r="BI550" s="3307">
        <f t="shared" si="314"/>
        <v>0</v>
      </c>
      <c r="BJ550" s="3307">
        <f t="shared" si="315"/>
        <v>0</v>
      </c>
      <c r="BK550" s="3307">
        <f t="shared" si="316"/>
        <v>0</v>
      </c>
      <c r="BL550" s="3307">
        <f t="shared" si="317"/>
        <v>0</v>
      </c>
      <c r="BM550" s="3307">
        <f t="shared" si="318"/>
        <v>0</v>
      </c>
      <c r="BN550" s="3307">
        <f t="shared" si="319"/>
        <v>0</v>
      </c>
      <c r="BO550" s="3307">
        <f t="shared" si="320"/>
        <v>0</v>
      </c>
      <c r="BP550" s="3307">
        <f t="shared" si="321"/>
        <v>0</v>
      </c>
      <c r="BQ550" s="3307">
        <f t="shared" si="322"/>
        <v>0</v>
      </c>
      <c r="BR550" s="3307">
        <f t="shared" si="323"/>
        <v>0</v>
      </c>
      <c r="BS550" s="3307">
        <f t="shared" si="324"/>
        <v>0</v>
      </c>
      <c r="BT550" s="3359">
        <f t="shared" si="325"/>
        <v>0</v>
      </c>
    </row>
    <row r="551" spans="1:72">
      <c r="A551" s="3304"/>
      <c r="B551" s="3305"/>
      <c r="C551" s="3305"/>
      <c r="D551" s="3306"/>
      <c r="E551" s="3307">
        <f t="shared" si="297"/>
        <v>0</v>
      </c>
      <c r="F551" s="3308"/>
      <c r="G551" s="3309">
        <f t="shared" si="301"/>
        <v>0</v>
      </c>
      <c r="H551" s="3310">
        <f t="shared" si="302"/>
        <v>0</v>
      </c>
      <c r="I551" s="3317"/>
      <c r="J551" s="3317"/>
      <c r="K551" s="3317"/>
      <c r="L551" s="3317"/>
      <c r="M551" s="3317"/>
      <c r="N551" s="3317"/>
      <c r="O551" s="3317"/>
      <c r="P551" s="3317"/>
      <c r="Q551" s="3317"/>
      <c r="R551" s="3317"/>
      <c r="S551" s="3317"/>
      <c r="T551" s="3317"/>
      <c r="U551" s="3317"/>
      <c r="V551" s="3317"/>
      <c r="W551" s="3317"/>
      <c r="X551" s="3317"/>
      <c r="Y551" s="3317"/>
      <c r="Z551" s="3317"/>
      <c r="AA551" s="3317"/>
      <c r="AB551" s="3317"/>
      <c r="AC551" s="3307">
        <f t="shared" si="303"/>
        <v>0</v>
      </c>
      <c r="AD551" s="3327"/>
      <c r="AE551" s="3327"/>
      <c r="AF551" s="3327"/>
      <c r="AG551" s="3327"/>
      <c r="AH551" s="3327"/>
      <c r="AI551" s="3327"/>
      <c r="AJ551" s="3327"/>
      <c r="AK551" s="3327"/>
      <c r="AL551" s="3327"/>
      <c r="AM551" s="3327"/>
      <c r="AN551" s="3327"/>
      <c r="AO551" s="3327"/>
      <c r="AP551" s="3327"/>
      <c r="AQ551" s="3327"/>
      <c r="AR551" s="3327"/>
      <c r="AS551" s="3327"/>
      <c r="AT551" s="3337"/>
      <c r="AU551" s="3338"/>
      <c r="AV551" s="1410">
        <f t="shared" si="298"/>
        <v>0</v>
      </c>
      <c r="AW551" s="1410">
        <f t="shared" si="299"/>
        <v>0</v>
      </c>
      <c r="AX551" s="1410">
        <f t="shared" si="300"/>
        <v>0</v>
      </c>
      <c r="AY551" s="3352">
        <f t="shared" si="304"/>
        <v>0</v>
      </c>
      <c r="AZ551" s="3307">
        <f t="shared" si="305"/>
        <v>0</v>
      </c>
      <c r="BA551" s="3307">
        <f t="shared" si="306"/>
        <v>0</v>
      </c>
      <c r="BB551" s="3307">
        <f t="shared" si="307"/>
        <v>0</v>
      </c>
      <c r="BC551" s="3307">
        <f t="shared" si="308"/>
        <v>0</v>
      </c>
      <c r="BD551" s="3307">
        <f t="shared" si="309"/>
        <v>0</v>
      </c>
      <c r="BE551" s="3307">
        <f t="shared" si="310"/>
        <v>0</v>
      </c>
      <c r="BF551" s="3307">
        <f t="shared" si="311"/>
        <v>0</v>
      </c>
      <c r="BG551" s="3307">
        <f t="shared" si="312"/>
        <v>0</v>
      </c>
      <c r="BH551" s="3307">
        <f t="shared" si="313"/>
        <v>0</v>
      </c>
      <c r="BI551" s="3307">
        <f t="shared" si="314"/>
        <v>0</v>
      </c>
      <c r="BJ551" s="3307">
        <f t="shared" si="315"/>
        <v>0</v>
      </c>
      <c r="BK551" s="3307">
        <f t="shared" si="316"/>
        <v>0</v>
      </c>
      <c r="BL551" s="3307">
        <f t="shared" si="317"/>
        <v>0</v>
      </c>
      <c r="BM551" s="3307">
        <f t="shared" si="318"/>
        <v>0</v>
      </c>
      <c r="BN551" s="3307">
        <f t="shared" si="319"/>
        <v>0</v>
      </c>
      <c r="BO551" s="3307">
        <f t="shared" si="320"/>
        <v>0</v>
      </c>
      <c r="BP551" s="3307">
        <f t="shared" si="321"/>
        <v>0</v>
      </c>
      <c r="BQ551" s="3307">
        <f t="shared" si="322"/>
        <v>0</v>
      </c>
      <c r="BR551" s="3307">
        <f t="shared" si="323"/>
        <v>0</v>
      </c>
      <c r="BS551" s="3307">
        <f t="shared" si="324"/>
        <v>0</v>
      </c>
      <c r="BT551" s="3359">
        <f t="shared" si="325"/>
        <v>0</v>
      </c>
    </row>
    <row r="552" spans="1:72">
      <c r="A552" s="3304"/>
      <c r="B552" s="3305"/>
      <c r="C552" s="3305"/>
      <c r="D552" s="3306"/>
      <c r="E552" s="3307">
        <f t="shared" ref="E552:E587" si="326">IF($C$3="是",ROUND($A$3*G552/$B$3,2),ROUND($A$3*(G552-AT552)/$B$3,2))</f>
        <v>0</v>
      </c>
      <c r="F552" s="3308"/>
      <c r="G552" s="3309">
        <f t="shared" si="301"/>
        <v>0</v>
      </c>
      <c r="H552" s="3310">
        <f t="shared" si="302"/>
        <v>0</v>
      </c>
      <c r="I552" s="3317"/>
      <c r="J552" s="3317"/>
      <c r="K552" s="3317"/>
      <c r="L552" s="3317"/>
      <c r="M552" s="3317"/>
      <c r="N552" s="3317"/>
      <c r="O552" s="3317"/>
      <c r="P552" s="3317"/>
      <c r="Q552" s="3317"/>
      <c r="R552" s="3317"/>
      <c r="S552" s="3317"/>
      <c r="T552" s="3317"/>
      <c r="U552" s="3317"/>
      <c r="V552" s="3317"/>
      <c r="W552" s="3317"/>
      <c r="X552" s="3317"/>
      <c r="Y552" s="3317"/>
      <c r="Z552" s="3317"/>
      <c r="AA552" s="3317"/>
      <c r="AB552" s="3317"/>
      <c r="AC552" s="3307">
        <f t="shared" si="303"/>
        <v>0</v>
      </c>
      <c r="AD552" s="3327"/>
      <c r="AE552" s="3327"/>
      <c r="AF552" s="3327"/>
      <c r="AG552" s="3327"/>
      <c r="AH552" s="3327"/>
      <c r="AI552" s="3327"/>
      <c r="AJ552" s="3327"/>
      <c r="AK552" s="3327"/>
      <c r="AL552" s="3327"/>
      <c r="AM552" s="3327"/>
      <c r="AN552" s="3327"/>
      <c r="AO552" s="3327"/>
      <c r="AP552" s="3327"/>
      <c r="AQ552" s="3327"/>
      <c r="AR552" s="3327"/>
      <c r="AS552" s="3327"/>
      <c r="AT552" s="3337"/>
      <c r="AU552" s="3338"/>
      <c r="AV552" s="1410">
        <f t="shared" si="298"/>
        <v>0</v>
      </c>
      <c r="AW552" s="1410">
        <f t="shared" si="299"/>
        <v>0</v>
      </c>
      <c r="AX552" s="1410">
        <f t="shared" si="300"/>
        <v>0</v>
      </c>
      <c r="AY552" s="3352">
        <f t="shared" si="304"/>
        <v>0</v>
      </c>
      <c r="AZ552" s="3307">
        <f t="shared" si="305"/>
        <v>0</v>
      </c>
      <c r="BA552" s="3307">
        <f t="shared" si="306"/>
        <v>0</v>
      </c>
      <c r="BB552" s="3307">
        <f t="shared" si="307"/>
        <v>0</v>
      </c>
      <c r="BC552" s="3307">
        <f t="shared" si="308"/>
        <v>0</v>
      </c>
      <c r="BD552" s="3307">
        <f t="shared" si="309"/>
        <v>0</v>
      </c>
      <c r="BE552" s="3307">
        <f t="shared" si="310"/>
        <v>0</v>
      </c>
      <c r="BF552" s="3307">
        <f t="shared" si="311"/>
        <v>0</v>
      </c>
      <c r="BG552" s="3307">
        <f t="shared" si="312"/>
        <v>0</v>
      </c>
      <c r="BH552" s="3307">
        <f t="shared" si="313"/>
        <v>0</v>
      </c>
      <c r="BI552" s="3307">
        <f t="shared" si="314"/>
        <v>0</v>
      </c>
      <c r="BJ552" s="3307">
        <f t="shared" si="315"/>
        <v>0</v>
      </c>
      <c r="BK552" s="3307">
        <f t="shared" si="316"/>
        <v>0</v>
      </c>
      <c r="BL552" s="3307">
        <f t="shared" si="317"/>
        <v>0</v>
      </c>
      <c r="BM552" s="3307">
        <f t="shared" si="318"/>
        <v>0</v>
      </c>
      <c r="BN552" s="3307">
        <f t="shared" si="319"/>
        <v>0</v>
      </c>
      <c r="BO552" s="3307">
        <f t="shared" si="320"/>
        <v>0</v>
      </c>
      <c r="BP552" s="3307">
        <f t="shared" si="321"/>
        <v>0</v>
      </c>
      <c r="BQ552" s="3307">
        <f t="shared" si="322"/>
        <v>0</v>
      </c>
      <c r="BR552" s="3307">
        <f t="shared" si="323"/>
        <v>0</v>
      </c>
      <c r="BS552" s="3307">
        <f t="shared" si="324"/>
        <v>0</v>
      </c>
      <c r="BT552" s="3359">
        <f t="shared" si="325"/>
        <v>0</v>
      </c>
    </row>
    <row r="553" spans="1:72">
      <c r="A553" s="3304"/>
      <c r="B553" s="3305"/>
      <c r="C553" s="3305"/>
      <c r="D553" s="3306"/>
      <c r="E553" s="3307">
        <f t="shared" si="326"/>
        <v>0</v>
      </c>
      <c r="F553" s="3308"/>
      <c r="G553" s="3309">
        <f t="shared" ref="G553:G587" si="327">H553+AC553+AT553</f>
        <v>0</v>
      </c>
      <c r="H553" s="3310">
        <f t="shared" ref="H553:H587" si="328">SUMIF(I$12:AB$12,"总值",I553:AB553)</f>
        <v>0</v>
      </c>
      <c r="I553" s="3317"/>
      <c r="J553" s="3317"/>
      <c r="K553" s="3317"/>
      <c r="L553" s="3317"/>
      <c r="M553" s="3317"/>
      <c r="N553" s="3317"/>
      <c r="O553" s="3317"/>
      <c r="P553" s="3317"/>
      <c r="Q553" s="3317"/>
      <c r="R553" s="3317"/>
      <c r="S553" s="3317"/>
      <c r="T553" s="3317"/>
      <c r="U553" s="3317"/>
      <c r="V553" s="3317"/>
      <c r="W553" s="3317"/>
      <c r="X553" s="3317"/>
      <c r="Y553" s="3317"/>
      <c r="Z553" s="3317"/>
      <c r="AA553" s="3317"/>
      <c r="AB553" s="3317"/>
      <c r="AC553" s="3307">
        <f t="shared" ref="AC553:AC587" si="329">SUMIF(AD$12:AS$12,"总值",AD553:AS553)</f>
        <v>0</v>
      </c>
      <c r="AD553" s="3327"/>
      <c r="AE553" s="3327"/>
      <c r="AF553" s="3327"/>
      <c r="AG553" s="3327"/>
      <c r="AH553" s="3327"/>
      <c r="AI553" s="3327"/>
      <c r="AJ553" s="3327"/>
      <c r="AK553" s="3327"/>
      <c r="AL553" s="3327"/>
      <c r="AM553" s="3327"/>
      <c r="AN553" s="3327"/>
      <c r="AO553" s="3327"/>
      <c r="AP553" s="3327"/>
      <c r="AQ553" s="3327"/>
      <c r="AR553" s="3327"/>
      <c r="AS553" s="3327"/>
      <c r="AT553" s="3337"/>
      <c r="AU553" s="3338"/>
      <c r="AV553" s="1410">
        <f t="shared" ref="AV553:AV587" si="330">A553</f>
        <v>0</v>
      </c>
      <c r="AW553" s="1410">
        <f t="shared" ref="AW553:AW587" si="331">B553</f>
        <v>0</v>
      </c>
      <c r="AX553" s="1410">
        <f t="shared" ref="AX553:AX587" si="332">C553</f>
        <v>0</v>
      </c>
      <c r="AY553" s="3352">
        <f t="shared" ref="AY553:AY587" si="333">ROUND($AY$6*AZ553/$AZ$5,2)</f>
        <v>0</v>
      </c>
      <c r="AZ553" s="3307">
        <f t="shared" ref="AZ553:AZ587" si="334">BA553+BL553</f>
        <v>0</v>
      </c>
      <c r="BA553" s="3307">
        <f t="shared" ref="BA553:BA587" si="335">SUM(BB553:BK553)</f>
        <v>0</v>
      </c>
      <c r="BB553" s="3307">
        <f t="shared" ref="BB553:BB587" si="336">IF($D553="是",I553-J553,0)</f>
        <v>0</v>
      </c>
      <c r="BC553" s="3307">
        <f t="shared" ref="BC553:BC587" si="337">IF($D553="是",K553-L553,0)</f>
        <v>0</v>
      </c>
      <c r="BD553" s="3307">
        <f t="shared" ref="BD553:BD587" si="338">IF($D553="是",M553-N553,0)</f>
        <v>0</v>
      </c>
      <c r="BE553" s="3307">
        <f t="shared" ref="BE553:BE587" si="339">IF($D553="是",O553-P553,0)</f>
        <v>0</v>
      </c>
      <c r="BF553" s="3307">
        <f t="shared" ref="BF553:BF587" si="340">IF($D553="是",Q553-R553,0)</f>
        <v>0</v>
      </c>
      <c r="BG553" s="3307">
        <f t="shared" ref="BG553:BG587" si="341">IF($D553="是",S553-T553,0)</f>
        <v>0</v>
      </c>
      <c r="BH553" s="3307">
        <f t="shared" ref="BH553:BH587" si="342">IF($D553="是",U553-V553,0)</f>
        <v>0</v>
      </c>
      <c r="BI553" s="3307">
        <f t="shared" ref="BI553:BI587" si="343">IF($D553="是",W553-X553,0)</f>
        <v>0</v>
      </c>
      <c r="BJ553" s="3307">
        <f t="shared" ref="BJ553:BJ587" si="344">IF($D553="是",Y553-Z553,0)</f>
        <v>0</v>
      </c>
      <c r="BK553" s="3307">
        <f t="shared" ref="BK553:BK587" si="345">IF($D553="是",AA553-AB553,0)</f>
        <v>0</v>
      </c>
      <c r="BL553" s="3307">
        <f t="shared" ref="BL553:BL587" si="346">SUM(BM553:BT553)</f>
        <v>0</v>
      </c>
      <c r="BM553" s="3307">
        <f t="shared" ref="BM553:BM587" si="347">IF($D553="是",AD553-AE553,0)</f>
        <v>0</v>
      </c>
      <c r="BN553" s="3307">
        <f t="shared" ref="BN553:BN587" si="348">IF($D553="是",AF553-AG553,0)</f>
        <v>0</v>
      </c>
      <c r="BO553" s="3307">
        <f t="shared" ref="BO553:BO587" si="349">IF($D553="是",AH553-AI553,0)</f>
        <v>0</v>
      </c>
      <c r="BP553" s="3307">
        <f t="shared" ref="BP553:BP587" si="350">IF($D553="是",AJ553-AK553,0)</f>
        <v>0</v>
      </c>
      <c r="BQ553" s="3307">
        <f t="shared" ref="BQ553:BQ587" si="351">IF($D553="是",AL553-AM553,0)</f>
        <v>0</v>
      </c>
      <c r="BR553" s="3307">
        <f t="shared" ref="BR553:BR587" si="352">IF($D553="是",AN553-AO553,0)</f>
        <v>0</v>
      </c>
      <c r="BS553" s="3307">
        <f t="shared" ref="BS553:BS587" si="353">IF($D553="是",AP553-AQ553,0)</f>
        <v>0</v>
      </c>
      <c r="BT553" s="3359">
        <f t="shared" ref="BT553:BT587" si="354">IF($D553="是",AR553-AS553,0)</f>
        <v>0</v>
      </c>
    </row>
    <row r="554" spans="1:72">
      <c r="A554" s="3304"/>
      <c r="B554" s="3305"/>
      <c r="C554" s="3305"/>
      <c r="D554" s="3306"/>
      <c r="E554" s="3307">
        <f t="shared" si="326"/>
        <v>0</v>
      </c>
      <c r="F554" s="3308"/>
      <c r="G554" s="3309">
        <f t="shared" si="327"/>
        <v>0</v>
      </c>
      <c r="H554" s="3310">
        <f t="shared" si="328"/>
        <v>0</v>
      </c>
      <c r="I554" s="3317"/>
      <c r="J554" s="3317"/>
      <c r="K554" s="3317"/>
      <c r="L554" s="3317"/>
      <c r="M554" s="3317"/>
      <c r="N554" s="3317"/>
      <c r="O554" s="3317"/>
      <c r="P554" s="3317"/>
      <c r="Q554" s="3317"/>
      <c r="R554" s="3317"/>
      <c r="S554" s="3317"/>
      <c r="T554" s="3317"/>
      <c r="U554" s="3317"/>
      <c r="V554" s="3317"/>
      <c r="W554" s="3317"/>
      <c r="X554" s="3317"/>
      <c r="Y554" s="3317"/>
      <c r="Z554" s="3317"/>
      <c r="AA554" s="3317"/>
      <c r="AB554" s="3317"/>
      <c r="AC554" s="3307">
        <f t="shared" si="329"/>
        <v>0</v>
      </c>
      <c r="AD554" s="3327"/>
      <c r="AE554" s="3327"/>
      <c r="AF554" s="3327"/>
      <c r="AG554" s="3327"/>
      <c r="AH554" s="3327"/>
      <c r="AI554" s="3327"/>
      <c r="AJ554" s="3327"/>
      <c r="AK554" s="3327"/>
      <c r="AL554" s="3327"/>
      <c r="AM554" s="3327"/>
      <c r="AN554" s="3327"/>
      <c r="AO554" s="3327"/>
      <c r="AP554" s="3327"/>
      <c r="AQ554" s="3327"/>
      <c r="AR554" s="3327"/>
      <c r="AS554" s="3327"/>
      <c r="AT554" s="3337"/>
      <c r="AU554" s="3338"/>
      <c r="AV554" s="1410">
        <f t="shared" si="330"/>
        <v>0</v>
      </c>
      <c r="AW554" s="1410">
        <f t="shared" si="331"/>
        <v>0</v>
      </c>
      <c r="AX554" s="1410">
        <f t="shared" si="332"/>
        <v>0</v>
      </c>
      <c r="AY554" s="3352">
        <f t="shared" si="333"/>
        <v>0</v>
      </c>
      <c r="AZ554" s="3307">
        <f t="shared" si="334"/>
        <v>0</v>
      </c>
      <c r="BA554" s="3307">
        <f t="shared" si="335"/>
        <v>0</v>
      </c>
      <c r="BB554" s="3307">
        <f t="shared" si="336"/>
        <v>0</v>
      </c>
      <c r="BC554" s="3307">
        <f t="shared" si="337"/>
        <v>0</v>
      </c>
      <c r="BD554" s="3307">
        <f t="shared" si="338"/>
        <v>0</v>
      </c>
      <c r="BE554" s="3307">
        <f t="shared" si="339"/>
        <v>0</v>
      </c>
      <c r="BF554" s="3307">
        <f t="shared" si="340"/>
        <v>0</v>
      </c>
      <c r="BG554" s="3307">
        <f t="shared" si="341"/>
        <v>0</v>
      </c>
      <c r="BH554" s="3307">
        <f t="shared" si="342"/>
        <v>0</v>
      </c>
      <c r="BI554" s="3307">
        <f t="shared" si="343"/>
        <v>0</v>
      </c>
      <c r="BJ554" s="3307">
        <f t="shared" si="344"/>
        <v>0</v>
      </c>
      <c r="BK554" s="3307">
        <f t="shared" si="345"/>
        <v>0</v>
      </c>
      <c r="BL554" s="3307">
        <f t="shared" si="346"/>
        <v>0</v>
      </c>
      <c r="BM554" s="3307">
        <f t="shared" si="347"/>
        <v>0</v>
      </c>
      <c r="BN554" s="3307">
        <f t="shared" si="348"/>
        <v>0</v>
      </c>
      <c r="BO554" s="3307">
        <f t="shared" si="349"/>
        <v>0</v>
      </c>
      <c r="BP554" s="3307">
        <f t="shared" si="350"/>
        <v>0</v>
      </c>
      <c r="BQ554" s="3307">
        <f t="shared" si="351"/>
        <v>0</v>
      </c>
      <c r="BR554" s="3307">
        <f t="shared" si="352"/>
        <v>0</v>
      </c>
      <c r="BS554" s="3307">
        <f t="shared" si="353"/>
        <v>0</v>
      </c>
      <c r="BT554" s="3359">
        <f t="shared" si="354"/>
        <v>0</v>
      </c>
    </row>
    <row r="555" spans="1:72">
      <c r="A555" s="3304"/>
      <c r="B555" s="3305"/>
      <c r="C555" s="3305"/>
      <c r="D555" s="3306"/>
      <c r="E555" s="3307">
        <f t="shared" si="326"/>
        <v>0</v>
      </c>
      <c r="F555" s="3308"/>
      <c r="G555" s="3309">
        <f t="shared" si="327"/>
        <v>0</v>
      </c>
      <c r="H555" s="3310">
        <f t="shared" si="328"/>
        <v>0</v>
      </c>
      <c r="I555" s="3317"/>
      <c r="J555" s="3317"/>
      <c r="K555" s="3317"/>
      <c r="L555" s="3317"/>
      <c r="M555" s="3317"/>
      <c r="N555" s="3317"/>
      <c r="O555" s="3317"/>
      <c r="P555" s="3317"/>
      <c r="Q555" s="3317"/>
      <c r="R555" s="3317"/>
      <c r="S555" s="3317"/>
      <c r="T555" s="3317"/>
      <c r="U555" s="3317"/>
      <c r="V555" s="3317"/>
      <c r="W555" s="3317"/>
      <c r="X555" s="3317"/>
      <c r="Y555" s="3317"/>
      <c r="Z555" s="3317"/>
      <c r="AA555" s="3317"/>
      <c r="AB555" s="3317"/>
      <c r="AC555" s="3307">
        <f t="shared" si="329"/>
        <v>0</v>
      </c>
      <c r="AD555" s="3327"/>
      <c r="AE555" s="3327"/>
      <c r="AF555" s="3327"/>
      <c r="AG555" s="3327"/>
      <c r="AH555" s="3327"/>
      <c r="AI555" s="3327"/>
      <c r="AJ555" s="3327"/>
      <c r="AK555" s="3327"/>
      <c r="AL555" s="3327"/>
      <c r="AM555" s="3327"/>
      <c r="AN555" s="3327"/>
      <c r="AO555" s="3327"/>
      <c r="AP555" s="3327"/>
      <c r="AQ555" s="3327"/>
      <c r="AR555" s="3327"/>
      <c r="AS555" s="3327"/>
      <c r="AT555" s="3337"/>
      <c r="AU555" s="3338"/>
      <c r="AV555" s="1410">
        <f t="shared" si="330"/>
        <v>0</v>
      </c>
      <c r="AW555" s="1410">
        <f t="shared" si="331"/>
        <v>0</v>
      </c>
      <c r="AX555" s="1410">
        <f t="shared" si="332"/>
        <v>0</v>
      </c>
      <c r="AY555" s="3352">
        <f t="shared" si="333"/>
        <v>0</v>
      </c>
      <c r="AZ555" s="3307">
        <f t="shared" si="334"/>
        <v>0</v>
      </c>
      <c r="BA555" s="3307">
        <f t="shared" si="335"/>
        <v>0</v>
      </c>
      <c r="BB555" s="3307">
        <f t="shared" si="336"/>
        <v>0</v>
      </c>
      <c r="BC555" s="3307">
        <f t="shared" si="337"/>
        <v>0</v>
      </c>
      <c r="BD555" s="3307">
        <f t="shared" si="338"/>
        <v>0</v>
      </c>
      <c r="BE555" s="3307">
        <f t="shared" si="339"/>
        <v>0</v>
      </c>
      <c r="BF555" s="3307">
        <f t="shared" si="340"/>
        <v>0</v>
      </c>
      <c r="BG555" s="3307">
        <f t="shared" si="341"/>
        <v>0</v>
      </c>
      <c r="BH555" s="3307">
        <f t="shared" si="342"/>
        <v>0</v>
      </c>
      <c r="BI555" s="3307">
        <f t="shared" si="343"/>
        <v>0</v>
      </c>
      <c r="BJ555" s="3307">
        <f t="shared" si="344"/>
        <v>0</v>
      </c>
      <c r="BK555" s="3307">
        <f t="shared" si="345"/>
        <v>0</v>
      </c>
      <c r="BL555" s="3307">
        <f t="shared" si="346"/>
        <v>0</v>
      </c>
      <c r="BM555" s="3307">
        <f t="shared" si="347"/>
        <v>0</v>
      </c>
      <c r="BN555" s="3307">
        <f t="shared" si="348"/>
        <v>0</v>
      </c>
      <c r="BO555" s="3307">
        <f t="shared" si="349"/>
        <v>0</v>
      </c>
      <c r="BP555" s="3307">
        <f t="shared" si="350"/>
        <v>0</v>
      </c>
      <c r="BQ555" s="3307">
        <f t="shared" si="351"/>
        <v>0</v>
      </c>
      <c r="BR555" s="3307">
        <f t="shared" si="352"/>
        <v>0</v>
      </c>
      <c r="BS555" s="3307">
        <f t="shared" si="353"/>
        <v>0</v>
      </c>
      <c r="BT555" s="3359">
        <f t="shared" si="354"/>
        <v>0</v>
      </c>
    </row>
    <row r="556" spans="1:72">
      <c r="A556" s="3304"/>
      <c r="B556" s="3305"/>
      <c r="C556" s="3305"/>
      <c r="D556" s="3306"/>
      <c r="E556" s="3307">
        <f t="shared" si="326"/>
        <v>0</v>
      </c>
      <c r="F556" s="3308"/>
      <c r="G556" s="3309">
        <f t="shared" si="327"/>
        <v>0</v>
      </c>
      <c r="H556" s="3310">
        <f t="shared" si="328"/>
        <v>0</v>
      </c>
      <c r="I556" s="3317"/>
      <c r="J556" s="3317"/>
      <c r="K556" s="3317"/>
      <c r="L556" s="3317"/>
      <c r="M556" s="3317"/>
      <c r="N556" s="3317"/>
      <c r="O556" s="3317"/>
      <c r="P556" s="3317"/>
      <c r="Q556" s="3317"/>
      <c r="R556" s="3317"/>
      <c r="S556" s="3317"/>
      <c r="T556" s="3317"/>
      <c r="U556" s="3317"/>
      <c r="V556" s="3317"/>
      <c r="W556" s="3317"/>
      <c r="X556" s="3317"/>
      <c r="Y556" s="3317"/>
      <c r="Z556" s="3317"/>
      <c r="AA556" s="3317"/>
      <c r="AB556" s="3317"/>
      <c r="AC556" s="3307">
        <f t="shared" si="329"/>
        <v>0</v>
      </c>
      <c r="AD556" s="3327"/>
      <c r="AE556" s="3327"/>
      <c r="AF556" s="3327"/>
      <c r="AG556" s="3327"/>
      <c r="AH556" s="3327"/>
      <c r="AI556" s="3327"/>
      <c r="AJ556" s="3327"/>
      <c r="AK556" s="3327"/>
      <c r="AL556" s="3327"/>
      <c r="AM556" s="3327"/>
      <c r="AN556" s="3327"/>
      <c r="AO556" s="3327"/>
      <c r="AP556" s="3327"/>
      <c r="AQ556" s="3327"/>
      <c r="AR556" s="3327"/>
      <c r="AS556" s="3327"/>
      <c r="AT556" s="3337"/>
      <c r="AU556" s="3338"/>
      <c r="AV556" s="1410">
        <f t="shared" si="330"/>
        <v>0</v>
      </c>
      <c r="AW556" s="1410">
        <f t="shared" si="331"/>
        <v>0</v>
      </c>
      <c r="AX556" s="1410">
        <f t="shared" si="332"/>
        <v>0</v>
      </c>
      <c r="AY556" s="3352">
        <f t="shared" si="333"/>
        <v>0</v>
      </c>
      <c r="AZ556" s="3307">
        <f t="shared" si="334"/>
        <v>0</v>
      </c>
      <c r="BA556" s="3307">
        <f t="shared" si="335"/>
        <v>0</v>
      </c>
      <c r="BB556" s="3307">
        <f t="shared" si="336"/>
        <v>0</v>
      </c>
      <c r="BC556" s="3307">
        <f t="shared" si="337"/>
        <v>0</v>
      </c>
      <c r="BD556" s="3307">
        <f t="shared" si="338"/>
        <v>0</v>
      </c>
      <c r="BE556" s="3307">
        <f t="shared" si="339"/>
        <v>0</v>
      </c>
      <c r="BF556" s="3307">
        <f t="shared" si="340"/>
        <v>0</v>
      </c>
      <c r="BG556" s="3307">
        <f t="shared" si="341"/>
        <v>0</v>
      </c>
      <c r="BH556" s="3307">
        <f t="shared" si="342"/>
        <v>0</v>
      </c>
      <c r="BI556" s="3307">
        <f t="shared" si="343"/>
        <v>0</v>
      </c>
      <c r="BJ556" s="3307">
        <f t="shared" si="344"/>
        <v>0</v>
      </c>
      <c r="BK556" s="3307">
        <f t="shared" si="345"/>
        <v>0</v>
      </c>
      <c r="BL556" s="3307">
        <f t="shared" si="346"/>
        <v>0</v>
      </c>
      <c r="BM556" s="3307">
        <f t="shared" si="347"/>
        <v>0</v>
      </c>
      <c r="BN556" s="3307">
        <f t="shared" si="348"/>
        <v>0</v>
      </c>
      <c r="BO556" s="3307">
        <f t="shared" si="349"/>
        <v>0</v>
      </c>
      <c r="BP556" s="3307">
        <f t="shared" si="350"/>
        <v>0</v>
      </c>
      <c r="BQ556" s="3307">
        <f t="shared" si="351"/>
        <v>0</v>
      </c>
      <c r="BR556" s="3307">
        <f t="shared" si="352"/>
        <v>0</v>
      </c>
      <c r="BS556" s="3307">
        <f t="shared" si="353"/>
        <v>0</v>
      </c>
      <c r="BT556" s="3359">
        <f t="shared" si="354"/>
        <v>0</v>
      </c>
    </row>
    <row r="557" spans="1:72">
      <c r="A557" s="3304"/>
      <c r="B557" s="3305"/>
      <c r="C557" s="3305"/>
      <c r="D557" s="3306"/>
      <c r="E557" s="3307">
        <f t="shared" si="326"/>
        <v>0</v>
      </c>
      <c r="F557" s="3308"/>
      <c r="G557" s="3309">
        <f t="shared" si="327"/>
        <v>0</v>
      </c>
      <c r="H557" s="3310">
        <f t="shared" si="328"/>
        <v>0</v>
      </c>
      <c r="I557" s="3317"/>
      <c r="J557" s="3317"/>
      <c r="K557" s="3317"/>
      <c r="L557" s="3317"/>
      <c r="M557" s="3317"/>
      <c r="N557" s="3317"/>
      <c r="O557" s="3317"/>
      <c r="P557" s="3317"/>
      <c r="Q557" s="3317"/>
      <c r="R557" s="3317"/>
      <c r="S557" s="3317"/>
      <c r="T557" s="3317"/>
      <c r="U557" s="3317"/>
      <c r="V557" s="3317"/>
      <c r="W557" s="3317"/>
      <c r="X557" s="3317"/>
      <c r="Y557" s="3317"/>
      <c r="Z557" s="3317"/>
      <c r="AA557" s="3317"/>
      <c r="AB557" s="3317"/>
      <c r="AC557" s="3307">
        <f t="shared" si="329"/>
        <v>0</v>
      </c>
      <c r="AD557" s="3327"/>
      <c r="AE557" s="3327"/>
      <c r="AF557" s="3327"/>
      <c r="AG557" s="3327"/>
      <c r="AH557" s="3327"/>
      <c r="AI557" s="3327"/>
      <c r="AJ557" s="3327"/>
      <c r="AK557" s="3327"/>
      <c r="AL557" s="3327"/>
      <c r="AM557" s="3327"/>
      <c r="AN557" s="3327"/>
      <c r="AO557" s="3327"/>
      <c r="AP557" s="3327"/>
      <c r="AQ557" s="3327"/>
      <c r="AR557" s="3327"/>
      <c r="AS557" s="3327"/>
      <c r="AT557" s="3337"/>
      <c r="AU557" s="3338"/>
      <c r="AV557" s="1410">
        <f t="shared" si="330"/>
        <v>0</v>
      </c>
      <c r="AW557" s="1410">
        <f t="shared" si="331"/>
        <v>0</v>
      </c>
      <c r="AX557" s="1410">
        <f t="shared" si="332"/>
        <v>0</v>
      </c>
      <c r="AY557" s="3352">
        <f t="shared" si="333"/>
        <v>0</v>
      </c>
      <c r="AZ557" s="3307">
        <f t="shared" si="334"/>
        <v>0</v>
      </c>
      <c r="BA557" s="3307">
        <f t="shared" si="335"/>
        <v>0</v>
      </c>
      <c r="BB557" s="3307">
        <f t="shared" si="336"/>
        <v>0</v>
      </c>
      <c r="BC557" s="3307">
        <f t="shared" si="337"/>
        <v>0</v>
      </c>
      <c r="BD557" s="3307">
        <f t="shared" si="338"/>
        <v>0</v>
      </c>
      <c r="BE557" s="3307">
        <f t="shared" si="339"/>
        <v>0</v>
      </c>
      <c r="BF557" s="3307">
        <f t="shared" si="340"/>
        <v>0</v>
      </c>
      <c r="BG557" s="3307">
        <f t="shared" si="341"/>
        <v>0</v>
      </c>
      <c r="BH557" s="3307">
        <f t="shared" si="342"/>
        <v>0</v>
      </c>
      <c r="BI557" s="3307">
        <f t="shared" si="343"/>
        <v>0</v>
      </c>
      <c r="BJ557" s="3307">
        <f t="shared" si="344"/>
        <v>0</v>
      </c>
      <c r="BK557" s="3307">
        <f t="shared" si="345"/>
        <v>0</v>
      </c>
      <c r="BL557" s="3307">
        <f t="shared" si="346"/>
        <v>0</v>
      </c>
      <c r="BM557" s="3307">
        <f t="shared" si="347"/>
        <v>0</v>
      </c>
      <c r="BN557" s="3307">
        <f t="shared" si="348"/>
        <v>0</v>
      </c>
      <c r="BO557" s="3307">
        <f t="shared" si="349"/>
        <v>0</v>
      </c>
      <c r="BP557" s="3307">
        <f t="shared" si="350"/>
        <v>0</v>
      </c>
      <c r="BQ557" s="3307">
        <f t="shared" si="351"/>
        <v>0</v>
      </c>
      <c r="BR557" s="3307">
        <f t="shared" si="352"/>
        <v>0</v>
      </c>
      <c r="BS557" s="3307">
        <f t="shared" si="353"/>
        <v>0</v>
      </c>
      <c r="BT557" s="3359">
        <f t="shared" si="354"/>
        <v>0</v>
      </c>
    </row>
    <row r="558" spans="1:72">
      <c r="A558" s="3304"/>
      <c r="B558" s="3305"/>
      <c r="C558" s="3305"/>
      <c r="D558" s="3306"/>
      <c r="E558" s="3307">
        <f t="shared" si="326"/>
        <v>0</v>
      </c>
      <c r="F558" s="3308"/>
      <c r="G558" s="3309">
        <f t="shared" si="327"/>
        <v>0</v>
      </c>
      <c r="H558" s="3310">
        <f t="shared" si="328"/>
        <v>0</v>
      </c>
      <c r="I558" s="3317"/>
      <c r="J558" s="3317"/>
      <c r="K558" s="3317"/>
      <c r="L558" s="3317"/>
      <c r="M558" s="3317"/>
      <c r="N558" s="3317"/>
      <c r="O558" s="3317"/>
      <c r="P558" s="3317"/>
      <c r="Q558" s="3317"/>
      <c r="R558" s="3317"/>
      <c r="S558" s="3317"/>
      <c r="T558" s="3317"/>
      <c r="U558" s="3317"/>
      <c r="V558" s="3317"/>
      <c r="W558" s="3317"/>
      <c r="X558" s="3317"/>
      <c r="Y558" s="3317"/>
      <c r="Z558" s="3317"/>
      <c r="AA558" s="3317"/>
      <c r="AB558" s="3317"/>
      <c r="AC558" s="3307">
        <f t="shared" si="329"/>
        <v>0</v>
      </c>
      <c r="AD558" s="3327"/>
      <c r="AE558" s="3327"/>
      <c r="AF558" s="3327"/>
      <c r="AG558" s="3327"/>
      <c r="AH558" s="3327"/>
      <c r="AI558" s="3327"/>
      <c r="AJ558" s="3327"/>
      <c r="AK558" s="3327"/>
      <c r="AL558" s="3327"/>
      <c r="AM558" s="3327"/>
      <c r="AN558" s="3327"/>
      <c r="AO558" s="3327"/>
      <c r="AP558" s="3327"/>
      <c r="AQ558" s="3327"/>
      <c r="AR558" s="3327"/>
      <c r="AS558" s="3327"/>
      <c r="AT558" s="3337"/>
      <c r="AU558" s="3338"/>
      <c r="AV558" s="1410">
        <f t="shared" si="330"/>
        <v>0</v>
      </c>
      <c r="AW558" s="1410">
        <f t="shared" si="331"/>
        <v>0</v>
      </c>
      <c r="AX558" s="1410">
        <f t="shared" si="332"/>
        <v>0</v>
      </c>
      <c r="AY558" s="3352">
        <f t="shared" si="333"/>
        <v>0</v>
      </c>
      <c r="AZ558" s="3307">
        <f t="shared" si="334"/>
        <v>0</v>
      </c>
      <c r="BA558" s="3307">
        <f t="shared" si="335"/>
        <v>0</v>
      </c>
      <c r="BB558" s="3307">
        <f t="shared" si="336"/>
        <v>0</v>
      </c>
      <c r="BC558" s="3307">
        <f t="shared" si="337"/>
        <v>0</v>
      </c>
      <c r="BD558" s="3307">
        <f t="shared" si="338"/>
        <v>0</v>
      </c>
      <c r="BE558" s="3307">
        <f t="shared" si="339"/>
        <v>0</v>
      </c>
      <c r="BF558" s="3307">
        <f t="shared" si="340"/>
        <v>0</v>
      </c>
      <c r="BG558" s="3307">
        <f t="shared" si="341"/>
        <v>0</v>
      </c>
      <c r="BH558" s="3307">
        <f t="shared" si="342"/>
        <v>0</v>
      </c>
      <c r="BI558" s="3307">
        <f t="shared" si="343"/>
        <v>0</v>
      </c>
      <c r="BJ558" s="3307">
        <f t="shared" si="344"/>
        <v>0</v>
      </c>
      <c r="BK558" s="3307">
        <f t="shared" si="345"/>
        <v>0</v>
      </c>
      <c r="BL558" s="3307">
        <f t="shared" si="346"/>
        <v>0</v>
      </c>
      <c r="BM558" s="3307">
        <f t="shared" si="347"/>
        <v>0</v>
      </c>
      <c r="BN558" s="3307">
        <f t="shared" si="348"/>
        <v>0</v>
      </c>
      <c r="BO558" s="3307">
        <f t="shared" si="349"/>
        <v>0</v>
      </c>
      <c r="BP558" s="3307">
        <f t="shared" si="350"/>
        <v>0</v>
      </c>
      <c r="BQ558" s="3307">
        <f t="shared" si="351"/>
        <v>0</v>
      </c>
      <c r="BR558" s="3307">
        <f t="shared" si="352"/>
        <v>0</v>
      </c>
      <c r="BS558" s="3307">
        <f t="shared" si="353"/>
        <v>0</v>
      </c>
      <c r="BT558" s="3359">
        <f t="shared" si="354"/>
        <v>0</v>
      </c>
    </row>
    <row r="559" spans="1:72">
      <c r="A559" s="3304"/>
      <c r="B559" s="3305"/>
      <c r="C559" s="3305"/>
      <c r="D559" s="3306"/>
      <c r="E559" s="3307">
        <f t="shared" si="326"/>
        <v>0</v>
      </c>
      <c r="F559" s="3308"/>
      <c r="G559" s="3309">
        <f t="shared" si="327"/>
        <v>0</v>
      </c>
      <c r="H559" s="3310">
        <f t="shared" si="328"/>
        <v>0</v>
      </c>
      <c r="I559" s="3317"/>
      <c r="J559" s="3317"/>
      <c r="K559" s="3317"/>
      <c r="L559" s="3317"/>
      <c r="M559" s="3317"/>
      <c r="N559" s="3317"/>
      <c r="O559" s="3317"/>
      <c r="P559" s="3317"/>
      <c r="Q559" s="3317"/>
      <c r="R559" s="3317"/>
      <c r="S559" s="3317"/>
      <c r="T559" s="3317"/>
      <c r="U559" s="3317"/>
      <c r="V559" s="3317"/>
      <c r="W559" s="3317"/>
      <c r="X559" s="3317"/>
      <c r="Y559" s="3317"/>
      <c r="Z559" s="3317"/>
      <c r="AA559" s="3317"/>
      <c r="AB559" s="3317"/>
      <c r="AC559" s="3307">
        <f t="shared" si="329"/>
        <v>0</v>
      </c>
      <c r="AD559" s="3327"/>
      <c r="AE559" s="3327"/>
      <c r="AF559" s="3327"/>
      <c r="AG559" s="3327"/>
      <c r="AH559" s="3327"/>
      <c r="AI559" s="3327"/>
      <c r="AJ559" s="3327"/>
      <c r="AK559" s="3327"/>
      <c r="AL559" s="3327"/>
      <c r="AM559" s="3327"/>
      <c r="AN559" s="3327"/>
      <c r="AO559" s="3327"/>
      <c r="AP559" s="3327"/>
      <c r="AQ559" s="3327"/>
      <c r="AR559" s="3327"/>
      <c r="AS559" s="3327"/>
      <c r="AT559" s="3337"/>
      <c r="AU559" s="3338"/>
      <c r="AV559" s="1410">
        <f t="shared" si="330"/>
        <v>0</v>
      </c>
      <c r="AW559" s="1410">
        <f t="shared" si="331"/>
        <v>0</v>
      </c>
      <c r="AX559" s="1410">
        <f t="shared" si="332"/>
        <v>0</v>
      </c>
      <c r="AY559" s="3352">
        <f t="shared" si="333"/>
        <v>0</v>
      </c>
      <c r="AZ559" s="3307">
        <f t="shared" si="334"/>
        <v>0</v>
      </c>
      <c r="BA559" s="3307">
        <f t="shared" si="335"/>
        <v>0</v>
      </c>
      <c r="BB559" s="3307">
        <f t="shared" si="336"/>
        <v>0</v>
      </c>
      <c r="BC559" s="3307">
        <f t="shared" si="337"/>
        <v>0</v>
      </c>
      <c r="BD559" s="3307">
        <f t="shared" si="338"/>
        <v>0</v>
      </c>
      <c r="BE559" s="3307">
        <f t="shared" si="339"/>
        <v>0</v>
      </c>
      <c r="BF559" s="3307">
        <f t="shared" si="340"/>
        <v>0</v>
      </c>
      <c r="BG559" s="3307">
        <f t="shared" si="341"/>
        <v>0</v>
      </c>
      <c r="BH559" s="3307">
        <f t="shared" si="342"/>
        <v>0</v>
      </c>
      <c r="BI559" s="3307">
        <f t="shared" si="343"/>
        <v>0</v>
      </c>
      <c r="BJ559" s="3307">
        <f t="shared" si="344"/>
        <v>0</v>
      </c>
      <c r="BK559" s="3307">
        <f t="shared" si="345"/>
        <v>0</v>
      </c>
      <c r="BL559" s="3307">
        <f t="shared" si="346"/>
        <v>0</v>
      </c>
      <c r="BM559" s="3307">
        <f t="shared" si="347"/>
        <v>0</v>
      </c>
      <c r="BN559" s="3307">
        <f t="shared" si="348"/>
        <v>0</v>
      </c>
      <c r="BO559" s="3307">
        <f t="shared" si="349"/>
        <v>0</v>
      </c>
      <c r="BP559" s="3307">
        <f t="shared" si="350"/>
        <v>0</v>
      </c>
      <c r="BQ559" s="3307">
        <f t="shared" si="351"/>
        <v>0</v>
      </c>
      <c r="BR559" s="3307">
        <f t="shared" si="352"/>
        <v>0</v>
      </c>
      <c r="BS559" s="3307">
        <f t="shared" si="353"/>
        <v>0</v>
      </c>
      <c r="BT559" s="3359">
        <f t="shared" si="354"/>
        <v>0</v>
      </c>
    </row>
    <row r="560" spans="1:72">
      <c r="A560" s="3304"/>
      <c r="B560" s="3305"/>
      <c r="C560" s="3305"/>
      <c r="D560" s="3306"/>
      <c r="E560" s="3307">
        <f t="shared" si="326"/>
        <v>0</v>
      </c>
      <c r="F560" s="3308"/>
      <c r="G560" s="3309">
        <f t="shared" si="327"/>
        <v>0</v>
      </c>
      <c r="H560" s="3310">
        <f t="shared" si="328"/>
        <v>0</v>
      </c>
      <c r="I560" s="3317"/>
      <c r="J560" s="3317"/>
      <c r="K560" s="3317"/>
      <c r="L560" s="3317"/>
      <c r="M560" s="3317"/>
      <c r="N560" s="3317"/>
      <c r="O560" s="3317"/>
      <c r="P560" s="3317"/>
      <c r="Q560" s="3317"/>
      <c r="R560" s="3317"/>
      <c r="S560" s="3317"/>
      <c r="T560" s="3317"/>
      <c r="U560" s="3317"/>
      <c r="V560" s="3317"/>
      <c r="W560" s="3317"/>
      <c r="X560" s="3317"/>
      <c r="Y560" s="3317"/>
      <c r="Z560" s="3317"/>
      <c r="AA560" s="3317"/>
      <c r="AB560" s="3317"/>
      <c r="AC560" s="3307">
        <f t="shared" si="329"/>
        <v>0</v>
      </c>
      <c r="AD560" s="3327"/>
      <c r="AE560" s="3327"/>
      <c r="AF560" s="3327"/>
      <c r="AG560" s="3327"/>
      <c r="AH560" s="3327"/>
      <c r="AI560" s="3327"/>
      <c r="AJ560" s="3327"/>
      <c r="AK560" s="3327"/>
      <c r="AL560" s="3327"/>
      <c r="AM560" s="3327"/>
      <c r="AN560" s="3327"/>
      <c r="AO560" s="3327"/>
      <c r="AP560" s="3327"/>
      <c r="AQ560" s="3327"/>
      <c r="AR560" s="3327"/>
      <c r="AS560" s="3327"/>
      <c r="AT560" s="3337"/>
      <c r="AU560" s="3338"/>
      <c r="AV560" s="1410">
        <f t="shared" si="330"/>
        <v>0</v>
      </c>
      <c r="AW560" s="1410">
        <f t="shared" si="331"/>
        <v>0</v>
      </c>
      <c r="AX560" s="1410">
        <f t="shared" si="332"/>
        <v>0</v>
      </c>
      <c r="AY560" s="3352">
        <f t="shared" si="333"/>
        <v>0</v>
      </c>
      <c r="AZ560" s="3307">
        <f t="shared" si="334"/>
        <v>0</v>
      </c>
      <c r="BA560" s="3307">
        <f t="shared" si="335"/>
        <v>0</v>
      </c>
      <c r="BB560" s="3307">
        <f t="shared" si="336"/>
        <v>0</v>
      </c>
      <c r="BC560" s="3307">
        <f t="shared" si="337"/>
        <v>0</v>
      </c>
      <c r="BD560" s="3307">
        <f t="shared" si="338"/>
        <v>0</v>
      </c>
      <c r="BE560" s="3307">
        <f t="shared" si="339"/>
        <v>0</v>
      </c>
      <c r="BF560" s="3307">
        <f t="shared" si="340"/>
        <v>0</v>
      </c>
      <c r="BG560" s="3307">
        <f t="shared" si="341"/>
        <v>0</v>
      </c>
      <c r="BH560" s="3307">
        <f t="shared" si="342"/>
        <v>0</v>
      </c>
      <c r="BI560" s="3307">
        <f t="shared" si="343"/>
        <v>0</v>
      </c>
      <c r="BJ560" s="3307">
        <f t="shared" si="344"/>
        <v>0</v>
      </c>
      <c r="BK560" s="3307">
        <f t="shared" si="345"/>
        <v>0</v>
      </c>
      <c r="BL560" s="3307">
        <f t="shared" si="346"/>
        <v>0</v>
      </c>
      <c r="BM560" s="3307">
        <f t="shared" si="347"/>
        <v>0</v>
      </c>
      <c r="BN560" s="3307">
        <f t="shared" si="348"/>
        <v>0</v>
      </c>
      <c r="BO560" s="3307">
        <f t="shared" si="349"/>
        <v>0</v>
      </c>
      <c r="BP560" s="3307">
        <f t="shared" si="350"/>
        <v>0</v>
      </c>
      <c r="BQ560" s="3307">
        <f t="shared" si="351"/>
        <v>0</v>
      </c>
      <c r="BR560" s="3307">
        <f t="shared" si="352"/>
        <v>0</v>
      </c>
      <c r="BS560" s="3307">
        <f t="shared" si="353"/>
        <v>0</v>
      </c>
      <c r="BT560" s="3359">
        <f t="shared" si="354"/>
        <v>0</v>
      </c>
    </row>
    <row r="561" spans="1:72">
      <c r="A561" s="3304"/>
      <c r="B561" s="3305"/>
      <c r="C561" s="3305"/>
      <c r="D561" s="3306"/>
      <c r="E561" s="3307">
        <f t="shared" si="326"/>
        <v>0</v>
      </c>
      <c r="F561" s="3308"/>
      <c r="G561" s="3309">
        <f t="shared" si="327"/>
        <v>0</v>
      </c>
      <c r="H561" s="3310">
        <f t="shared" si="328"/>
        <v>0</v>
      </c>
      <c r="I561" s="3317"/>
      <c r="J561" s="3317"/>
      <c r="K561" s="3317"/>
      <c r="L561" s="3317"/>
      <c r="M561" s="3317"/>
      <c r="N561" s="3317"/>
      <c r="O561" s="3317"/>
      <c r="P561" s="3317"/>
      <c r="Q561" s="3317"/>
      <c r="R561" s="3317"/>
      <c r="S561" s="3317"/>
      <c r="T561" s="3317"/>
      <c r="U561" s="3317"/>
      <c r="V561" s="3317"/>
      <c r="W561" s="3317"/>
      <c r="X561" s="3317"/>
      <c r="Y561" s="3317"/>
      <c r="Z561" s="3317"/>
      <c r="AA561" s="3317"/>
      <c r="AB561" s="3317"/>
      <c r="AC561" s="3307">
        <f t="shared" si="329"/>
        <v>0</v>
      </c>
      <c r="AD561" s="3327"/>
      <c r="AE561" s="3327"/>
      <c r="AF561" s="3327"/>
      <c r="AG561" s="3327"/>
      <c r="AH561" s="3327"/>
      <c r="AI561" s="3327"/>
      <c r="AJ561" s="3327"/>
      <c r="AK561" s="3327"/>
      <c r="AL561" s="3327"/>
      <c r="AM561" s="3327"/>
      <c r="AN561" s="3327"/>
      <c r="AO561" s="3327"/>
      <c r="AP561" s="3327"/>
      <c r="AQ561" s="3327"/>
      <c r="AR561" s="3327"/>
      <c r="AS561" s="3327"/>
      <c r="AT561" s="3337"/>
      <c r="AU561" s="3338"/>
      <c r="AV561" s="1410">
        <f t="shared" si="330"/>
        <v>0</v>
      </c>
      <c r="AW561" s="1410">
        <f t="shared" si="331"/>
        <v>0</v>
      </c>
      <c r="AX561" s="1410">
        <f t="shared" si="332"/>
        <v>0</v>
      </c>
      <c r="AY561" s="3352">
        <f t="shared" si="333"/>
        <v>0</v>
      </c>
      <c r="AZ561" s="3307">
        <f t="shared" si="334"/>
        <v>0</v>
      </c>
      <c r="BA561" s="3307">
        <f t="shared" si="335"/>
        <v>0</v>
      </c>
      <c r="BB561" s="3307">
        <f t="shared" si="336"/>
        <v>0</v>
      </c>
      <c r="BC561" s="3307">
        <f t="shared" si="337"/>
        <v>0</v>
      </c>
      <c r="BD561" s="3307">
        <f t="shared" si="338"/>
        <v>0</v>
      </c>
      <c r="BE561" s="3307">
        <f t="shared" si="339"/>
        <v>0</v>
      </c>
      <c r="BF561" s="3307">
        <f t="shared" si="340"/>
        <v>0</v>
      </c>
      <c r="BG561" s="3307">
        <f t="shared" si="341"/>
        <v>0</v>
      </c>
      <c r="BH561" s="3307">
        <f t="shared" si="342"/>
        <v>0</v>
      </c>
      <c r="BI561" s="3307">
        <f t="shared" si="343"/>
        <v>0</v>
      </c>
      <c r="BJ561" s="3307">
        <f t="shared" si="344"/>
        <v>0</v>
      </c>
      <c r="BK561" s="3307">
        <f t="shared" si="345"/>
        <v>0</v>
      </c>
      <c r="BL561" s="3307">
        <f t="shared" si="346"/>
        <v>0</v>
      </c>
      <c r="BM561" s="3307">
        <f t="shared" si="347"/>
        <v>0</v>
      </c>
      <c r="BN561" s="3307">
        <f t="shared" si="348"/>
        <v>0</v>
      </c>
      <c r="BO561" s="3307">
        <f t="shared" si="349"/>
        <v>0</v>
      </c>
      <c r="BP561" s="3307">
        <f t="shared" si="350"/>
        <v>0</v>
      </c>
      <c r="BQ561" s="3307">
        <f t="shared" si="351"/>
        <v>0</v>
      </c>
      <c r="BR561" s="3307">
        <f t="shared" si="352"/>
        <v>0</v>
      </c>
      <c r="BS561" s="3307">
        <f t="shared" si="353"/>
        <v>0</v>
      </c>
      <c r="BT561" s="3359">
        <f t="shared" si="354"/>
        <v>0</v>
      </c>
    </row>
    <row r="562" spans="1:72">
      <c r="A562" s="3304"/>
      <c r="B562" s="3305"/>
      <c r="C562" s="3305"/>
      <c r="D562" s="3306"/>
      <c r="E562" s="3307">
        <f t="shared" si="326"/>
        <v>0</v>
      </c>
      <c r="F562" s="3308"/>
      <c r="G562" s="3309">
        <f t="shared" si="327"/>
        <v>0</v>
      </c>
      <c r="H562" s="3310">
        <f t="shared" si="328"/>
        <v>0</v>
      </c>
      <c r="I562" s="3317"/>
      <c r="J562" s="3317"/>
      <c r="K562" s="3317"/>
      <c r="L562" s="3317"/>
      <c r="M562" s="3317"/>
      <c r="N562" s="3317"/>
      <c r="O562" s="3317"/>
      <c r="P562" s="3317"/>
      <c r="Q562" s="3317"/>
      <c r="R562" s="3317"/>
      <c r="S562" s="3317"/>
      <c r="T562" s="3317"/>
      <c r="U562" s="3317"/>
      <c r="V562" s="3317"/>
      <c r="W562" s="3317"/>
      <c r="X562" s="3317"/>
      <c r="Y562" s="3317"/>
      <c r="Z562" s="3317"/>
      <c r="AA562" s="3317"/>
      <c r="AB562" s="3317"/>
      <c r="AC562" s="3307">
        <f t="shared" si="329"/>
        <v>0</v>
      </c>
      <c r="AD562" s="3327"/>
      <c r="AE562" s="3327"/>
      <c r="AF562" s="3327"/>
      <c r="AG562" s="3327"/>
      <c r="AH562" s="3327"/>
      <c r="AI562" s="3327"/>
      <c r="AJ562" s="3327"/>
      <c r="AK562" s="3327"/>
      <c r="AL562" s="3327"/>
      <c r="AM562" s="3327"/>
      <c r="AN562" s="3327"/>
      <c r="AO562" s="3327"/>
      <c r="AP562" s="3327"/>
      <c r="AQ562" s="3327"/>
      <c r="AR562" s="3327"/>
      <c r="AS562" s="3327"/>
      <c r="AT562" s="3337"/>
      <c r="AU562" s="3338"/>
      <c r="AV562" s="1410">
        <f t="shared" si="330"/>
        <v>0</v>
      </c>
      <c r="AW562" s="1410">
        <f t="shared" si="331"/>
        <v>0</v>
      </c>
      <c r="AX562" s="1410">
        <f t="shared" si="332"/>
        <v>0</v>
      </c>
      <c r="AY562" s="3352">
        <f t="shared" si="333"/>
        <v>0</v>
      </c>
      <c r="AZ562" s="3307">
        <f t="shared" si="334"/>
        <v>0</v>
      </c>
      <c r="BA562" s="3307">
        <f t="shared" si="335"/>
        <v>0</v>
      </c>
      <c r="BB562" s="3307">
        <f t="shared" si="336"/>
        <v>0</v>
      </c>
      <c r="BC562" s="3307">
        <f t="shared" si="337"/>
        <v>0</v>
      </c>
      <c r="BD562" s="3307">
        <f t="shared" si="338"/>
        <v>0</v>
      </c>
      <c r="BE562" s="3307">
        <f t="shared" si="339"/>
        <v>0</v>
      </c>
      <c r="BF562" s="3307">
        <f t="shared" si="340"/>
        <v>0</v>
      </c>
      <c r="BG562" s="3307">
        <f t="shared" si="341"/>
        <v>0</v>
      </c>
      <c r="BH562" s="3307">
        <f t="shared" si="342"/>
        <v>0</v>
      </c>
      <c r="BI562" s="3307">
        <f t="shared" si="343"/>
        <v>0</v>
      </c>
      <c r="BJ562" s="3307">
        <f t="shared" si="344"/>
        <v>0</v>
      </c>
      <c r="BK562" s="3307">
        <f t="shared" si="345"/>
        <v>0</v>
      </c>
      <c r="BL562" s="3307">
        <f t="shared" si="346"/>
        <v>0</v>
      </c>
      <c r="BM562" s="3307">
        <f t="shared" si="347"/>
        <v>0</v>
      </c>
      <c r="BN562" s="3307">
        <f t="shared" si="348"/>
        <v>0</v>
      </c>
      <c r="BO562" s="3307">
        <f t="shared" si="349"/>
        <v>0</v>
      </c>
      <c r="BP562" s="3307">
        <f t="shared" si="350"/>
        <v>0</v>
      </c>
      <c r="BQ562" s="3307">
        <f t="shared" si="351"/>
        <v>0</v>
      </c>
      <c r="BR562" s="3307">
        <f t="shared" si="352"/>
        <v>0</v>
      </c>
      <c r="BS562" s="3307">
        <f t="shared" si="353"/>
        <v>0</v>
      </c>
      <c r="BT562" s="3359">
        <f t="shared" si="354"/>
        <v>0</v>
      </c>
    </row>
    <row r="563" spans="1:72">
      <c r="A563" s="3304"/>
      <c r="B563" s="3305"/>
      <c r="C563" s="3305"/>
      <c r="D563" s="3306"/>
      <c r="E563" s="3307">
        <f t="shared" si="326"/>
        <v>0</v>
      </c>
      <c r="F563" s="3308"/>
      <c r="G563" s="3309">
        <f t="shared" si="327"/>
        <v>0</v>
      </c>
      <c r="H563" s="3310">
        <f t="shared" si="328"/>
        <v>0</v>
      </c>
      <c r="I563" s="3317"/>
      <c r="J563" s="3317"/>
      <c r="K563" s="3317"/>
      <c r="L563" s="3317"/>
      <c r="M563" s="3317"/>
      <c r="N563" s="3317"/>
      <c r="O563" s="3317"/>
      <c r="P563" s="3317"/>
      <c r="Q563" s="3317"/>
      <c r="R563" s="3317"/>
      <c r="S563" s="3317"/>
      <c r="T563" s="3317"/>
      <c r="U563" s="3317"/>
      <c r="V563" s="3317"/>
      <c r="W563" s="3317"/>
      <c r="X563" s="3317"/>
      <c r="Y563" s="3317"/>
      <c r="Z563" s="3317"/>
      <c r="AA563" s="3317"/>
      <c r="AB563" s="3317"/>
      <c r="AC563" s="3307">
        <f t="shared" si="329"/>
        <v>0</v>
      </c>
      <c r="AD563" s="3327"/>
      <c r="AE563" s="3327"/>
      <c r="AF563" s="3327"/>
      <c r="AG563" s="3327"/>
      <c r="AH563" s="3327"/>
      <c r="AI563" s="3327"/>
      <c r="AJ563" s="3327"/>
      <c r="AK563" s="3327"/>
      <c r="AL563" s="3327"/>
      <c r="AM563" s="3327"/>
      <c r="AN563" s="3327"/>
      <c r="AO563" s="3327"/>
      <c r="AP563" s="3327"/>
      <c r="AQ563" s="3327"/>
      <c r="AR563" s="3327"/>
      <c r="AS563" s="3327"/>
      <c r="AT563" s="3337"/>
      <c r="AU563" s="3338"/>
      <c r="AV563" s="1410">
        <f t="shared" si="330"/>
        <v>0</v>
      </c>
      <c r="AW563" s="1410">
        <f t="shared" si="331"/>
        <v>0</v>
      </c>
      <c r="AX563" s="1410">
        <f t="shared" si="332"/>
        <v>0</v>
      </c>
      <c r="AY563" s="3352">
        <f t="shared" si="333"/>
        <v>0</v>
      </c>
      <c r="AZ563" s="3307">
        <f t="shared" si="334"/>
        <v>0</v>
      </c>
      <c r="BA563" s="3307">
        <f t="shared" si="335"/>
        <v>0</v>
      </c>
      <c r="BB563" s="3307">
        <f t="shared" si="336"/>
        <v>0</v>
      </c>
      <c r="BC563" s="3307">
        <f t="shared" si="337"/>
        <v>0</v>
      </c>
      <c r="BD563" s="3307">
        <f t="shared" si="338"/>
        <v>0</v>
      </c>
      <c r="BE563" s="3307">
        <f t="shared" si="339"/>
        <v>0</v>
      </c>
      <c r="BF563" s="3307">
        <f t="shared" si="340"/>
        <v>0</v>
      </c>
      <c r="BG563" s="3307">
        <f t="shared" si="341"/>
        <v>0</v>
      </c>
      <c r="BH563" s="3307">
        <f t="shared" si="342"/>
        <v>0</v>
      </c>
      <c r="BI563" s="3307">
        <f t="shared" si="343"/>
        <v>0</v>
      </c>
      <c r="BJ563" s="3307">
        <f t="shared" si="344"/>
        <v>0</v>
      </c>
      <c r="BK563" s="3307">
        <f t="shared" si="345"/>
        <v>0</v>
      </c>
      <c r="BL563" s="3307">
        <f t="shared" si="346"/>
        <v>0</v>
      </c>
      <c r="BM563" s="3307">
        <f t="shared" si="347"/>
        <v>0</v>
      </c>
      <c r="BN563" s="3307">
        <f t="shared" si="348"/>
        <v>0</v>
      </c>
      <c r="BO563" s="3307">
        <f t="shared" si="349"/>
        <v>0</v>
      </c>
      <c r="BP563" s="3307">
        <f t="shared" si="350"/>
        <v>0</v>
      </c>
      <c r="BQ563" s="3307">
        <f t="shared" si="351"/>
        <v>0</v>
      </c>
      <c r="BR563" s="3307">
        <f t="shared" si="352"/>
        <v>0</v>
      </c>
      <c r="BS563" s="3307">
        <f t="shared" si="353"/>
        <v>0</v>
      </c>
      <c r="BT563" s="3359">
        <f t="shared" si="354"/>
        <v>0</v>
      </c>
    </row>
    <row r="564" spans="1:72">
      <c r="A564" s="3304"/>
      <c r="B564" s="3305"/>
      <c r="C564" s="3305"/>
      <c r="D564" s="3306"/>
      <c r="E564" s="3307">
        <f t="shared" si="326"/>
        <v>0</v>
      </c>
      <c r="F564" s="3308"/>
      <c r="G564" s="3309">
        <f t="shared" si="327"/>
        <v>0</v>
      </c>
      <c r="H564" s="3310">
        <f t="shared" si="328"/>
        <v>0</v>
      </c>
      <c r="I564" s="3317"/>
      <c r="J564" s="3317"/>
      <c r="K564" s="3317"/>
      <c r="L564" s="3317"/>
      <c r="M564" s="3317"/>
      <c r="N564" s="3317"/>
      <c r="O564" s="3317"/>
      <c r="P564" s="3317"/>
      <c r="Q564" s="3317"/>
      <c r="R564" s="3317"/>
      <c r="S564" s="3317"/>
      <c r="T564" s="3317"/>
      <c r="U564" s="3317"/>
      <c r="V564" s="3317"/>
      <c r="W564" s="3317"/>
      <c r="X564" s="3317"/>
      <c r="Y564" s="3317"/>
      <c r="Z564" s="3317"/>
      <c r="AA564" s="3317"/>
      <c r="AB564" s="3317"/>
      <c r="AC564" s="3307">
        <f t="shared" si="329"/>
        <v>0</v>
      </c>
      <c r="AD564" s="3327"/>
      <c r="AE564" s="3327"/>
      <c r="AF564" s="3327"/>
      <c r="AG564" s="3327"/>
      <c r="AH564" s="3327"/>
      <c r="AI564" s="3327"/>
      <c r="AJ564" s="3327"/>
      <c r="AK564" s="3327"/>
      <c r="AL564" s="3327"/>
      <c r="AM564" s="3327"/>
      <c r="AN564" s="3327"/>
      <c r="AO564" s="3327"/>
      <c r="AP564" s="3327"/>
      <c r="AQ564" s="3327"/>
      <c r="AR564" s="3327"/>
      <c r="AS564" s="3327"/>
      <c r="AT564" s="3337"/>
      <c r="AU564" s="3338"/>
      <c r="AV564" s="1410">
        <f t="shared" si="330"/>
        <v>0</v>
      </c>
      <c r="AW564" s="1410">
        <f t="shared" si="331"/>
        <v>0</v>
      </c>
      <c r="AX564" s="1410">
        <f t="shared" si="332"/>
        <v>0</v>
      </c>
      <c r="AY564" s="3352">
        <f t="shared" si="333"/>
        <v>0</v>
      </c>
      <c r="AZ564" s="3307">
        <f t="shared" si="334"/>
        <v>0</v>
      </c>
      <c r="BA564" s="3307">
        <f t="shared" si="335"/>
        <v>0</v>
      </c>
      <c r="BB564" s="3307">
        <f t="shared" si="336"/>
        <v>0</v>
      </c>
      <c r="BC564" s="3307">
        <f t="shared" si="337"/>
        <v>0</v>
      </c>
      <c r="BD564" s="3307">
        <f t="shared" si="338"/>
        <v>0</v>
      </c>
      <c r="BE564" s="3307">
        <f t="shared" si="339"/>
        <v>0</v>
      </c>
      <c r="BF564" s="3307">
        <f t="shared" si="340"/>
        <v>0</v>
      </c>
      <c r="BG564" s="3307">
        <f t="shared" si="341"/>
        <v>0</v>
      </c>
      <c r="BH564" s="3307">
        <f t="shared" si="342"/>
        <v>0</v>
      </c>
      <c r="BI564" s="3307">
        <f t="shared" si="343"/>
        <v>0</v>
      </c>
      <c r="BJ564" s="3307">
        <f t="shared" si="344"/>
        <v>0</v>
      </c>
      <c r="BK564" s="3307">
        <f t="shared" si="345"/>
        <v>0</v>
      </c>
      <c r="BL564" s="3307">
        <f t="shared" si="346"/>
        <v>0</v>
      </c>
      <c r="BM564" s="3307">
        <f t="shared" si="347"/>
        <v>0</v>
      </c>
      <c r="BN564" s="3307">
        <f t="shared" si="348"/>
        <v>0</v>
      </c>
      <c r="BO564" s="3307">
        <f t="shared" si="349"/>
        <v>0</v>
      </c>
      <c r="BP564" s="3307">
        <f t="shared" si="350"/>
        <v>0</v>
      </c>
      <c r="BQ564" s="3307">
        <f t="shared" si="351"/>
        <v>0</v>
      </c>
      <c r="BR564" s="3307">
        <f t="shared" si="352"/>
        <v>0</v>
      </c>
      <c r="BS564" s="3307">
        <f t="shared" si="353"/>
        <v>0</v>
      </c>
      <c r="BT564" s="3359">
        <f t="shared" si="354"/>
        <v>0</v>
      </c>
    </row>
    <row r="565" spans="1:72">
      <c r="A565" s="3304"/>
      <c r="B565" s="3305"/>
      <c r="C565" s="3305"/>
      <c r="D565" s="3306"/>
      <c r="E565" s="3307">
        <f t="shared" si="326"/>
        <v>0</v>
      </c>
      <c r="F565" s="3308"/>
      <c r="G565" s="3309">
        <f t="shared" si="327"/>
        <v>0</v>
      </c>
      <c r="H565" s="3310">
        <f t="shared" si="328"/>
        <v>0</v>
      </c>
      <c r="I565" s="3317"/>
      <c r="J565" s="3317"/>
      <c r="K565" s="3317"/>
      <c r="L565" s="3317"/>
      <c r="M565" s="3317"/>
      <c r="N565" s="3317"/>
      <c r="O565" s="3317"/>
      <c r="P565" s="3317"/>
      <c r="Q565" s="3317"/>
      <c r="R565" s="3317"/>
      <c r="S565" s="3317"/>
      <c r="T565" s="3317"/>
      <c r="U565" s="3317"/>
      <c r="V565" s="3317"/>
      <c r="W565" s="3317"/>
      <c r="X565" s="3317"/>
      <c r="Y565" s="3317"/>
      <c r="Z565" s="3317"/>
      <c r="AA565" s="3317"/>
      <c r="AB565" s="3317"/>
      <c r="AC565" s="3307">
        <f t="shared" si="329"/>
        <v>0</v>
      </c>
      <c r="AD565" s="3327"/>
      <c r="AE565" s="3327"/>
      <c r="AF565" s="3327"/>
      <c r="AG565" s="3327"/>
      <c r="AH565" s="3327"/>
      <c r="AI565" s="3327"/>
      <c r="AJ565" s="3327"/>
      <c r="AK565" s="3327"/>
      <c r="AL565" s="3327"/>
      <c r="AM565" s="3327"/>
      <c r="AN565" s="3327"/>
      <c r="AO565" s="3327"/>
      <c r="AP565" s="3327"/>
      <c r="AQ565" s="3327"/>
      <c r="AR565" s="3327"/>
      <c r="AS565" s="3327"/>
      <c r="AT565" s="3337"/>
      <c r="AU565" s="3338"/>
      <c r="AV565" s="1410">
        <f t="shared" si="330"/>
        <v>0</v>
      </c>
      <c r="AW565" s="1410">
        <f t="shared" si="331"/>
        <v>0</v>
      </c>
      <c r="AX565" s="1410">
        <f t="shared" si="332"/>
        <v>0</v>
      </c>
      <c r="AY565" s="3352">
        <f t="shared" si="333"/>
        <v>0</v>
      </c>
      <c r="AZ565" s="3307">
        <f t="shared" si="334"/>
        <v>0</v>
      </c>
      <c r="BA565" s="3307">
        <f t="shared" si="335"/>
        <v>0</v>
      </c>
      <c r="BB565" s="3307">
        <f t="shared" si="336"/>
        <v>0</v>
      </c>
      <c r="BC565" s="3307">
        <f t="shared" si="337"/>
        <v>0</v>
      </c>
      <c r="BD565" s="3307">
        <f t="shared" si="338"/>
        <v>0</v>
      </c>
      <c r="BE565" s="3307">
        <f t="shared" si="339"/>
        <v>0</v>
      </c>
      <c r="BF565" s="3307">
        <f t="shared" si="340"/>
        <v>0</v>
      </c>
      <c r="BG565" s="3307">
        <f t="shared" si="341"/>
        <v>0</v>
      </c>
      <c r="BH565" s="3307">
        <f t="shared" si="342"/>
        <v>0</v>
      </c>
      <c r="BI565" s="3307">
        <f t="shared" si="343"/>
        <v>0</v>
      </c>
      <c r="BJ565" s="3307">
        <f t="shared" si="344"/>
        <v>0</v>
      </c>
      <c r="BK565" s="3307">
        <f t="shared" si="345"/>
        <v>0</v>
      </c>
      <c r="BL565" s="3307">
        <f t="shared" si="346"/>
        <v>0</v>
      </c>
      <c r="BM565" s="3307">
        <f t="shared" si="347"/>
        <v>0</v>
      </c>
      <c r="BN565" s="3307">
        <f t="shared" si="348"/>
        <v>0</v>
      </c>
      <c r="BO565" s="3307">
        <f t="shared" si="349"/>
        <v>0</v>
      </c>
      <c r="BP565" s="3307">
        <f t="shared" si="350"/>
        <v>0</v>
      </c>
      <c r="BQ565" s="3307">
        <f t="shared" si="351"/>
        <v>0</v>
      </c>
      <c r="BR565" s="3307">
        <f t="shared" si="352"/>
        <v>0</v>
      </c>
      <c r="BS565" s="3307">
        <f t="shared" si="353"/>
        <v>0</v>
      </c>
      <c r="BT565" s="3359">
        <f t="shared" si="354"/>
        <v>0</v>
      </c>
    </row>
    <row r="566" spans="1:72">
      <c r="A566" s="3304"/>
      <c r="B566" s="3305"/>
      <c r="C566" s="3305"/>
      <c r="D566" s="3306"/>
      <c r="E566" s="3307">
        <f t="shared" si="326"/>
        <v>0</v>
      </c>
      <c r="F566" s="3308"/>
      <c r="G566" s="3309">
        <f t="shared" si="327"/>
        <v>0</v>
      </c>
      <c r="H566" s="3310">
        <f t="shared" si="328"/>
        <v>0</v>
      </c>
      <c r="I566" s="3317"/>
      <c r="J566" s="3317"/>
      <c r="K566" s="3317"/>
      <c r="L566" s="3317"/>
      <c r="M566" s="3317"/>
      <c r="N566" s="3317"/>
      <c r="O566" s="3317"/>
      <c r="P566" s="3317"/>
      <c r="Q566" s="3317"/>
      <c r="R566" s="3317"/>
      <c r="S566" s="3317"/>
      <c r="T566" s="3317"/>
      <c r="U566" s="3317"/>
      <c r="V566" s="3317"/>
      <c r="W566" s="3317"/>
      <c r="X566" s="3317"/>
      <c r="Y566" s="3317"/>
      <c r="Z566" s="3317"/>
      <c r="AA566" s="3317"/>
      <c r="AB566" s="3317"/>
      <c r="AC566" s="3307">
        <f t="shared" si="329"/>
        <v>0</v>
      </c>
      <c r="AD566" s="3327"/>
      <c r="AE566" s="3327"/>
      <c r="AF566" s="3327"/>
      <c r="AG566" s="3327"/>
      <c r="AH566" s="3327"/>
      <c r="AI566" s="3327"/>
      <c r="AJ566" s="3327"/>
      <c r="AK566" s="3327"/>
      <c r="AL566" s="3327"/>
      <c r="AM566" s="3327"/>
      <c r="AN566" s="3327"/>
      <c r="AO566" s="3327"/>
      <c r="AP566" s="3327"/>
      <c r="AQ566" s="3327"/>
      <c r="AR566" s="3327"/>
      <c r="AS566" s="3327"/>
      <c r="AT566" s="3337"/>
      <c r="AU566" s="3338"/>
      <c r="AV566" s="1410">
        <f t="shared" si="330"/>
        <v>0</v>
      </c>
      <c r="AW566" s="1410">
        <f t="shared" si="331"/>
        <v>0</v>
      </c>
      <c r="AX566" s="1410">
        <f t="shared" si="332"/>
        <v>0</v>
      </c>
      <c r="AY566" s="3352">
        <f t="shared" si="333"/>
        <v>0</v>
      </c>
      <c r="AZ566" s="3307">
        <f t="shared" si="334"/>
        <v>0</v>
      </c>
      <c r="BA566" s="3307">
        <f t="shared" si="335"/>
        <v>0</v>
      </c>
      <c r="BB566" s="3307">
        <f t="shared" si="336"/>
        <v>0</v>
      </c>
      <c r="BC566" s="3307">
        <f t="shared" si="337"/>
        <v>0</v>
      </c>
      <c r="BD566" s="3307">
        <f t="shared" si="338"/>
        <v>0</v>
      </c>
      <c r="BE566" s="3307">
        <f t="shared" si="339"/>
        <v>0</v>
      </c>
      <c r="BF566" s="3307">
        <f t="shared" si="340"/>
        <v>0</v>
      </c>
      <c r="BG566" s="3307">
        <f t="shared" si="341"/>
        <v>0</v>
      </c>
      <c r="BH566" s="3307">
        <f t="shared" si="342"/>
        <v>0</v>
      </c>
      <c r="BI566" s="3307">
        <f t="shared" si="343"/>
        <v>0</v>
      </c>
      <c r="BJ566" s="3307">
        <f t="shared" si="344"/>
        <v>0</v>
      </c>
      <c r="BK566" s="3307">
        <f t="shared" si="345"/>
        <v>0</v>
      </c>
      <c r="BL566" s="3307">
        <f t="shared" si="346"/>
        <v>0</v>
      </c>
      <c r="BM566" s="3307">
        <f t="shared" si="347"/>
        <v>0</v>
      </c>
      <c r="BN566" s="3307">
        <f t="shared" si="348"/>
        <v>0</v>
      </c>
      <c r="BO566" s="3307">
        <f t="shared" si="349"/>
        <v>0</v>
      </c>
      <c r="BP566" s="3307">
        <f t="shared" si="350"/>
        <v>0</v>
      </c>
      <c r="BQ566" s="3307">
        <f t="shared" si="351"/>
        <v>0</v>
      </c>
      <c r="BR566" s="3307">
        <f t="shared" si="352"/>
        <v>0</v>
      </c>
      <c r="BS566" s="3307">
        <f t="shared" si="353"/>
        <v>0</v>
      </c>
      <c r="BT566" s="3359">
        <f t="shared" si="354"/>
        <v>0</v>
      </c>
    </row>
    <row r="567" spans="1:72">
      <c r="A567" s="3304"/>
      <c r="B567" s="3305"/>
      <c r="C567" s="3305"/>
      <c r="D567" s="3306"/>
      <c r="E567" s="3307">
        <f t="shared" si="326"/>
        <v>0</v>
      </c>
      <c r="F567" s="3308"/>
      <c r="G567" s="3309">
        <f t="shared" si="327"/>
        <v>0</v>
      </c>
      <c r="H567" s="3310">
        <f t="shared" si="328"/>
        <v>0</v>
      </c>
      <c r="I567" s="3317"/>
      <c r="J567" s="3317"/>
      <c r="K567" s="3317"/>
      <c r="L567" s="3317"/>
      <c r="M567" s="3317"/>
      <c r="N567" s="3317"/>
      <c r="O567" s="3317"/>
      <c r="P567" s="3317"/>
      <c r="Q567" s="3317"/>
      <c r="R567" s="3317"/>
      <c r="S567" s="3317"/>
      <c r="T567" s="3317"/>
      <c r="U567" s="3317"/>
      <c r="V567" s="3317"/>
      <c r="W567" s="3317"/>
      <c r="X567" s="3317"/>
      <c r="Y567" s="3317"/>
      <c r="Z567" s="3317"/>
      <c r="AA567" s="3317"/>
      <c r="AB567" s="3317"/>
      <c r="AC567" s="3307">
        <f t="shared" si="329"/>
        <v>0</v>
      </c>
      <c r="AD567" s="3327"/>
      <c r="AE567" s="3327"/>
      <c r="AF567" s="3327"/>
      <c r="AG567" s="3327"/>
      <c r="AH567" s="3327"/>
      <c r="AI567" s="3327"/>
      <c r="AJ567" s="3327"/>
      <c r="AK567" s="3327"/>
      <c r="AL567" s="3327"/>
      <c r="AM567" s="3327"/>
      <c r="AN567" s="3327"/>
      <c r="AO567" s="3327"/>
      <c r="AP567" s="3327"/>
      <c r="AQ567" s="3327"/>
      <c r="AR567" s="3327"/>
      <c r="AS567" s="3327"/>
      <c r="AT567" s="3337"/>
      <c r="AU567" s="3338"/>
      <c r="AV567" s="1410">
        <f t="shared" si="330"/>
        <v>0</v>
      </c>
      <c r="AW567" s="1410">
        <f t="shared" si="331"/>
        <v>0</v>
      </c>
      <c r="AX567" s="1410">
        <f t="shared" si="332"/>
        <v>0</v>
      </c>
      <c r="AY567" s="3352">
        <f t="shared" si="333"/>
        <v>0</v>
      </c>
      <c r="AZ567" s="3307">
        <f t="shared" si="334"/>
        <v>0</v>
      </c>
      <c r="BA567" s="3307">
        <f t="shared" si="335"/>
        <v>0</v>
      </c>
      <c r="BB567" s="3307">
        <f t="shared" si="336"/>
        <v>0</v>
      </c>
      <c r="BC567" s="3307">
        <f t="shared" si="337"/>
        <v>0</v>
      </c>
      <c r="BD567" s="3307">
        <f t="shared" si="338"/>
        <v>0</v>
      </c>
      <c r="BE567" s="3307">
        <f t="shared" si="339"/>
        <v>0</v>
      </c>
      <c r="BF567" s="3307">
        <f t="shared" si="340"/>
        <v>0</v>
      </c>
      <c r="BG567" s="3307">
        <f t="shared" si="341"/>
        <v>0</v>
      </c>
      <c r="BH567" s="3307">
        <f t="shared" si="342"/>
        <v>0</v>
      </c>
      <c r="BI567" s="3307">
        <f t="shared" si="343"/>
        <v>0</v>
      </c>
      <c r="BJ567" s="3307">
        <f t="shared" si="344"/>
        <v>0</v>
      </c>
      <c r="BK567" s="3307">
        <f t="shared" si="345"/>
        <v>0</v>
      </c>
      <c r="BL567" s="3307">
        <f t="shared" si="346"/>
        <v>0</v>
      </c>
      <c r="BM567" s="3307">
        <f t="shared" si="347"/>
        <v>0</v>
      </c>
      <c r="BN567" s="3307">
        <f t="shared" si="348"/>
        <v>0</v>
      </c>
      <c r="BO567" s="3307">
        <f t="shared" si="349"/>
        <v>0</v>
      </c>
      <c r="BP567" s="3307">
        <f t="shared" si="350"/>
        <v>0</v>
      </c>
      <c r="BQ567" s="3307">
        <f t="shared" si="351"/>
        <v>0</v>
      </c>
      <c r="BR567" s="3307">
        <f t="shared" si="352"/>
        <v>0</v>
      </c>
      <c r="BS567" s="3307">
        <f t="shared" si="353"/>
        <v>0</v>
      </c>
      <c r="BT567" s="3359">
        <f t="shared" si="354"/>
        <v>0</v>
      </c>
    </row>
    <row r="568" spans="1:72">
      <c r="A568" s="3304"/>
      <c r="B568" s="3305"/>
      <c r="C568" s="3305"/>
      <c r="D568" s="3306"/>
      <c r="E568" s="3307">
        <f t="shared" si="326"/>
        <v>0</v>
      </c>
      <c r="F568" s="3308"/>
      <c r="G568" s="3309">
        <f t="shared" si="327"/>
        <v>0</v>
      </c>
      <c r="H568" s="3310">
        <f t="shared" si="328"/>
        <v>0</v>
      </c>
      <c r="I568" s="3317"/>
      <c r="J568" s="3317"/>
      <c r="K568" s="3317"/>
      <c r="L568" s="3317"/>
      <c r="M568" s="3317"/>
      <c r="N568" s="3317"/>
      <c r="O568" s="3317"/>
      <c r="P568" s="3317"/>
      <c r="Q568" s="3317"/>
      <c r="R568" s="3317"/>
      <c r="S568" s="3317"/>
      <c r="T568" s="3317"/>
      <c r="U568" s="3317"/>
      <c r="V568" s="3317"/>
      <c r="W568" s="3317"/>
      <c r="X568" s="3317"/>
      <c r="Y568" s="3317"/>
      <c r="Z568" s="3317"/>
      <c r="AA568" s="3317"/>
      <c r="AB568" s="3317"/>
      <c r="AC568" s="3307">
        <f t="shared" si="329"/>
        <v>0</v>
      </c>
      <c r="AD568" s="3327"/>
      <c r="AE568" s="3327"/>
      <c r="AF568" s="3327"/>
      <c r="AG568" s="3327"/>
      <c r="AH568" s="3327"/>
      <c r="AI568" s="3327"/>
      <c r="AJ568" s="3327"/>
      <c r="AK568" s="3327"/>
      <c r="AL568" s="3327"/>
      <c r="AM568" s="3327"/>
      <c r="AN568" s="3327"/>
      <c r="AO568" s="3327"/>
      <c r="AP568" s="3327"/>
      <c r="AQ568" s="3327"/>
      <c r="AR568" s="3327"/>
      <c r="AS568" s="3327"/>
      <c r="AT568" s="3337"/>
      <c r="AU568" s="3338"/>
      <c r="AV568" s="1410">
        <f t="shared" si="330"/>
        <v>0</v>
      </c>
      <c r="AW568" s="1410">
        <f t="shared" si="331"/>
        <v>0</v>
      </c>
      <c r="AX568" s="1410">
        <f t="shared" si="332"/>
        <v>0</v>
      </c>
      <c r="AY568" s="3352">
        <f t="shared" si="333"/>
        <v>0</v>
      </c>
      <c r="AZ568" s="3307">
        <f t="shared" si="334"/>
        <v>0</v>
      </c>
      <c r="BA568" s="3307">
        <f t="shared" si="335"/>
        <v>0</v>
      </c>
      <c r="BB568" s="3307">
        <f t="shared" si="336"/>
        <v>0</v>
      </c>
      <c r="BC568" s="3307">
        <f t="shared" si="337"/>
        <v>0</v>
      </c>
      <c r="BD568" s="3307">
        <f t="shared" si="338"/>
        <v>0</v>
      </c>
      <c r="BE568" s="3307">
        <f t="shared" si="339"/>
        <v>0</v>
      </c>
      <c r="BF568" s="3307">
        <f t="shared" si="340"/>
        <v>0</v>
      </c>
      <c r="BG568" s="3307">
        <f t="shared" si="341"/>
        <v>0</v>
      </c>
      <c r="BH568" s="3307">
        <f t="shared" si="342"/>
        <v>0</v>
      </c>
      <c r="BI568" s="3307">
        <f t="shared" si="343"/>
        <v>0</v>
      </c>
      <c r="BJ568" s="3307">
        <f t="shared" si="344"/>
        <v>0</v>
      </c>
      <c r="BK568" s="3307">
        <f t="shared" si="345"/>
        <v>0</v>
      </c>
      <c r="BL568" s="3307">
        <f t="shared" si="346"/>
        <v>0</v>
      </c>
      <c r="BM568" s="3307">
        <f t="shared" si="347"/>
        <v>0</v>
      </c>
      <c r="BN568" s="3307">
        <f t="shared" si="348"/>
        <v>0</v>
      </c>
      <c r="BO568" s="3307">
        <f t="shared" si="349"/>
        <v>0</v>
      </c>
      <c r="BP568" s="3307">
        <f t="shared" si="350"/>
        <v>0</v>
      </c>
      <c r="BQ568" s="3307">
        <f t="shared" si="351"/>
        <v>0</v>
      </c>
      <c r="BR568" s="3307">
        <f t="shared" si="352"/>
        <v>0</v>
      </c>
      <c r="BS568" s="3307">
        <f t="shared" si="353"/>
        <v>0</v>
      </c>
      <c r="BT568" s="3359">
        <f t="shared" si="354"/>
        <v>0</v>
      </c>
    </row>
    <row r="569" spans="1:72">
      <c r="A569" s="3304"/>
      <c r="B569" s="3305"/>
      <c r="C569" s="3305"/>
      <c r="D569" s="3306"/>
      <c r="E569" s="3307">
        <f t="shared" si="326"/>
        <v>0</v>
      </c>
      <c r="F569" s="3308"/>
      <c r="G569" s="3309">
        <f t="shared" si="327"/>
        <v>0</v>
      </c>
      <c r="H569" s="3310">
        <f t="shared" si="328"/>
        <v>0</v>
      </c>
      <c r="I569" s="3317"/>
      <c r="J569" s="3317"/>
      <c r="K569" s="3317"/>
      <c r="L569" s="3317"/>
      <c r="M569" s="3317"/>
      <c r="N569" s="3317"/>
      <c r="O569" s="3317"/>
      <c r="P569" s="3317"/>
      <c r="Q569" s="3317"/>
      <c r="R569" s="3317"/>
      <c r="S569" s="3317"/>
      <c r="T569" s="3317"/>
      <c r="U569" s="3317"/>
      <c r="V569" s="3317"/>
      <c r="W569" s="3317"/>
      <c r="X569" s="3317"/>
      <c r="Y569" s="3317"/>
      <c r="Z569" s="3317"/>
      <c r="AA569" s="3317"/>
      <c r="AB569" s="3317"/>
      <c r="AC569" s="3307">
        <f t="shared" si="329"/>
        <v>0</v>
      </c>
      <c r="AD569" s="3327"/>
      <c r="AE569" s="3327"/>
      <c r="AF569" s="3327"/>
      <c r="AG569" s="3327"/>
      <c r="AH569" s="3327"/>
      <c r="AI569" s="3327"/>
      <c r="AJ569" s="3327"/>
      <c r="AK569" s="3327"/>
      <c r="AL569" s="3327"/>
      <c r="AM569" s="3327"/>
      <c r="AN569" s="3327"/>
      <c r="AO569" s="3327"/>
      <c r="AP569" s="3327"/>
      <c r="AQ569" s="3327"/>
      <c r="AR569" s="3327"/>
      <c r="AS569" s="3327"/>
      <c r="AT569" s="3337"/>
      <c r="AU569" s="3338"/>
      <c r="AV569" s="1410">
        <f t="shared" si="330"/>
        <v>0</v>
      </c>
      <c r="AW569" s="1410">
        <f t="shared" si="331"/>
        <v>0</v>
      </c>
      <c r="AX569" s="1410">
        <f t="shared" si="332"/>
        <v>0</v>
      </c>
      <c r="AY569" s="3352">
        <f t="shared" si="333"/>
        <v>0</v>
      </c>
      <c r="AZ569" s="3307">
        <f t="shared" si="334"/>
        <v>0</v>
      </c>
      <c r="BA569" s="3307">
        <f t="shared" si="335"/>
        <v>0</v>
      </c>
      <c r="BB569" s="3307">
        <f t="shared" si="336"/>
        <v>0</v>
      </c>
      <c r="BC569" s="3307">
        <f t="shared" si="337"/>
        <v>0</v>
      </c>
      <c r="BD569" s="3307">
        <f t="shared" si="338"/>
        <v>0</v>
      </c>
      <c r="BE569" s="3307">
        <f t="shared" si="339"/>
        <v>0</v>
      </c>
      <c r="BF569" s="3307">
        <f t="shared" si="340"/>
        <v>0</v>
      </c>
      <c r="BG569" s="3307">
        <f t="shared" si="341"/>
        <v>0</v>
      </c>
      <c r="BH569" s="3307">
        <f t="shared" si="342"/>
        <v>0</v>
      </c>
      <c r="BI569" s="3307">
        <f t="shared" si="343"/>
        <v>0</v>
      </c>
      <c r="BJ569" s="3307">
        <f t="shared" si="344"/>
        <v>0</v>
      </c>
      <c r="BK569" s="3307">
        <f t="shared" si="345"/>
        <v>0</v>
      </c>
      <c r="BL569" s="3307">
        <f t="shared" si="346"/>
        <v>0</v>
      </c>
      <c r="BM569" s="3307">
        <f t="shared" si="347"/>
        <v>0</v>
      </c>
      <c r="BN569" s="3307">
        <f t="shared" si="348"/>
        <v>0</v>
      </c>
      <c r="BO569" s="3307">
        <f t="shared" si="349"/>
        <v>0</v>
      </c>
      <c r="BP569" s="3307">
        <f t="shared" si="350"/>
        <v>0</v>
      </c>
      <c r="BQ569" s="3307">
        <f t="shared" si="351"/>
        <v>0</v>
      </c>
      <c r="BR569" s="3307">
        <f t="shared" si="352"/>
        <v>0</v>
      </c>
      <c r="BS569" s="3307">
        <f t="shared" si="353"/>
        <v>0</v>
      </c>
      <c r="BT569" s="3359">
        <f t="shared" si="354"/>
        <v>0</v>
      </c>
    </row>
    <row r="570" spans="1:72">
      <c r="A570" s="3304"/>
      <c r="B570" s="3305"/>
      <c r="C570" s="3305"/>
      <c r="D570" s="3306"/>
      <c r="E570" s="3307">
        <f t="shared" si="326"/>
        <v>0</v>
      </c>
      <c r="F570" s="3308"/>
      <c r="G570" s="3309">
        <f t="shared" si="327"/>
        <v>0</v>
      </c>
      <c r="H570" s="3310">
        <f t="shared" si="328"/>
        <v>0</v>
      </c>
      <c r="I570" s="3317"/>
      <c r="J570" s="3317"/>
      <c r="K570" s="3317"/>
      <c r="L570" s="3317"/>
      <c r="M570" s="3317"/>
      <c r="N570" s="3317"/>
      <c r="O570" s="3317"/>
      <c r="P570" s="3317"/>
      <c r="Q570" s="3317"/>
      <c r="R570" s="3317"/>
      <c r="S570" s="3317"/>
      <c r="T570" s="3317"/>
      <c r="U570" s="3317"/>
      <c r="V570" s="3317"/>
      <c r="W570" s="3317"/>
      <c r="X570" s="3317"/>
      <c r="Y570" s="3317"/>
      <c r="Z570" s="3317"/>
      <c r="AA570" s="3317"/>
      <c r="AB570" s="3317"/>
      <c r="AC570" s="3307">
        <f t="shared" si="329"/>
        <v>0</v>
      </c>
      <c r="AD570" s="3327"/>
      <c r="AE570" s="3327"/>
      <c r="AF570" s="3327"/>
      <c r="AG570" s="3327"/>
      <c r="AH570" s="3327"/>
      <c r="AI570" s="3327"/>
      <c r="AJ570" s="3327"/>
      <c r="AK570" s="3327"/>
      <c r="AL570" s="3327"/>
      <c r="AM570" s="3327"/>
      <c r="AN570" s="3327"/>
      <c r="AO570" s="3327"/>
      <c r="AP570" s="3327"/>
      <c r="AQ570" s="3327"/>
      <c r="AR570" s="3327"/>
      <c r="AS570" s="3327"/>
      <c r="AT570" s="3337"/>
      <c r="AU570" s="3338"/>
      <c r="AV570" s="1410">
        <f t="shared" si="330"/>
        <v>0</v>
      </c>
      <c r="AW570" s="1410">
        <f t="shared" si="331"/>
        <v>0</v>
      </c>
      <c r="AX570" s="1410">
        <f t="shared" si="332"/>
        <v>0</v>
      </c>
      <c r="AY570" s="3352">
        <f t="shared" si="333"/>
        <v>0</v>
      </c>
      <c r="AZ570" s="3307">
        <f t="shared" si="334"/>
        <v>0</v>
      </c>
      <c r="BA570" s="3307">
        <f t="shared" si="335"/>
        <v>0</v>
      </c>
      <c r="BB570" s="3307">
        <f t="shared" si="336"/>
        <v>0</v>
      </c>
      <c r="BC570" s="3307">
        <f t="shared" si="337"/>
        <v>0</v>
      </c>
      <c r="BD570" s="3307">
        <f t="shared" si="338"/>
        <v>0</v>
      </c>
      <c r="BE570" s="3307">
        <f t="shared" si="339"/>
        <v>0</v>
      </c>
      <c r="BF570" s="3307">
        <f t="shared" si="340"/>
        <v>0</v>
      </c>
      <c r="BG570" s="3307">
        <f t="shared" si="341"/>
        <v>0</v>
      </c>
      <c r="BH570" s="3307">
        <f t="shared" si="342"/>
        <v>0</v>
      </c>
      <c r="BI570" s="3307">
        <f t="shared" si="343"/>
        <v>0</v>
      </c>
      <c r="BJ570" s="3307">
        <f t="shared" si="344"/>
        <v>0</v>
      </c>
      <c r="BK570" s="3307">
        <f t="shared" si="345"/>
        <v>0</v>
      </c>
      <c r="BL570" s="3307">
        <f t="shared" si="346"/>
        <v>0</v>
      </c>
      <c r="BM570" s="3307">
        <f t="shared" si="347"/>
        <v>0</v>
      </c>
      <c r="BN570" s="3307">
        <f t="shared" si="348"/>
        <v>0</v>
      </c>
      <c r="BO570" s="3307">
        <f t="shared" si="349"/>
        <v>0</v>
      </c>
      <c r="BP570" s="3307">
        <f t="shared" si="350"/>
        <v>0</v>
      </c>
      <c r="BQ570" s="3307">
        <f t="shared" si="351"/>
        <v>0</v>
      </c>
      <c r="BR570" s="3307">
        <f t="shared" si="352"/>
        <v>0</v>
      </c>
      <c r="BS570" s="3307">
        <f t="shared" si="353"/>
        <v>0</v>
      </c>
      <c r="BT570" s="3359">
        <f t="shared" si="354"/>
        <v>0</v>
      </c>
    </row>
    <row r="571" spans="1:72">
      <c r="A571" s="3304"/>
      <c r="B571" s="3305"/>
      <c r="C571" s="3305"/>
      <c r="D571" s="3306"/>
      <c r="E571" s="3307">
        <f t="shared" si="326"/>
        <v>0</v>
      </c>
      <c r="F571" s="3308"/>
      <c r="G571" s="3309">
        <f t="shared" si="327"/>
        <v>0</v>
      </c>
      <c r="H571" s="3310">
        <f t="shared" si="328"/>
        <v>0</v>
      </c>
      <c r="I571" s="3317"/>
      <c r="J571" s="3317"/>
      <c r="K571" s="3317"/>
      <c r="L571" s="3317"/>
      <c r="M571" s="3317"/>
      <c r="N571" s="3317"/>
      <c r="O571" s="3317"/>
      <c r="P571" s="3317"/>
      <c r="Q571" s="3317"/>
      <c r="R571" s="3317"/>
      <c r="S571" s="3317"/>
      <c r="T571" s="3317"/>
      <c r="U571" s="3317"/>
      <c r="V571" s="3317"/>
      <c r="W571" s="3317"/>
      <c r="X571" s="3317"/>
      <c r="Y571" s="3317"/>
      <c r="Z571" s="3317"/>
      <c r="AA571" s="3317"/>
      <c r="AB571" s="3317"/>
      <c r="AC571" s="3307">
        <f t="shared" si="329"/>
        <v>0</v>
      </c>
      <c r="AD571" s="3327"/>
      <c r="AE571" s="3327"/>
      <c r="AF571" s="3327"/>
      <c r="AG571" s="3327"/>
      <c r="AH571" s="3327"/>
      <c r="AI571" s="3327"/>
      <c r="AJ571" s="3327"/>
      <c r="AK571" s="3327"/>
      <c r="AL571" s="3327"/>
      <c r="AM571" s="3327"/>
      <c r="AN571" s="3327"/>
      <c r="AO571" s="3327"/>
      <c r="AP571" s="3327"/>
      <c r="AQ571" s="3327"/>
      <c r="AR571" s="3327"/>
      <c r="AS571" s="3327"/>
      <c r="AT571" s="3337"/>
      <c r="AU571" s="3338"/>
      <c r="AV571" s="1410">
        <f t="shared" si="330"/>
        <v>0</v>
      </c>
      <c r="AW571" s="1410">
        <f t="shared" si="331"/>
        <v>0</v>
      </c>
      <c r="AX571" s="1410">
        <f t="shared" si="332"/>
        <v>0</v>
      </c>
      <c r="AY571" s="3352">
        <f t="shared" si="333"/>
        <v>0</v>
      </c>
      <c r="AZ571" s="3307">
        <f t="shared" si="334"/>
        <v>0</v>
      </c>
      <c r="BA571" s="3307">
        <f t="shared" si="335"/>
        <v>0</v>
      </c>
      <c r="BB571" s="3307">
        <f t="shared" si="336"/>
        <v>0</v>
      </c>
      <c r="BC571" s="3307">
        <f t="shared" si="337"/>
        <v>0</v>
      </c>
      <c r="BD571" s="3307">
        <f t="shared" si="338"/>
        <v>0</v>
      </c>
      <c r="BE571" s="3307">
        <f t="shared" si="339"/>
        <v>0</v>
      </c>
      <c r="BF571" s="3307">
        <f t="shared" si="340"/>
        <v>0</v>
      </c>
      <c r="BG571" s="3307">
        <f t="shared" si="341"/>
        <v>0</v>
      </c>
      <c r="BH571" s="3307">
        <f t="shared" si="342"/>
        <v>0</v>
      </c>
      <c r="BI571" s="3307">
        <f t="shared" si="343"/>
        <v>0</v>
      </c>
      <c r="BJ571" s="3307">
        <f t="shared" si="344"/>
        <v>0</v>
      </c>
      <c r="BK571" s="3307">
        <f t="shared" si="345"/>
        <v>0</v>
      </c>
      <c r="BL571" s="3307">
        <f t="shared" si="346"/>
        <v>0</v>
      </c>
      <c r="BM571" s="3307">
        <f t="shared" si="347"/>
        <v>0</v>
      </c>
      <c r="BN571" s="3307">
        <f t="shared" si="348"/>
        <v>0</v>
      </c>
      <c r="BO571" s="3307">
        <f t="shared" si="349"/>
        <v>0</v>
      </c>
      <c r="BP571" s="3307">
        <f t="shared" si="350"/>
        <v>0</v>
      </c>
      <c r="BQ571" s="3307">
        <f t="shared" si="351"/>
        <v>0</v>
      </c>
      <c r="BR571" s="3307">
        <f t="shared" si="352"/>
        <v>0</v>
      </c>
      <c r="BS571" s="3307">
        <f t="shared" si="353"/>
        <v>0</v>
      </c>
      <c r="BT571" s="3359">
        <f t="shared" si="354"/>
        <v>0</v>
      </c>
    </row>
    <row r="572" spans="1:72">
      <c r="A572" s="3304"/>
      <c r="B572" s="3305"/>
      <c r="C572" s="3305"/>
      <c r="D572" s="3306"/>
      <c r="E572" s="3307">
        <f t="shared" si="326"/>
        <v>0</v>
      </c>
      <c r="F572" s="3308"/>
      <c r="G572" s="3309">
        <f t="shared" si="327"/>
        <v>0</v>
      </c>
      <c r="H572" s="3310">
        <f t="shared" si="328"/>
        <v>0</v>
      </c>
      <c r="I572" s="3317"/>
      <c r="J572" s="3317"/>
      <c r="K572" s="3317"/>
      <c r="L572" s="3317"/>
      <c r="M572" s="3317"/>
      <c r="N572" s="3317"/>
      <c r="O572" s="3317"/>
      <c r="P572" s="3317"/>
      <c r="Q572" s="3317"/>
      <c r="R572" s="3317"/>
      <c r="S572" s="3317"/>
      <c r="T572" s="3317"/>
      <c r="U572" s="3317"/>
      <c r="V572" s="3317"/>
      <c r="W572" s="3317"/>
      <c r="X572" s="3317"/>
      <c r="Y572" s="3317"/>
      <c r="Z572" s="3317"/>
      <c r="AA572" s="3317"/>
      <c r="AB572" s="3317"/>
      <c r="AC572" s="3307">
        <f t="shared" si="329"/>
        <v>0</v>
      </c>
      <c r="AD572" s="3327"/>
      <c r="AE572" s="3327"/>
      <c r="AF572" s="3327"/>
      <c r="AG572" s="3327"/>
      <c r="AH572" s="3327"/>
      <c r="AI572" s="3327"/>
      <c r="AJ572" s="3327"/>
      <c r="AK572" s="3327"/>
      <c r="AL572" s="3327"/>
      <c r="AM572" s="3327"/>
      <c r="AN572" s="3327"/>
      <c r="AO572" s="3327"/>
      <c r="AP572" s="3327"/>
      <c r="AQ572" s="3327"/>
      <c r="AR572" s="3327"/>
      <c r="AS572" s="3327"/>
      <c r="AT572" s="3337"/>
      <c r="AU572" s="3338"/>
      <c r="AV572" s="1410">
        <f t="shared" si="330"/>
        <v>0</v>
      </c>
      <c r="AW572" s="1410">
        <f t="shared" si="331"/>
        <v>0</v>
      </c>
      <c r="AX572" s="1410">
        <f t="shared" si="332"/>
        <v>0</v>
      </c>
      <c r="AY572" s="3352">
        <f t="shared" si="333"/>
        <v>0</v>
      </c>
      <c r="AZ572" s="3307">
        <f t="shared" si="334"/>
        <v>0</v>
      </c>
      <c r="BA572" s="3307">
        <f t="shared" si="335"/>
        <v>0</v>
      </c>
      <c r="BB572" s="3307">
        <f t="shared" si="336"/>
        <v>0</v>
      </c>
      <c r="BC572" s="3307">
        <f t="shared" si="337"/>
        <v>0</v>
      </c>
      <c r="BD572" s="3307">
        <f t="shared" si="338"/>
        <v>0</v>
      </c>
      <c r="BE572" s="3307">
        <f t="shared" si="339"/>
        <v>0</v>
      </c>
      <c r="BF572" s="3307">
        <f t="shared" si="340"/>
        <v>0</v>
      </c>
      <c r="BG572" s="3307">
        <f t="shared" si="341"/>
        <v>0</v>
      </c>
      <c r="BH572" s="3307">
        <f t="shared" si="342"/>
        <v>0</v>
      </c>
      <c r="BI572" s="3307">
        <f t="shared" si="343"/>
        <v>0</v>
      </c>
      <c r="BJ572" s="3307">
        <f t="shared" si="344"/>
        <v>0</v>
      </c>
      <c r="BK572" s="3307">
        <f t="shared" si="345"/>
        <v>0</v>
      </c>
      <c r="BL572" s="3307">
        <f t="shared" si="346"/>
        <v>0</v>
      </c>
      <c r="BM572" s="3307">
        <f t="shared" si="347"/>
        <v>0</v>
      </c>
      <c r="BN572" s="3307">
        <f t="shared" si="348"/>
        <v>0</v>
      </c>
      <c r="BO572" s="3307">
        <f t="shared" si="349"/>
        <v>0</v>
      </c>
      <c r="BP572" s="3307">
        <f t="shared" si="350"/>
        <v>0</v>
      </c>
      <c r="BQ572" s="3307">
        <f t="shared" si="351"/>
        <v>0</v>
      </c>
      <c r="BR572" s="3307">
        <f t="shared" si="352"/>
        <v>0</v>
      </c>
      <c r="BS572" s="3307">
        <f t="shared" si="353"/>
        <v>0</v>
      </c>
      <c r="BT572" s="3359">
        <f t="shared" si="354"/>
        <v>0</v>
      </c>
    </row>
    <row r="573" spans="1:72">
      <c r="A573" s="3304"/>
      <c r="B573" s="3305"/>
      <c r="C573" s="3305"/>
      <c r="D573" s="3306"/>
      <c r="E573" s="3307">
        <f t="shared" si="326"/>
        <v>0</v>
      </c>
      <c r="F573" s="3308"/>
      <c r="G573" s="3309">
        <f t="shared" si="327"/>
        <v>0</v>
      </c>
      <c r="H573" s="3310">
        <f t="shared" si="328"/>
        <v>0</v>
      </c>
      <c r="I573" s="3317"/>
      <c r="J573" s="3317"/>
      <c r="K573" s="3317"/>
      <c r="L573" s="3317"/>
      <c r="M573" s="3317"/>
      <c r="N573" s="3317"/>
      <c r="O573" s="3317"/>
      <c r="P573" s="3317"/>
      <c r="Q573" s="3317"/>
      <c r="R573" s="3317"/>
      <c r="S573" s="3317"/>
      <c r="T573" s="3317"/>
      <c r="U573" s="3317"/>
      <c r="V573" s="3317"/>
      <c r="W573" s="3317"/>
      <c r="X573" s="3317"/>
      <c r="Y573" s="3317"/>
      <c r="Z573" s="3317"/>
      <c r="AA573" s="3317"/>
      <c r="AB573" s="3317"/>
      <c r="AC573" s="3307">
        <f t="shared" si="329"/>
        <v>0</v>
      </c>
      <c r="AD573" s="3327"/>
      <c r="AE573" s="3327"/>
      <c r="AF573" s="3327"/>
      <c r="AG573" s="3327"/>
      <c r="AH573" s="3327"/>
      <c r="AI573" s="3327"/>
      <c r="AJ573" s="3327"/>
      <c r="AK573" s="3327"/>
      <c r="AL573" s="3327"/>
      <c r="AM573" s="3327"/>
      <c r="AN573" s="3327"/>
      <c r="AO573" s="3327"/>
      <c r="AP573" s="3327"/>
      <c r="AQ573" s="3327"/>
      <c r="AR573" s="3327"/>
      <c r="AS573" s="3327"/>
      <c r="AT573" s="3337"/>
      <c r="AU573" s="3338"/>
      <c r="AV573" s="1410">
        <f t="shared" si="330"/>
        <v>0</v>
      </c>
      <c r="AW573" s="1410">
        <f t="shared" si="331"/>
        <v>0</v>
      </c>
      <c r="AX573" s="1410">
        <f t="shared" si="332"/>
        <v>0</v>
      </c>
      <c r="AY573" s="3352">
        <f t="shared" si="333"/>
        <v>0</v>
      </c>
      <c r="AZ573" s="3307">
        <f t="shared" si="334"/>
        <v>0</v>
      </c>
      <c r="BA573" s="3307">
        <f t="shared" si="335"/>
        <v>0</v>
      </c>
      <c r="BB573" s="3307">
        <f t="shared" si="336"/>
        <v>0</v>
      </c>
      <c r="BC573" s="3307">
        <f t="shared" si="337"/>
        <v>0</v>
      </c>
      <c r="BD573" s="3307">
        <f t="shared" si="338"/>
        <v>0</v>
      </c>
      <c r="BE573" s="3307">
        <f t="shared" si="339"/>
        <v>0</v>
      </c>
      <c r="BF573" s="3307">
        <f t="shared" si="340"/>
        <v>0</v>
      </c>
      <c r="BG573" s="3307">
        <f t="shared" si="341"/>
        <v>0</v>
      </c>
      <c r="BH573" s="3307">
        <f t="shared" si="342"/>
        <v>0</v>
      </c>
      <c r="BI573" s="3307">
        <f t="shared" si="343"/>
        <v>0</v>
      </c>
      <c r="BJ573" s="3307">
        <f t="shared" si="344"/>
        <v>0</v>
      </c>
      <c r="BK573" s="3307">
        <f t="shared" si="345"/>
        <v>0</v>
      </c>
      <c r="BL573" s="3307">
        <f t="shared" si="346"/>
        <v>0</v>
      </c>
      <c r="BM573" s="3307">
        <f t="shared" si="347"/>
        <v>0</v>
      </c>
      <c r="BN573" s="3307">
        <f t="shared" si="348"/>
        <v>0</v>
      </c>
      <c r="BO573" s="3307">
        <f t="shared" si="349"/>
        <v>0</v>
      </c>
      <c r="BP573" s="3307">
        <f t="shared" si="350"/>
        <v>0</v>
      </c>
      <c r="BQ573" s="3307">
        <f t="shared" si="351"/>
        <v>0</v>
      </c>
      <c r="BR573" s="3307">
        <f t="shared" si="352"/>
        <v>0</v>
      </c>
      <c r="BS573" s="3307">
        <f t="shared" si="353"/>
        <v>0</v>
      </c>
      <c r="BT573" s="3359">
        <f t="shared" si="354"/>
        <v>0</v>
      </c>
    </row>
    <row r="574" spans="1:72">
      <c r="A574" s="3304"/>
      <c r="B574" s="3305"/>
      <c r="C574" s="3305"/>
      <c r="D574" s="3306"/>
      <c r="E574" s="3307">
        <f t="shared" si="326"/>
        <v>0</v>
      </c>
      <c r="F574" s="3308"/>
      <c r="G574" s="3309">
        <f t="shared" si="327"/>
        <v>0</v>
      </c>
      <c r="H574" s="3310">
        <f t="shared" si="328"/>
        <v>0</v>
      </c>
      <c r="I574" s="3317"/>
      <c r="J574" s="3317"/>
      <c r="K574" s="3317"/>
      <c r="L574" s="3317"/>
      <c r="M574" s="3317"/>
      <c r="N574" s="3317"/>
      <c r="O574" s="3317"/>
      <c r="P574" s="3317"/>
      <c r="Q574" s="3317"/>
      <c r="R574" s="3317"/>
      <c r="S574" s="3317"/>
      <c r="T574" s="3317"/>
      <c r="U574" s="3317"/>
      <c r="V574" s="3317"/>
      <c r="W574" s="3317"/>
      <c r="X574" s="3317"/>
      <c r="Y574" s="3317"/>
      <c r="Z574" s="3317"/>
      <c r="AA574" s="3317"/>
      <c r="AB574" s="3317"/>
      <c r="AC574" s="3307">
        <f t="shared" si="329"/>
        <v>0</v>
      </c>
      <c r="AD574" s="3327"/>
      <c r="AE574" s="3327"/>
      <c r="AF574" s="3327"/>
      <c r="AG574" s="3327"/>
      <c r="AH574" s="3327"/>
      <c r="AI574" s="3327"/>
      <c r="AJ574" s="3327"/>
      <c r="AK574" s="3327"/>
      <c r="AL574" s="3327"/>
      <c r="AM574" s="3327"/>
      <c r="AN574" s="3327"/>
      <c r="AO574" s="3327"/>
      <c r="AP574" s="3327"/>
      <c r="AQ574" s="3327"/>
      <c r="AR574" s="3327"/>
      <c r="AS574" s="3327"/>
      <c r="AT574" s="3337"/>
      <c r="AU574" s="3338"/>
      <c r="AV574" s="1410">
        <f t="shared" si="330"/>
        <v>0</v>
      </c>
      <c r="AW574" s="1410">
        <f t="shared" si="331"/>
        <v>0</v>
      </c>
      <c r="AX574" s="1410">
        <f t="shared" si="332"/>
        <v>0</v>
      </c>
      <c r="AY574" s="3352">
        <f t="shared" si="333"/>
        <v>0</v>
      </c>
      <c r="AZ574" s="3307">
        <f t="shared" si="334"/>
        <v>0</v>
      </c>
      <c r="BA574" s="3307">
        <f t="shared" si="335"/>
        <v>0</v>
      </c>
      <c r="BB574" s="3307">
        <f t="shared" si="336"/>
        <v>0</v>
      </c>
      <c r="BC574" s="3307">
        <f t="shared" si="337"/>
        <v>0</v>
      </c>
      <c r="BD574" s="3307">
        <f t="shared" si="338"/>
        <v>0</v>
      </c>
      <c r="BE574" s="3307">
        <f t="shared" si="339"/>
        <v>0</v>
      </c>
      <c r="BF574" s="3307">
        <f t="shared" si="340"/>
        <v>0</v>
      </c>
      <c r="BG574" s="3307">
        <f t="shared" si="341"/>
        <v>0</v>
      </c>
      <c r="BH574" s="3307">
        <f t="shared" si="342"/>
        <v>0</v>
      </c>
      <c r="BI574" s="3307">
        <f t="shared" si="343"/>
        <v>0</v>
      </c>
      <c r="BJ574" s="3307">
        <f t="shared" si="344"/>
        <v>0</v>
      </c>
      <c r="BK574" s="3307">
        <f t="shared" si="345"/>
        <v>0</v>
      </c>
      <c r="BL574" s="3307">
        <f t="shared" si="346"/>
        <v>0</v>
      </c>
      <c r="BM574" s="3307">
        <f t="shared" si="347"/>
        <v>0</v>
      </c>
      <c r="BN574" s="3307">
        <f t="shared" si="348"/>
        <v>0</v>
      </c>
      <c r="BO574" s="3307">
        <f t="shared" si="349"/>
        <v>0</v>
      </c>
      <c r="BP574" s="3307">
        <f t="shared" si="350"/>
        <v>0</v>
      </c>
      <c r="BQ574" s="3307">
        <f t="shared" si="351"/>
        <v>0</v>
      </c>
      <c r="BR574" s="3307">
        <f t="shared" si="352"/>
        <v>0</v>
      </c>
      <c r="BS574" s="3307">
        <f t="shared" si="353"/>
        <v>0</v>
      </c>
      <c r="BT574" s="3359">
        <f t="shared" si="354"/>
        <v>0</v>
      </c>
    </row>
    <row r="575" spans="1:72">
      <c r="A575" s="3304"/>
      <c r="B575" s="3305"/>
      <c r="C575" s="3305"/>
      <c r="D575" s="3306"/>
      <c r="E575" s="3307">
        <f t="shared" si="326"/>
        <v>0</v>
      </c>
      <c r="F575" s="3308"/>
      <c r="G575" s="3309">
        <f t="shared" si="327"/>
        <v>0</v>
      </c>
      <c r="H575" s="3310">
        <f t="shared" si="328"/>
        <v>0</v>
      </c>
      <c r="I575" s="3317"/>
      <c r="J575" s="3317"/>
      <c r="K575" s="3317"/>
      <c r="L575" s="3317"/>
      <c r="M575" s="3317"/>
      <c r="N575" s="3317"/>
      <c r="O575" s="3317"/>
      <c r="P575" s="3317"/>
      <c r="Q575" s="3317"/>
      <c r="R575" s="3317"/>
      <c r="S575" s="3317"/>
      <c r="T575" s="3317"/>
      <c r="U575" s="3317"/>
      <c r="V575" s="3317"/>
      <c r="W575" s="3317"/>
      <c r="X575" s="3317"/>
      <c r="Y575" s="3317"/>
      <c r="Z575" s="3317"/>
      <c r="AA575" s="3317"/>
      <c r="AB575" s="3317"/>
      <c r="AC575" s="3307">
        <f t="shared" si="329"/>
        <v>0</v>
      </c>
      <c r="AD575" s="3327"/>
      <c r="AE575" s="3327"/>
      <c r="AF575" s="3327"/>
      <c r="AG575" s="3327"/>
      <c r="AH575" s="3327"/>
      <c r="AI575" s="3327"/>
      <c r="AJ575" s="3327"/>
      <c r="AK575" s="3327"/>
      <c r="AL575" s="3327"/>
      <c r="AM575" s="3327"/>
      <c r="AN575" s="3327"/>
      <c r="AO575" s="3327"/>
      <c r="AP575" s="3327"/>
      <c r="AQ575" s="3327"/>
      <c r="AR575" s="3327"/>
      <c r="AS575" s="3327"/>
      <c r="AT575" s="3337"/>
      <c r="AU575" s="3338"/>
      <c r="AV575" s="1410">
        <f t="shared" si="330"/>
        <v>0</v>
      </c>
      <c r="AW575" s="1410">
        <f t="shared" si="331"/>
        <v>0</v>
      </c>
      <c r="AX575" s="1410">
        <f t="shared" si="332"/>
        <v>0</v>
      </c>
      <c r="AY575" s="3352">
        <f t="shared" si="333"/>
        <v>0</v>
      </c>
      <c r="AZ575" s="3307">
        <f t="shared" si="334"/>
        <v>0</v>
      </c>
      <c r="BA575" s="3307">
        <f t="shared" si="335"/>
        <v>0</v>
      </c>
      <c r="BB575" s="3307">
        <f t="shared" si="336"/>
        <v>0</v>
      </c>
      <c r="BC575" s="3307">
        <f t="shared" si="337"/>
        <v>0</v>
      </c>
      <c r="BD575" s="3307">
        <f t="shared" si="338"/>
        <v>0</v>
      </c>
      <c r="BE575" s="3307">
        <f t="shared" si="339"/>
        <v>0</v>
      </c>
      <c r="BF575" s="3307">
        <f t="shared" si="340"/>
        <v>0</v>
      </c>
      <c r="BG575" s="3307">
        <f t="shared" si="341"/>
        <v>0</v>
      </c>
      <c r="BH575" s="3307">
        <f t="shared" si="342"/>
        <v>0</v>
      </c>
      <c r="BI575" s="3307">
        <f t="shared" si="343"/>
        <v>0</v>
      </c>
      <c r="BJ575" s="3307">
        <f t="shared" si="344"/>
        <v>0</v>
      </c>
      <c r="BK575" s="3307">
        <f t="shared" si="345"/>
        <v>0</v>
      </c>
      <c r="BL575" s="3307">
        <f t="shared" si="346"/>
        <v>0</v>
      </c>
      <c r="BM575" s="3307">
        <f t="shared" si="347"/>
        <v>0</v>
      </c>
      <c r="BN575" s="3307">
        <f t="shared" si="348"/>
        <v>0</v>
      </c>
      <c r="BO575" s="3307">
        <f t="shared" si="349"/>
        <v>0</v>
      </c>
      <c r="BP575" s="3307">
        <f t="shared" si="350"/>
        <v>0</v>
      </c>
      <c r="BQ575" s="3307">
        <f t="shared" si="351"/>
        <v>0</v>
      </c>
      <c r="BR575" s="3307">
        <f t="shared" si="352"/>
        <v>0</v>
      </c>
      <c r="BS575" s="3307">
        <f t="shared" si="353"/>
        <v>0</v>
      </c>
      <c r="BT575" s="3359">
        <f t="shared" si="354"/>
        <v>0</v>
      </c>
    </row>
    <row r="576" spans="1:72">
      <c r="A576" s="3304"/>
      <c r="B576" s="3305"/>
      <c r="C576" s="3305"/>
      <c r="D576" s="3306"/>
      <c r="E576" s="3307">
        <f t="shared" si="326"/>
        <v>0</v>
      </c>
      <c r="F576" s="3308"/>
      <c r="G576" s="3309">
        <f t="shared" si="327"/>
        <v>0</v>
      </c>
      <c r="H576" s="3310">
        <f t="shared" si="328"/>
        <v>0</v>
      </c>
      <c r="I576" s="3317"/>
      <c r="J576" s="3317"/>
      <c r="K576" s="3317"/>
      <c r="L576" s="3317"/>
      <c r="M576" s="3317"/>
      <c r="N576" s="3317"/>
      <c r="O576" s="3317"/>
      <c r="P576" s="3317"/>
      <c r="Q576" s="3317"/>
      <c r="R576" s="3317"/>
      <c r="S576" s="3317"/>
      <c r="T576" s="3317"/>
      <c r="U576" s="3317"/>
      <c r="V576" s="3317"/>
      <c r="W576" s="3317"/>
      <c r="X576" s="3317"/>
      <c r="Y576" s="3317"/>
      <c r="Z576" s="3317"/>
      <c r="AA576" s="3317"/>
      <c r="AB576" s="3317"/>
      <c r="AC576" s="3307">
        <f t="shared" si="329"/>
        <v>0</v>
      </c>
      <c r="AD576" s="3327"/>
      <c r="AE576" s="3327"/>
      <c r="AF576" s="3327"/>
      <c r="AG576" s="3327"/>
      <c r="AH576" s="3327"/>
      <c r="AI576" s="3327"/>
      <c r="AJ576" s="3327"/>
      <c r="AK576" s="3327"/>
      <c r="AL576" s="3327"/>
      <c r="AM576" s="3327"/>
      <c r="AN576" s="3327"/>
      <c r="AO576" s="3327"/>
      <c r="AP576" s="3327"/>
      <c r="AQ576" s="3327"/>
      <c r="AR576" s="3327"/>
      <c r="AS576" s="3327"/>
      <c r="AT576" s="3337"/>
      <c r="AU576" s="3338"/>
      <c r="AV576" s="1410">
        <f t="shared" si="330"/>
        <v>0</v>
      </c>
      <c r="AW576" s="1410">
        <f t="shared" si="331"/>
        <v>0</v>
      </c>
      <c r="AX576" s="1410">
        <f t="shared" si="332"/>
        <v>0</v>
      </c>
      <c r="AY576" s="3352">
        <f t="shared" si="333"/>
        <v>0</v>
      </c>
      <c r="AZ576" s="3307">
        <f t="shared" si="334"/>
        <v>0</v>
      </c>
      <c r="BA576" s="3307">
        <f t="shared" si="335"/>
        <v>0</v>
      </c>
      <c r="BB576" s="3307">
        <f t="shared" si="336"/>
        <v>0</v>
      </c>
      <c r="BC576" s="3307">
        <f t="shared" si="337"/>
        <v>0</v>
      </c>
      <c r="BD576" s="3307">
        <f t="shared" si="338"/>
        <v>0</v>
      </c>
      <c r="BE576" s="3307">
        <f t="shared" si="339"/>
        <v>0</v>
      </c>
      <c r="BF576" s="3307">
        <f t="shared" si="340"/>
        <v>0</v>
      </c>
      <c r="BG576" s="3307">
        <f t="shared" si="341"/>
        <v>0</v>
      </c>
      <c r="BH576" s="3307">
        <f t="shared" si="342"/>
        <v>0</v>
      </c>
      <c r="BI576" s="3307">
        <f t="shared" si="343"/>
        <v>0</v>
      </c>
      <c r="BJ576" s="3307">
        <f t="shared" si="344"/>
        <v>0</v>
      </c>
      <c r="BK576" s="3307">
        <f t="shared" si="345"/>
        <v>0</v>
      </c>
      <c r="BL576" s="3307">
        <f t="shared" si="346"/>
        <v>0</v>
      </c>
      <c r="BM576" s="3307">
        <f t="shared" si="347"/>
        <v>0</v>
      </c>
      <c r="BN576" s="3307">
        <f t="shared" si="348"/>
        <v>0</v>
      </c>
      <c r="BO576" s="3307">
        <f t="shared" si="349"/>
        <v>0</v>
      </c>
      <c r="BP576" s="3307">
        <f t="shared" si="350"/>
        <v>0</v>
      </c>
      <c r="BQ576" s="3307">
        <f t="shared" si="351"/>
        <v>0</v>
      </c>
      <c r="BR576" s="3307">
        <f t="shared" si="352"/>
        <v>0</v>
      </c>
      <c r="BS576" s="3307">
        <f t="shared" si="353"/>
        <v>0</v>
      </c>
      <c r="BT576" s="3359">
        <f t="shared" si="354"/>
        <v>0</v>
      </c>
    </row>
    <row r="577" spans="1:72">
      <c r="A577" s="3304"/>
      <c r="B577" s="3305"/>
      <c r="C577" s="3305"/>
      <c r="D577" s="3306"/>
      <c r="E577" s="3307">
        <f t="shared" si="326"/>
        <v>0</v>
      </c>
      <c r="F577" s="3308"/>
      <c r="G577" s="3309">
        <f t="shared" si="327"/>
        <v>0</v>
      </c>
      <c r="H577" s="3310">
        <f t="shared" si="328"/>
        <v>0</v>
      </c>
      <c r="I577" s="3317"/>
      <c r="J577" s="3317"/>
      <c r="K577" s="3317"/>
      <c r="L577" s="3317"/>
      <c r="M577" s="3317"/>
      <c r="N577" s="3317"/>
      <c r="O577" s="3317"/>
      <c r="P577" s="3317"/>
      <c r="Q577" s="3317"/>
      <c r="R577" s="3317"/>
      <c r="S577" s="3317"/>
      <c r="T577" s="3317"/>
      <c r="U577" s="3317"/>
      <c r="V577" s="3317"/>
      <c r="W577" s="3317"/>
      <c r="X577" s="3317"/>
      <c r="Y577" s="3317"/>
      <c r="Z577" s="3317"/>
      <c r="AA577" s="3317"/>
      <c r="AB577" s="3317"/>
      <c r="AC577" s="3307">
        <f t="shared" si="329"/>
        <v>0</v>
      </c>
      <c r="AD577" s="3327"/>
      <c r="AE577" s="3327"/>
      <c r="AF577" s="3327"/>
      <c r="AG577" s="3327"/>
      <c r="AH577" s="3327"/>
      <c r="AI577" s="3327"/>
      <c r="AJ577" s="3327"/>
      <c r="AK577" s="3327"/>
      <c r="AL577" s="3327"/>
      <c r="AM577" s="3327"/>
      <c r="AN577" s="3327"/>
      <c r="AO577" s="3327"/>
      <c r="AP577" s="3327"/>
      <c r="AQ577" s="3327"/>
      <c r="AR577" s="3327"/>
      <c r="AS577" s="3327"/>
      <c r="AT577" s="3337"/>
      <c r="AU577" s="3338"/>
      <c r="AV577" s="1410">
        <f t="shared" si="330"/>
        <v>0</v>
      </c>
      <c r="AW577" s="1410">
        <f t="shared" si="331"/>
        <v>0</v>
      </c>
      <c r="AX577" s="1410">
        <f t="shared" si="332"/>
        <v>0</v>
      </c>
      <c r="AY577" s="3352">
        <f t="shared" si="333"/>
        <v>0</v>
      </c>
      <c r="AZ577" s="3307">
        <f t="shared" si="334"/>
        <v>0</v>
      </c>
      <c r="BA577" s="3307">
        <f t="shared" si="335"/>
        <v>0</v>
      </c>
      <c r="BB577" s="3307">
        <f t="shared" si="336"/>
        <v>0</v>
      </c>
      <c r="BC577" s="3307">
        <f t="shared" si="337"/>
        <v>0</v>
      </c>
      <c r="BD577" s="3307">
        <f t="shared" si="338"/>
        <v>0</v>
      </c>
      <c r="BE577" s="3307">
        <f t="shared" si="339"/>
        <v>0</v>
      </c>
      <c r="BF577" s="3307">
        <f t="shared" si="340"/>
        <v>0</v>
      </c>
      <c r="BG577" s="3307">
        <f t="shared" si="341"/>
        <v>0</v>
      </c>
      <c r="BH577" s="3307">
        <f t="shared" si="342"/>
        <v>0</v>
      </c>
      <c r="BI577" s="3307">
        <f t="shared" si="343"/>
        <v>0</v>
      </c>
      <c r="BJ577" s="3307">
        <f t="shared" si="344"/>
        <v>0</v>
      </c>
      <c r="BK577" s="3307">
        <f t="shared" si="345"/>
        <v>0</v>
      </c>
      <c r="BL577" s="3307">
        <f t="shared" si="346"/>
        <v>0</v>
      </c>
      <c r="BM577" s="3307">
        <f t="shared" si="347"/>
        <v>0</v>
      </c>
      <c r="BN577" s="3307">
        <f t="shared" si="348"/>
        <v>0</v>
      </c>
      <c r="BO577" s="3307">
        <f t="shared" si="349"/>
        <v>0</v>
      </c>
      <c r="BP577" s="3307">
        <f t="shared" si="350"/>
        <v>0</v>
      </c>
      <c r="BQ577" s="3307">
        <f t="shared" si="351"/>
        <v>0</v>
      </c>
      <c r="BR577" s="3307">
        <f t="shared" si="352"/>
        <v>0</v>
      </c>
      <c r="BS577" s="3307">
        <f t="shared" si="353"/>
        <v>0</v>
      </c>
      <c r="BT577" s="3359">
        <f t="shared" si="354"/>
        <v>0</v>
      </c>
    </row>
    <row r="578" spans="1:72">
      <c r="A578" s="3304"/>
      <c r="B578" s="3305"/>
      <c r="C578" s="3305"/>
      <c r="D578" s="3306"/>
      <c r="E578" s="3307">
        <f t="shared" si="326"/>
        <v>0</v>
      </c>
      <c r="F578" s="3308"/>
      <c r="G578" s="3309">
        <f t="shared" si="327"/>
        <v>0</v>
      </c>
      <c r="H578" s="3310">
        <f t="shared" si="328"/>
        <v>0</v>
      </c>
      <c r="I578" s="3317"/>
      <c r="J578" s="3317"/>
      <c r="K578" s="3317"/>
      <c r="L578" s="3317"/>
      <c r="M578" s="3317"/>
      <c r="N578" s="3317"/>
      <c r="O578" s="3317"/>
      <c r="P578" s="3317"/>
      <c r="Q578" s="3317"/>
      <c r="R578" s="3317"/>
      <c r="S578" s="3317"/>
      <c r="T578" s="3317"/>
      <c r="U578" s="3317"/>
      <c r="V578" s="3317"/>
      <c r="W578" s="3317"/>
      <c r="X578" s="3317"/>
      <c r="Y578" s="3317"/>
      <c r="Z578" s="3317"/>
      <c r="AA578" s="3317"/>
      <c r="AB578" s="3317"/>
      <c r="AC578" s="3307">
        <f t="shared" si="329"/>
        <v>0</v>
      </c>
      <c r="AD578" s="3327"/>
      <c r="AE578" s="3327"/>
      <c r="AF578" s="3327"/>
      <c r="AG578" s="3327"/>
      <c r="AH578" s="3327"/>
      <c r="AI578" s="3327"/>
      <c r="AJ578" s="3327"/>
      <c r="AK578" s="3327"/>
      <c r="AL578" s="3327"/>
      <c r="AM578" s="3327"/>
      <c r="AN578" s="3327"/>
      <c r="AO578" s="3327"/>
      <c r="AP578" s="3327"/>
      <c r="AQ578" s="3327"/>
      <c r="AR578" s="3327"/>
      <c r="AS578" s="3327"/>
      <c r="AT578" s="3337"/>
      <c r="AU578" s="3338"/>
      <c r="AV578" s="1410">
        <f t="shared" si="330"/>
        <v>0</v>
      </c>
      <c r="AW578" s="1410">
        <f t="shared" si="331"/>
        <v>0</v>
      </c>
      <c r="AX578" s="1410">
        <f t="shared" si="332"/>
        <v>0</v>
      </c>
      <c r="AY578" s="3352">
        <f t="shared" si="333"/>
        <v>0</v>
      </c>
      <c r="AZ578" s="3307">
        <f t="shared" si="334"/>
        <v>0</v>
      </c>
      <c r="BA578" s="3307">
        <f t="shared" si="335"/>
        <v>0</v>
      </c>
      <c r="BB578" s="3307">
        <f t="shared" si="336"/>
        <v>0</v>
      </c>
      <c r="BC578" s="3307">
        <f t="shared" si="337"/>
        <v>0</v>
      </c>
      <c r="BD578" s="3307">
        <f t="shared" si="338"/>
        <v>0</v>
      </c>
      <c r="BE578" s="3307">
        <f t="shared" si="339"/>
        <v>0</v>
      </c>
      <c r="BF578" s="3307">
        <f t="shared" si="340"/>
        <v>0</v>
      </c>
      <c r="BG578" s="3307">
        <f t="shared" si="341"/>
        <v>0</v>
      </c>
      <c r="BH578" s="3307">
        <f t="shared" si="342"/>
        <v>0</v>
      </c>
      <c r="BI578" s="3307">
        <f t="shared" si="343"/>
        <v>0</v>
      </c>
      <c r="BJ578" s="3307">
        <f t="shared" si="344"/>
        <v>0</v>
      </c>
      <c r="BK578" s="3307">
        <f t="shared" si="345"/>
        <v>0</v>
      </c>
      <c r="BL578" s="3307">
        <f t="shared" si="346"/>
        <v>0</v>
      </c>
      <c r="BM578" s="3307">
        <f t="shared" si="347"/>
        <v>0</v>
      </c>
      <c r="BN578" s="3307">
        <f t="shared" si="348"/>
        <v>0</v>
      </c>
      <c r="BO578" s="3307">
        <f t="shared" si="349"/>
        <v>0</v>
      </c>
      <c r="BP578" s="3307">
        <f t="shared" si="350"/>
        <v>0</v>
      </c>
      <c r="BQ578" s="3307">
        <f t="shared" si="351"/>
        <v>0</v>
      </c>
      <c r="BR578" s="3307">
        <f t="shared" si="352"/>
        <v>0</v>
      </c>
      <c r="BS578" s="3307">
        <f t="shared" si="353"/>
        <v>0</v>
      </c>
      <c r="BT578" s="3359">
        <f t="shared" si="354"/>
        <v>0</v>
      </c>
    </row>
    <row r="579" spans="1:72">
      <c r="A579" s="3304"/>
      <c r="B579" s="3305"/>
      <c r="C579" s="3305"/>
      <c r="D579" s="3306"/>
      <c r="E579" s="3307">
        <f t="shared" si="326"/>
        <v>0</v>
      </c>
      <c r="F579" s="3308"/>
      <c r="G579" s="3309">
        <f t="shared" si="327"/>
        <v>0</v>
      </c>
      <c r="H579" s="3310">
        <f t="shared" si="328"/>
        <v>0</v>
      </c>
      <c r="I579" s="3317"/>
      <c r="J579" s="3317"/>
      <c r="K579" s="3317"/>
      <c r="L579" s="3317"/>
      <c r="M579" s="3317"/>
      <c r="N579" s="3317"/>
      <c r="O579" s="3317"/>
      <c r="P579" s="3317"/>
      <c r="Q579" s="3317"/>
      <c r="R579" s="3317"/>
      <c r="S579" s="3317"/>
      <c r="T579" s="3317"/>
      <c r="U579" s="3317"/>
      <c r="V579" s="3317"/>
      <c r="W579" s="3317"/>
      <c r="X579" s="3317"/>
      <c r="Y579" s="3317"/>
      <c r="Z579" s="3317"/>
      <c r="AA579" s="3317"/>
      <c r="AB579" s="3317"/>
      <c r="AC579" s="3307">
        <f t="shared" si="329"/>
        <v>0</v>
      </c>
      <c r="AD579" s="3327"/>
      <c r="AE579" s="3327"/>
      <c r="AF579" s="3327"/>
      <c r="AG579" s="3327"/>
      <c r="AH579" s="3327"/>
      <c r="AI579" s="3327"/>
      <c r="AJ579" s="3327"/>
      <c r="AK579" s="3327"/>
      <c r="AL579" s="3327"/>
      <c r="AM579" s="3327"/>
      <c r="AN579" s="3327"/>
      <c r="AO579" s="3327"/>
      <c r="AP579" s="3327"/>
      <c r="AQ579" s="3327"/>
      <c r="AR579" s="3327"/>
      <c r="AS579" s="3327"/>
      <c r="AT579" s="3337"/>
      <c r="AU579" s="3338"/>
      <c r="AV579" s="1410">
        <f t="shared" si="330"/>
        <v>0</v>
      </c>
      <c r="AW579" s="1410">
        <f t="shared" si="331"/>
        <v>0</v>
      </c>
      <c r="AX579" s="1410">
        <f t="shared" si="332"/>
        <v>0</v>
      </c>
      <c r="AY579" s="3352">
        <f t="shared" si="333"/>
        <v>0</v>
      </c>
      <c r="AZ579" s="3307">
        <f t="shared" si="334"/>
        <v>0</v>
      </c>
      <c r="BA579" s="3307">
        <f t="shared" si="335"/>
        <v>0</v>
      </c>
      <c r="BB579" s="3307">
        <f t="shared" si="336"/>
        <v>0</v>
      </c>
      <c r="BC579" s="3307">
        <f t="shared" si="337"/>
        <v>0</v>
      </c>
      <c r="BD579" s="3307">
        <f t="shared" si="338"/>
        <v>0</v>
      </c>
      <c r="BE579" s="3307">
        <f t="shared" si="339"/>
        <v>0</v>
      </c>
      <c r="BF579" s="3307">
        <f t="shared" si="340"/>
        <v>0</v>
      </c>
      <c r="BG579" s="3307">
        <f t="shared" si="341"/>
        <v>0</v>
      </c>
      <c r="BH579" s="3307">
        <f t="shared" si="342"/>
        <v>0</v>
      </c>
      <c r="BI579" s="3307">
        <f t="shared" si="343"/>
        <v>0</v>
      </c>
      <c r="BJ579" s="3307">
        <f t="shared" si="344"/>
        <v>0</v>
      </c>
      <c r="BK579" s="3307">
        <f t="shared" si="345"/>
        <v>0</v>
      </c>
      <c r="BL579" s="3307">
        <f t="shared" si="346"/>
        <v>0</v>
      </c>
      <c r="BM579" s="3307">
        <f t="shared" si="347"/>
        <v>0</v>
      </c>
      <c r="BN579" s="3307">
        <f t="shared" si="348"/>
        <v>0</v>
      </c>
      <c r="BO579" s="3307">
        <f t="shared" si="349"/>
        <v>0</v>
      </c>
      <c r="BP579" s="3307">
        <f t="shared" si="350"/>
        <v>0</v>
      </c>
      <c r="BQ579" s="3307">
        <f t="shared" si="351"/>
        <v>0</v>
      </c>
      <c r="BR579" s="3307">
        <f t="shared" si="352"/>
        <v>0</v>
      </c>
      <c r="BS579" s="3307">
        <f t="shared" si="353"/>
        <v>0</v>
      </c>
      <c r="BT579" s="3359">
        <f t="shared" si="354"/>
        <v>0</v>
      </c>
    </row>
    <row r="580" spans="1:72">
      <c r="A580" s="3304"/>
      <c r="B580" s="3305"/>
      <c r="C580" s="3305"/>
      <c r="D580" s="3306"/>
      <c r="E580" s="3307">
        <f t="shared" si="326"/>
        <v>0</v>
      </c>
      <c r="F580" s="3308"/>
      <c r="G580" s="3309">
        <f t="shared" si="327"/>
        <v>0</v>
      </c>
      <c r="H580" s="3310">
        <f t="shared" si="328"/>
        <v>0</v>
      </c>
      <c r="I580" s="3317"/>
      <c r="J580" s="3317"/>
      <c r="K580" s="3317"/>
      <c r="L580" s="3317"/>
      <c r="M580" s="3317"/>
      <c r="N580" s="3317"/>
      <c r="O580" s="3317"/>
      <c r="P580" s="3317"/>
      <c r="Q580" s="3317"/>
      <c r="R580" s="3317"/>
      <c r="S580" s="3317"/>
      <c r="T580" s="3317"/>
      <c r="U580" s="3317"/>
      <c r="V580" s="3317"/>
      <c r="W580" s="3317"/>
      <c r="X580" s="3317"/>
      <c r="Y580" s="3317"/>
      <c r="Z580" s="3317"/>
      <c r="AA580" s="3317"/>
      <c r="AB580" s="3317"/>
      <c r="AC580" s="3307">
        <f t="shared" si="329"/>
        <v>0</v>
      </c>
      <c r="AD580" s="3327"/>
      <c r="AE580" s="3327"/>
      <c r="AF580" s="3327"/>
      <c r="AG580" s="3327"/>
      <c r="AH580" s="3327"/>
      <c r="AI580" s="3327"/>
      <c r="AJ580" s="3327"/>
      <c r="AK580" s="3327"/>
      <c r="AL580" s="3327"/>
      <c r="AM580" s="3327"/>
      <c r="AN580" s="3327"/>
      <c r="AO580" s="3327"/>
      <c r="AP580" s="3327"/>
      <c r="AQ580" s="3327"/>
      <c r="AR580" s="3327"/>
      <c r="AS580" s="3327"/>
      <c r="AT580" s="3337"/>
      <c r="AU580" s="3338"/>
      <c r="AV580" s="1410">
        <f t="shared" si="330"/>
        <v>0</v>
      </c>
      <c r="AW580" s="1410">
        <f t="shared" si="331"/>
        <v>0</v>
      </c>
      <c r="AX580" s="1410">
        <f t="shared" si="332"/>
        <v>0</v>
      </c>
      <c r="AY580" s="3352">
        <f t="shared" si="333"/>
        <v>0</v>
      </c>
      <c r="AZ580" s="3307">
        <f t="shared" si="334"/>
        <v>0</v>
      </c>
      <c r="BA580" s="3307">
        <f t="shared" si="335"/>
        <v>0</v>
      </c>
      <c r="BB580" s="3307">
        <f t="shared" si="336"/>
        <v>0</v>
      </c>
      <c r="BC580" s="3307">
        <f t="shared" si="337"/>
        <v>0</v>
      </c>
      <c r="BD580" s="3307">
        <f t="shared" si="338"/>
        <v>0</v>
      </c>
      <c r="BE580" s="3307">
        <f t="shared" si="339"/>
        <v>0</v>
      </c>
      <c r="BF580" s="3307">
        <f t="shared" si="340"/>
        <v>0</v>
      </c>
      <c r="BG580" s="3307">
        <f t="shared" si="341"/>
        <v>0</v>
      </c>
      <c r="BH580" s="3307">
        <f t="shared" si="342"/>
        <v>0</v>
      </c>
      <c r="BI580" s="3307">
        <f t="shared" si="343"/>
        <v>0</v>
      </c>
      <c r="BJ580" s="3307">
        <f t="shared" si="344"/>
        <v>0</v>
      </c>
      <c r="BK580" s="3307">
        <f t="shared" si="345"/>
        <v>0</v>
      </c>
      <c r="BL580" s="3307">
        <f t="shared" si="346"/>
        <v>0</v>
      </c>
      <c r="BM580" s="3307">
        <f t="shared" si="347"/>
        <v>0</v>
      </c>
      <c r="BN580" s="3307">
        <f t="shared" si="348"/>
        <v>0</v>
      </c>
      <c r="BO580" s="3307">
        <f t="shared" si="349"/>
        <v>0</v>
      </c>
      <c r="BP580" s="3307">
        <f t="shared" si="350"/>
        <v>0</v>
      </c>
      <c r="BQ580" s="3307">
        <f t="shared" si="351"/>
        <v>0</v>
      </c>
      <c r="BR580" s="3307">
        <f t="shared" si="352"/>
        <v>0</v>
      </c>
      <c r="BS580" s="3307">
        <f t="shared" si="353"/>
        <v>0</v>
      </c>
      <c r="BT580" s="3359">
        <f t="shared" si="354"/>
        <v>0</v>
      </c>
    </row>
    <row r="581" spans="1:72">
      <c r="A581" s="3304"/>
      <c r="B581" s="3305"/>
      <c r="C581" s="3305"/>
      <c r="D581" s="3306"/>
      <c r="E581" s="3307">
        <f t="shared" si="326"/>
        <v>0</v>
      </c>
      <c r="F581" s="3308"/>
      <c r="G581" s="3309">
        <f t="shared" si="327"/>
        <v>0</v>
      </c>
      <c r="H581" s="3310">
        <f t="shared" si="328"/>
        <v>0</v>
      </c>
      <c r="I581" s="3317"/>
      <c r="J581" s="3317"/>
      <c r="K581" s="3317"/>
      <c r="L581" s="3317"/>
      <c r="M581" s="3317"/>
      <c r="N581" s="3317"/>
      <c r="O581" s="3317"/>
      <c r="P581" s="3317"/>
      <c r="Q581" s="3317"/>
      <c r="R581" s="3317"/>
      <c r="S581" s="3317"/>
      <c r="T581" s="3317"/>
      <c r="U581" s="3317"/>
      <c r="V581" s="3317"/>
      <c r="W581" s="3317"/>
      <c r="X581" s="3317"/>
      <c r="Y581" s="3317"/>
      <c r="Z581" s="3317"/>
      <c r="AA581" s="3317"/>
      <c r="AB581" s="3317"/>
      <c r="AC581" s="3307">
        <f t="shared" si="329"/>
        <v>0</v>
      </c>
      <c r="AD581" s="3327"/>
      <c r="AE581" s="3327"/>
      <c r="AF581" s="3327"/>
      <c r="AG581" s="3327"/>
      <c r="AH581" s="3327"/>
      <c r="AI581" s="3327"/>
      <c r="AJ581" s="3327"/>
      <c r="AK581" s="3327"/>
      <c r="AL581" s="3327"/>
      <c r="AM581" s="3327"/>
      <c r="AN581" s="3327"/>
      <c r="AO581" s="3327"/>
      <c r="AP581" s="3327"/>
      <c r="AQ581" s="3327"/>
      <c r="AR581" s="3327"/>
      <c r="AS581" s="3327"/>
      <c r="AT581" s="3337"/>
      <c r="AU581" s="3338"/>
      <c r="AV581" s="1410">
        <f t="shared" si="330"/>
        <v>0</v>
      </c>
      <c r="AW581" s="1410">
        <f t="shared" si="331"/>
        <v>0</v>
      </c>
      <c r="AX581" s="1410">
        <f t="shared" si="332"/>
        <v>0</v>
      </c>
      <c r="AY581" s="3352">
        <f t="shared" si="333"/>
        <v>0</v>
      </c>
      <c r="AZ581" s="3307">
        <f t="shared" si="334"/>
        <v>0</v>
      </c>
      <c r="BA581" s="3307">
        <f t="shared" si="335"/>
        <v>0</v>
      </c>
      <c r="BB581" s="3307">
        <f t="shared" si="336"/>
        <v>0</v>
      </c>
      <c r="BC581" s="3307">
        <f t="shared" si="337"/>
        <v>0</v>
      </c>
      <c r="BD581" s="3307">
        <f t="shared" si="338"/>
        <v>0</v>
      </c>
      <c r="BE581" s="3307">
        <f t="shared" si="339"/>
        <v>0</v>
      </c>
      <c r="BF581" s="3307">
        <f t="shared" si="340"/>
        <v>0</v>
      </c>
      <c r="BG581" s="3307">
        <f t="shared" si="341"/>
        <v>0</v>
      </c>
      <c r="BH581" s="3307">
        <f t="shared" si="342"/>
        <v>0</v>
      </c>
      <c r="BI581" s="3307">
        <f t="shared" si="343"/>
        <v>0</v>
      </c>
      <c r="BJ581" s="3307">
        <f t="shared" si="344"/>
        <v>0</v>
      </c>
      <c r="BK581" s="3307">
        <f t="shared" si="345"/>
        <v>0</v>
      </c>
      <c r="BL581" s="3307">
        <f t="shared" si="346"/>
        <v>0</v>
      </c>
      <c r="BM581" s="3307">
        <f t="shared" si="347"/>
        <v>0</v>
      </c>
      <c r="BN581" s="3307">
        <f t="shared" si="348"/>
        <v>0</v>
      </c>
      <c r="BO581" s="3307">
        <f t="shared" si="349"/>
        <v>0</v>
      </c>
      <c r="BP581" s="3307">
        <f t="shared" si="350"/>
        <v>0</v>
      </c>
      <c r="BQ581" s="3307">
        <f t="shared" si="351"/>
        <v>0</v>
      </c>
      <c r="BR581" s="3307">
        <f t="shared" si="352"/>
        <v>0</v>
      </c>
      <c r="BS581" s="3307">
        <f t="shared" si="353"/>
        <v>0</v>
      </c>
      <c r="BT581" s="3359">
        <f t="shared" si="354"/>
        <v>0</v>
      </c>
    </row>
    <row r="582" spans="1:72">
      <c r="A582" s="3304"/>
      <c r="B582" s="3305"/>
      <c r="C582" s="3305"/>
      <c r="D582" s="3306"/>
      <c r="E582" s="3307">
        <f t="shared" si="326"/>
        <v>0</v>
      </c>
      <c r="F582" s="3308"/>
      <c r="G582" s="3309">
        <f t="shared" si="327"/>
        <v>0</v>
      </c>
      <c r="H582" s="3310">
        <f t="shared" si="328"/>
        <v>0</v>
      </c>
      <c r="I582" s="3317"/>
      <c r="J582" s="3317"/>
      <c r="K582" s="3317"/>
      <c r="L582" s="3317"/>
      <c r="M582" s="3317"/>
      <c r="N582" s="3317"/>
      <c r="O582" s="3317"/>
      <c r="P582" s="3317"/>
      <c r="Q582" s="3317"/>
      <c r="R582" s="3317"/>
      <c r="S582" s="3317"/>
      <c r="T582" s="3317"/>
      <c r="U582" s="3317"/>
      <c r="V582" s="3317"/>
      <c r="W582" s="3317"/>
      <c r="X582" s="3317"/>
      <c r="Y582" s="3317"/>
      <c r="Z582" s="3317"/>
      <c r="AA582" s="3317"/>
      <c r="AB582" s="3317"/>
      <c r="AC582" s="3307">
        <f t="shared" si="329"/>
        <v>0</v>
      </c>
      <c r="AD582" s="3327"/>
      <c r="AE582" s="3327"/>
      <c r="AF582" s="3327"/>
      <c r="AG582" s="3327"/>
      <c r="AH582" s="3327"/>
      <c r="AI582" s="3327"/>
      <c r="AJ582" s="3327"/>
      <c r="AK582" s="3327"/>
      <c r="AL582" s="3327"/>
      <c r="AM582" s="3327"/>
      <c r="AN582" s="3327"/>
      <c r="AO582" s="3327"/>
      <c r="AP582" s="3327"/>
      <c r="AQ582" s="3327"/>
      <c r="AR582" s="3327"/>
      <c r="AS582" s="3327"/>
      <c r="AT582" s="3337"/>
      <c r="AU582" s="3338"/>
      <c r="AV582" s="1410">
        <f t="shared" si="330"/>
        <v>0</v>
      </c>
      <c r="AW582" s="1410">
        <f t="shared" si="331"/>
        <v>0</v>
      </c>
      <c r="AX582" s="1410">
        <f t="shared" si="332"/>
        <v>0</v>
      </c>
      <c r="AY582" s="3352">
        <f t="shared" si="333"/>
        <v>0</v>
      </c>
      <c r="AZ582" s="3307">
        <f t="shared" si="334"/>
        <v>0</v>
      </c>
      <c r="BA582" s="3307">
        <f t="shared" si="335"/>
        <v>0</v>
      </c>
      <c r="BB582" s="3307">
        <f t="shared" si="336"/>
        <v>0</v>
      </c>
      <c r="BC582" s="3307">
        <f t="shared" si="337"/>
        <v>0</v>
      </c>
      <c r="BD582" s="3307">
        <f t="shared" si="338"/>
        <v>0</v>
      </c>
      <c r="BE582" s="3307">
        <f t="shared" si="339"/>
        <v>0</v>
      </c>
      <c r="BF582" s="3307">
        <f t="shared" si="340"/>
        <v>0</v>
      </c>
      <c r="BG582" s="3307">
        <f t="shared" si="341"/>
        <v>0</v>
      </c>
      <c r="BH582" s="3307">
        <f t="shared" si="342"/>
        <v>0</v>
      </c>
      <c r="BI582" s="3307">
        <f t="shared" si="343"/>
        <v>0</v>
      </c>
      <c r="BJ582" s="3307">
        <f t="shared" si="344"/>
        <v>0</v>
      </c>
      <c r="BK582" s="3307">
        <f t="shared" si="345"/>
        <v>0</v>
      </c>
      <c r="BL582" s="3307">
        <f t="shared" si="346"/>
        <v>0</v>
      </c>
      <c r="BM582" s="3307">
        <f t="shared" si="347"/>
        <v>0</v>
      </c>
      <c r="BN582" s="3307">
        <f t="shared" si="348"/>
        <v>0</v>
      </c>
      <c r="BO582" s="3307">
        <f t="shared" si="349"/>
        <v>0</v>
      </c>
      <c r="BP582" s="3307">
        <f t="shared" si="350"/>
        <v>0</v>
      </c>
      <c r="BQ582" s="3307">
        <f t="shared" si="351"/>
        <v>0</v>
      </c>
      <c r="BR582" s="3307">
        <f t="shared" si="352"/>
        <v>0</v>
      </c>
      <c r="BS582" s="3307">
        <f t="shared" si="353"/>
        <v>0</v>
      </c>
      <c r="BT582" s="3359">
        <f t="shared" si="354"/>
        <v>0</v>
      </c>
    </row>
    <row r="583" spans="1:72">
      <c r="A583" s="3304"/>
      <c r="B583" s="3305"/>
      <c r="C583" s="3305"/>
      <c r="D583" s="3306"/>
      <c r="E583" s="3307">
        <f t="shared" si="326"/>
        <v>0</v>
      </c>
      <c r="F583" s="3308"/>
      <c r="G583" s="3309">
        <f t="shared" si="327"/>
        <v>0</v>
      </c>
      <c r="H583" s="3310">
        <f t="shared" si="328"/>
        <v>0</v>
      </c>
      <c r="I583" s="3317"/>
      <c r="J583" s="3317"/>
      <c r="K583" s="3317"/>
      <c r="L583" s="3317"/>
      <c r="M583" s="3317"/>
      <c r="N583" s="3317"/>
      <c r="O583" s="3317"/>
      <c r="P583" s="3317"/>
      <c r="Q583" s="3317"/>
      <c r="R583" s="3317"/>
      <c r="S583" s="3317"/>
      <c r="T583" s="3317"/>
      <c r="U583" s="3317"/>
      <c r="V583" s="3317"/>
      <c r="W583" s="3317"/>
      <c r="X583" s="3317"/>
      <c r="Y583" s="3317"/>
      <c r="Z583" s="3317"/>
      <c r="AA583" s="3317"/>
      <c r="AB583" s="3317"/>
      <c r="AC583" s="3307">
        <f t="shared" si="329"/>
        <v>0</v>
      </c>
      <c r="AD583" s="3327"/>
      <c r="AE583" s="3327"/>
      <c r="AF583" s="3327"/>
      <c r="AG583" s="3327"/>
      <c r="AH583" s="3327"/>
      <c r="AI583" s="3327"/>
      <c r="AJ583" s="3327"/>
      <c r="AK583" s="3327"/>
      <c r="AL583" s="3327"/>
      <c r="AM583" s="3327"/>
      <c r="AN583" s="3327"/>
      <c r="AO583" s="3327"/>
      <c r="AP583" s="3327"/>
      <c r="AQ583" s="3327"/>
      <c r="AR583" s="3327"/>
      <c r="AS583" s="3327"/>
      <c r="AT583" s="3337"/>
      <c r="AU583" s="3338"/>
      <c r="AV583" s="1410">
        <f t="shared" si="330"/>
        <v>0</v>
      </c>
      <c r="AW583" s="1410">
        <f t="shared" si="331"/>
        <v>0</v>
      </c>
      <c r="AX583" s="1410">
        <f t="shared" si="332"/>
        <v>0</v>
      </c>
      <c r="AY583" s="3352">
        <f t="shared" si="333"/>
        <v>0</v>
      </c>
      <c r="AZ583" s="3307">
        <f t="shared" si="334"/>
        <v>0</v>
      </c>
      <c r="BA583" s="3307">
        <f t="shared" si="335"/>
        <v>0</v>
      </c>
      <c r="BB583" s="3307">
        <f t="shared" si="336"/>
        <v>0</v>
      </c>
      <c r="BC583" s="3307">
        <f t="shared" si="337"/>
        <v>0</v>
      </c>
      <c r="BD583" s="3307">
        <f t="shared" si="338"/>
        <v>0</v>
      </c>
      <c r="BE583" s="3307">
        <f t="shared" si="339"/>
        <v>0</v>
      </c>
      <c r="BF583" s="3307">
        <f t="shared" si="340"/>
        <v>0</v>
      </c>
      <c r="BG583" s="3307">
        <f t="shared" si="341"/>
        <v>0</v>
      </c>
      <c r="BH583" s="3307">
        <f t="shared" si="342"/>
        <v>0</v>
      </c>
      <c r="BI583" s="3307">
        <f t="shared" si="343"/>
        <v>0</v>
      </c>
      <c r="BJ583" s="3307">
        <f t="shared" si="344"/>
        <v>0</v>
      </c>
      <c r="BK583" s="3307">
        <f t="shared" si="345"/>
        <v>0</v>
      </c>
      <c r="BL583" s="3307">
        <f t="shared" si="346"/>
        <v>0</v>
      </c>
      <c r="BM583" s="3307">
        <f t="shared" si="347"/>
        <v>0</v>
      </c>
      <c r="BN583" s="3307">
        <f t="shared" si="348"/>
        <v>0</v>
      </c>
      <c r="BO583" s="3307">
        <f t="shared" si="349"/>
        <v>0</v>
      </c>
      <c r="BP583" s="3307">
        <f t="shared" si="350"/>
        <v>0</v>
      </c>
      <c r="BQ583" s="3307">
        <f t="shared" si="351"/>
        <v>0</v>
      </c>
      <c r="BR583" s="3307">
        <f t="shared" si="352"/>
        <v>0</v>
      </c>
      <c r="BS583" s="3307">
        <f t="shared" si="353"/>
        <v>0</v>
      </c>
      <c r="BT583" s="3359">
        <f t="shared" si="354"/>
        <v>0</v>
      </c>
    </row>
    <row r="584" spans="1:72">
      <c r="A584" s="3304"/>
      <c r="B584" s="3305"/>
      <c r="C584" s="3305"/>
      <c r="D584" s="3306"/>
      <c r="E584" s="3307">
        <f t="shared" si="326"/>
        <v>0</v>
      </c>
      <c r="F584" s="3308"/>
      <c r="G584" s="3309">
        <f t="shared" si="327"/>
        <v>0</v>
      </c>
      <c r="H584" s="3310">
        <f t="shared" si="328"/>
        <v>0</v>
      </c>
      <c r="I584" s="3317"/>
      <c r="J584" s="3317"/>
      <c r="K584" s="3317"/>
      <c r="L584" s="3317"/>
      <c r="M584" s="3317"/>
      <c r="N584" s="3317"/>
      <c r="O584" s="3317"/>
      <c r="P584" s="3317"/>
      <c r="Q584" s="3317"/>
      <c r="R584" s="3317"/>
      <c r="S584" s="3317"/>
      <c r="T584" s="3317"/>
      <c r="U584" s="3317"/>
      <c r="V584" s="3317"/>
      <c r="W584" s="3317"/>
      <c r="X584" s="3317"/>
      <c r="Y584" s="3317"/>
      <c r="Z584" s="3317"/>
      <c r="AA584" s="3317"/>
      <c r="AB584" s="3317"/>
      <c r="AC584" s="3307">
        <f t="shared" si="329"/>
        <v>0</v>
      </c>
      <c r="AD584" s="3327"/>
      <c r="AE584" s="3327"/>
      <c r="AF584" s="3327"/>
      <c r="AG584" s="3327"/>
      <c r="AH584" s="3327"/>
      <c r="AI584" s="3327"/>
      <c r="AJ584" s="3327"/>
      <c r="AK584" s="3327"/>
      <c r="AL584" s="3327"/>
      <c r="AM584" s="3327"/>
      <c r="AN584" s="3327"/>
      <c r="AO584" s="3327"/>
      <c r="AP584" s="3327"/>
      <c r="AQ584" s="3327"/>
      <c r="AR584" s="3327"/>
      <c r="AS584" s="3327"/>
      <c r="AT584" s="3337"/>
      <c r="AU584" s="3338"/>
      <c r="AV584" s="1410">
        <f t="shared" si="330"/>
        <v>0</v>
      </c>
      <c r="AW584" s="1410">
        <f t="shared" si="331"/>
        <v>0</v>
      </c>
      <c r="AX584" s="1410">
        <f t="shared" si="332"/>
        <v>0</v>
      </c>
      <c r="AY584" s="3352">
        <f t="shared" si="333"/>
        <v>0</v>
      </c>
      <c r="AZ584" s="3307">
        <f t="shared" si="334"/>
        <v>0</v>
      </c>
      <c r="BA584" s="3307">
        <f t="shared" si="335"/>
        <v>0</v>
      </c>
      <c r="BB584" s="3307">
        <f t="shared" si="336"/>
        <v>0</v>
      </c>
      <c r="BC584" s="3307">
        <f t="shared" si="337"/>
        <v>0</v>
      </c>
      <c r="BD584" s="3307">
        <f t="shared" si="338"/>
        <v>0</v>
      </c>
      <c r="BE584" s="3307">
        <f t="shared" si="339"/>
        <v>0</v>
      </c>
      <c r="BF584" s="3307">
        <f t="shared" si="340"/>
        <v>0</v>
      </c>
      <c r="BG584" s="3307">
        <f t="shared" si="341"/>
        <v>0</v>
      </c>
      <c r="BH584" s="3307">
        <f t="shared" si="342"/>
        <v>0</v>
      </c>
      <c r="BI584" s="3307">
        <f t="shared" si="343"/>
        <v>0</v>
      </c>
      <c r="BJ584" s="3307">
        <f t="shared" si="344"/>
        <v>0</v>
      </c>
      <c r="BK584" s="3307">
        <f t="shared" si="345"/>
        <v>0</v>
      </c>
      <c r="BL584" s="3307">
        <f t="shared" si="346"/>
        <v>0</v>
      </c>
      <c r="BM584" s="3307">
        <f t="shared" si="347"/>
        <v>0</v>
      </c>
      <c r="BN584" s="3307">
        <f t="shared" si="348"/>
        <v>0</v>
      </c>
      <c r="BO584" s="3307">
        <f t="shared" si="349"/>
        <v>0</v>
      </c>
      <c r="BP584" s="3307">
        <f t="shared" si="350"/>
        <v>0</v>
      </c>
      <c r="BQ584" s="3307">
        <f t="shared" si="351"/>
        <v>0</v>
      </c>
      <c r="BR584" s="3307">
        <f t="shared" si="352"/>
        <v>0</v>
      </c>
      <c r="BS584" s="3307">
        <f t="shared" si="353"/>
        <v>0</v>
      </c>
      <c r="BT584" s="3359">
        <f t="shared" si="354"/>
        <v>0</v>
      </c>
    </row>
    <row r="585" spans="1:72">
      <c r="A585" s="3304"/>
      <c r="B585" s="3304"/>
      <c r="C585" s="3304"/>
      <c r="D585" s="3306"/>
      <c r="E585" s="3307">
        <f t="shared" si="326"/>
        <v>0</v>
      </c>
      <c r="F585" s="3360"/>
      <c r="G585" s="3309">
        <f t="shared" si="327"/>
        <v>0</v>
      </c>
      <c r="H585" s="3310">
        <f t="shared" si="328"/>
        <v>0</v>
      </c>
      <c r="I585" s="3361"/>
      <c r="J585" s="3361"/>
      <c r="K585" s="3317"/>
      <c r="L585" s="3317"/>
      <c r="M585" s="3317"/>
      <c r="N585" s="3317"/>
      <c r="O585" s="3317"/>
      <c r="P585" s="3317"/>
      <c r="Q585" s="3317"/>
      <c r="R585" s="3317"/>
      <c r="S585" s="3317"/>
      <c r="T585" s="3317"/>
      <c r="U585" s="3317"/>
      <c r="V585" s="3317"/>
      <c r="W585" s="3317"/>
      <c r="X585" s="3317"/>
      <c r="Y585" s="3317"/>
      <c r="Z585" s="3317"/>
      <c r="AA585" s="3317"/>
      <c r="AB585" s="3317"/>
      <c r="AC585" s="3307">
        <f t="shared" si="329"/>
        <v>0</v>
      </c>
      <c r="AD585" s="3327"/>
      <c r="AE585" s="3327"/>
      <c r="AF585" s="3327"/>
      <c r="AG585" s="3327"/>
      <c r="AH585" s="3327"/>
      <c r="AI585" s="3327"/>
      <c r="AJ585" s="3327"/>
      <c r="AK585" s="3327"/>
      <c r="AL585" s="3327"/>
      <c r="AM585" s="3327"/>
      <c r="AN585" s="3327"/>
      <c r="AO585" s="3327"/>
      <c r="AP585" s="3327"/>
      <c r="AQ585" s="3327"/>
      <c r="AR585" s="3327"/>
      <c r="AS585" s="3327"/>
      <c r="AT585" s="3327"/>
      <c r="AU585" s="3362"/>
      <c r="AV585" s="1410">
        <f t="shared" si="330"/>
        <v>0</v>
      </c>
      <c r="AW585" s="1410">
        <f t="shared" si="331"/>
        <v>0</v>
      </c>
      <c r="AX585" s="1410">
        <f t="shared" si="332"/>
        <v>0</v>
      </c>
      <c r="AY585" s="3352">
        <f t="shared" si="333"/>
        <v>0</v>
      </c>
      <c r="AZ585" s="3307">
        <f t="shared" si="334"/>
        <v>0</v>
      </c>
      <c r="BA585" s="3307">
        <f t="shared" si="335"/>
        <v>0</v>
      </c>
      <c r="BB585" s="3307">
        <f t="shared" si="336"/>
        <v>0</v>
      </c>
      <c r="BC585" s="3307">
        <f t="shared" si="337"/>
        <v>0</v>
      </c>
      <c r="BD585" s="3307">
        <f t="shared" si="338"/>
        <v>0</v>
      </c>
      <c r="BE585" s="3307">
        <f t="shared" si="339"/>
        <v>0</v>
      </c>
      <c r="BF585" s="3307">
        <f t="shared" si="340"/>
        <v>0</v>
      </c>
      <c r="BG585" s="3307">
        <f t="shared" si="341"/>
        <v>0</v>
      </c>
      <c r="BH585" s="3307">
        <f t="shared" si="342"/>
        <v>0</v>
      </c>
      <c r="BI585" s="3307">
        <f t="shared" si="343"/>
        <v>0</v>
      </c>
      <c r="BJ585" s="3307">
        <f t="shared" si="344"/>
        <v>0</v>
      </c>
      <c r="BK585" s="3307">
        <f t="shared" si="345"/>
        <v>0</v>
      </c>
      <c r="BL585" s="3307">
        <f t="shared" si="346"/>
        <v>0</v>
      </c>
      <c r="BM585" s="3307">
        <f t="shared" si="347"/>
        <v>0</v>
      </c>
      <c r="BN585" s="3307">
        <f t="shared" si="348"/>
        <v>0</v>
      </c>
      <c r="BO585" s="3307">
        <f t="shared" si="349"/>
        <v>0</v>
      </c>
      <c r="BP585" s="3307">
        <f t="shared" si="350"/>
        <v>0</v>
      </c>
      <c r="BQ585" s="3307">
        <f t="shared" si="351"/>
        <v>0</v>
      </c>
      <c r="BR585" s="3307">
        <f t="shared" si="352"/>
        <v>0</v>
      </c>
      <c r="BS585" s="3307">
        <f t="shared" si="353"/>
        <v>0</v>
      </c>
      <c r="BT585" s="3359">
        <f t="shared" si="354"/>
        <v>0</v>
      </c>
    </row>
    <row r="586" spans="1:72">
      <c r="A586" s="3304"/>
      <c r="B586" s="3304"/>
      <c r="C586" s="3304"/>
      <c r="D586" s="3306"/>
      <c r="E586" s="3307">
        <f t="shared" si="326"/>
        <v>0</v>
      </c>
      <c r="F586" s="3360"/>
      <c r="G586" s="3309">
        <f t="shared" si="327"/>
        <v>0</v>
      </c>
      <c r="H586" s="3310">
        <f t="shared" si="328"/>
        <v>0</v>
      </c>
      <c r="I586" s="3317"/>
      <c r="J586" s="3317"/>
      <c r="K586" s="3317"/>
      <c r="L586" s="3317"/>
      <c r="M586" s="3317"/>
      <c r="N586" s="3317"/>
      <c r="O586" s="3317"/>
      <c r="P586" s="3317"/>
      <c r="Q586" s="3317"/>
      <c r="R586" s="3317"/>
      <c r="S586" s="3317"/>
      <c r="T586" s="3317"/>
      <c r="U586" s="3317"/>
      <c r="V586" s="3317"/>
      <c r="W586" s="3317"/>
      <c r="X586" s="3317"/>
      <c r="Y586" s="3317"/>
      <c r="Z586" s="3317"/>
      <c r="AA586" s="3317"/>
      <c r="AB586" s="3317"/>
      <c r="AC586" s="3307">
        <f t="shared" si="329"/>
        <v>0</v>
      </c>
      <c r="AD586" s="3327"/>
      <c r="AE586" s="3327"/>
      <c r="AF586" s="3327"/>
      <c r="AG586" s="3327"/>
      <c r="AH586" s="3327"/>
      <c r="AI586" s="3327"/>
      <c r="AJ586" s="3327"/>
      <c r="AK586" s="3327"/>
      <c r="AL586" s="3327"/>
      <c r="AM586" s="3327"/>
      <c r="AN586" s="3327"/>
      <c r="AO586" s="3327"/>
      <c r="AP586" s="3327"/>
      <c r="AQ586" s="3327"/>
      <c r="AR586" s="3327"/>
      <c r="AS586" s="3327"/>
      <c r="AT586" s="3327"/>
      <c r="AU586" s="3362"/>
      <c r="AV586" s="1410">
        <f t="shared" si="330"/>
        <v>0</v>
      </c>
      <c r="AW586" s="1410">
        <f t="shared" si="331"/>
        <v>0</v>
      </c>
      <c r="AX586" s="1410">
        <f t="shared" si="332"/>
        <v>0</v>
      </c>
      <c r="AY586" s="3352">
        <f t="shared" si="333"/>
        <v>0</v>
      </c>
      <c r="AZ586" s="3307">
        <f t="shared" si="334"/>
        <v>0</v>
      </c>
      <c r="BA586" s="3307">
        <f t="shared" si="335"/>
        <v>0</v>
      </c>
      <c r="BB586" s="3307">
        <f t="shared" si="336"/>
        <v>0</v>
      </c>
      <c r="BC586" s="3307">
        <f t="shared" si="337"/>
        <v>0</v>
      </c>
      <c r="BD586" s="3307">
        <f t="shared" si="338"/>
        <v>0</v>
      </c>
      <c r="BE586" s="3307">
        <f t="shared" si="339"/>
        <v>0</v>
      </c>
      <c r="BF586" s="3307">
        <f t="shared" si="340"/>
        <v>0</v>
      </c>
      <c r="BG586" s="3307">
        <f t="shared" si="341"/>
        <v>0</v>
      </c>
      <c r="BH586" s="3307">
        <f t="shared" si="342"/>
        <v>0</v>
      </c>
      <c r="BI586" s="3307">
        <f t="shared" si="343"/>
        <v>0</v>
      </c>
      <c r="BJ586" s="3307">
        <f t="shared" si="344"/>
        <v>0</v>
      </c>
      <c r="BK586" s="3307">
        <f t="shared" si="345"/>
        <v>0</v>
      </c>
      <c r="BL586" s="3307">
        <f t="shared" si="346"/>
        <v>0</v>
      </c>
      <c r="BM586" s="3307">
        <f t="shared" si="347"/>
        <v>0</v>
      </c>
      <c r="BN586" s="3307">
        <f t="shared" si="348"/>
        <v>0</v>
      </c>
      <c r="BO586" s="3307">
        <f t="shared" si="349"/>
        <v>0</v>
      </c>
      <c r="BP586" s="3307">
        <f t="shared" si="350"/>
        <v>0</v>
      </c>
      <c r="BQ586" s="3307">
        <f t="shared" si="351"/>
        <v>0</v>
      </c>
      <c r="BR586" s="3307">
        <f t="shared" si="352"/>
        <v>0</v>
      </c>
      <c r="BS586" s="3307">
        <f t="shared" si="353"/>
        <v>0</v>
      </c>
      <c r="BT586" s="3359">
        <f t="shared" si="354"/>
        <v>0</v>
      </c>
    </row>
    <row r="587" spans="1:72">
      <c r="A587" s="3304"/>
      <c r="B587" s="3304"/>
      <c r="C587" s="3304"/>
      <c r="D587" s="3306"/>
      <c r="E587" s="3307">
        <f t="shared" si="326"/>
        <v>0</v>
      </c>
      <c r="F587" s="3360"/>
      <c r="G587" s="3309">
        <f t="shared" si="327"/>
        <v>0</v>
      </c>
      <c r="H587" s="3310">
        <f t="shared" si="328"/>
        <v>0</v>
      </c>
      <c r="I587" s="3317"/>
      <c r="J587" s="3317"/>
      <c r="K587" s="3317"/>
      <c r="L587" s="3317"/>
      <c r="M587" s="3317"/>
      <c r="N587" s="3317"/>
      <c r="O587" s="3317"/>
      <c r="P587" s="3317"/>
      <c r="Q587" s="3317"/>
      <c r="R587" s="3317"/>
      <c r="S587" s="3317"/>
      <c r="T587" s="3317"/>
      <c r="U587" s="3317"/>
      <c r="V587" s="3317"/>
      <c r="W587" s="3317"/>
      <c r="X587" s="3317"/>
      <c r="Y587" s="3317"/>
      <c r="Z587" s="3317"/>
      <c r="AA587" s="3317"/>
      <c r="AB587" s="3317"/>
      <c r="AC587" s="3307">
        <f t="shared" si="329"/>
        <v>0</v>
      </c>
      <c r="AD587" s="3327"/>
      <c r="AE587" s="3327"/>
      <c r="AF587" s="3327"/>
      <c r="AG587" s="3327"/>
      <c r="AH587" s="3327"/>
      <c r="AI587" s="3327"/>
      <c r="AJ587" s="3327"/>
      <c r="AK587" s="3327"/>
      <c r="AL587" s="3327"/>
      <c r="AM587" s="3327"/>
      <c r="AN587" s="3327"/>
      <c r="AO587" s="3327"/>
      <c r="AP587" s="3327"/>
      <c r="AQ587" s="3327"/>
      <c r="AR587" s="3327"/>
      <c r="AS587" s="3327"/>
      <c r="AT587" s="3327"/>
      <c r="AU587" s="3362"/>
      <c r="AV587" s="1410">
        <f t="shared" si="330"/>
        <v>0</v>
      </c>
      <c r="AW587" s="1410">
        <f t="shared" si="331"/>
        <v>0</v>
      </c>
      <c r="AX587" s="1410">
        <f t="shared" si="332"/>
        <v>0</v>
      </c>
      <c r="AY587" s="3352">
        <f t="shared" si="333"/>
        <v>0</v>
      </c>
      <c r="AZ587" s="3307">
        <f t="shared" si="334"/>
        <v>0</v>
      </c>
      <c r="BA587" s="3307">
        <f t="shared" si="335"/>
        <v>0</v>
      </c>
      <c r="BB587" s="3307">
        <f t="shared" si="336"/>
        <v>0</v>
      </c>
      <c r="BC587" s="3307">
        <f t="shared" si="337"/>
        <v>0</v>
      </c>
      <c r="BD587" s="3307">
        <f t="shared" si="338"/>
        <v>0</v>
      </c>
      <c r="BE587" s="3307">
        <f t="shared" si="339"/>
        <v>0</v>
      </c>
      <c r="BF587" s="3307">
        <f t="shared" si="340"/>
        <v>0</v>
      </c>
      <c r="BG587" s="3307">
        <f t="shared" si="341"/>
        <v>0</v>
      </c>
      <c r="BH587" s="3307">
        <f t="shared" si="342"/>
        <v>0</v>
      </c>
      <c r="BI587" s="3307">
        <f t="shared" si="343"/>
        <v>0</v>
      </c>
      <c r="BJ587" s="3307">
        <f t="shared" si="344"/>
        <v>0</v>
      </c>
      <c r="BK587" s="3307">
        <f t="shared" si="345"/>
        <v>0</v>
      </c>
      <c r="BL587" s="3307">
        <f t="shared" si="346"/>
        <v>0</v>
      </c>
      <c r="BM587" s="3307">
        <f t="shared" si="347"/>
        <v>0</v>
      </c>
      <c r="BN587" s="3307">
        <f t="shared" si="348"/>
        <v>0</v>
      </c>
      <c r="BO587" s="3307">
        <f t="shared" si="349"/>
        <v>0</v>
      </c>
      <c r="BP587" s="3307">
        <f t="shared" si="350"/>
        <v>0</v>
      </c>
      <c r="BQ587" s="3307">
        <f t="shared" si="351"/>
        <v>0</v>
      </c>
      <c r="BR587" s="3307">
        <f t="shared" si="352"/>
        <v>0</v>
      </c>
      <c r="BS587" s="3307">
        <f t="shared" si="353"/>
        <v>0</v>
      </c>
      <c r="BT587" s="3359">
        <f t="shared" si="354"/>
        <v>0</v>
      </c>
    </row>
    <row r="588" s="3273" customFormat="1" spans="1:50">
      <c r="A588" s="3363"/>
      <c r="B588" s="3363"/>
      <c r="C588" s="3363"/>
      <c r="D588" s="3363"/>
      <c r="E588" s="3364"/>
      <c r="F588" s="3364"/>
      <c r="G588" s="3363"/>
      <c r="H588" s="3364"/>
      <c r="I588" s="3364"/>
      <c r="J588" s="3364"/>
      <c r="K588" s="3364"/>
      <c r="L588" s="3364"/>
      <c r="M588" s="3364"/>
      <c r="N588" s="3364"/>
      <c r="O588" s="3364"/>
      <c r="P588" s="3364"/>
      <c r="Q588" s="3364"/>
      <c r="R588" s="3364"/>
      <c r="S588" s="3364"/>
      <c r="T588" s="3364"/>
      <c r="U588" s="3364"/>
      <c r="V588" s="3364"/>
      <c r="W588" s="3364"/>
      <c r="X588" s="3364"/>
      <c r="Y588" s="3364"/>
      <c r="Z588" s="3364"/>
      <c r="AA588" s="3364"/>
      <c r="AB588" s="3364"/>
      <c r="AC588" s="3364"/>
      <c r="AD588" s="3364"/>
      <c r="AE588" s="3364"/>
      <c r="AF588" s="3364"/>
      <c r="AG588" s="3364"/>
      <c r="AH588" s="3364"/>
      <c r="AI588" s="3364"/>
      <c r="AJ588" s="3364"/>
      <c r="AK588" s="3364"/>
      <c r="AL588" s="3364"/>
      <c r="AM588" s="3364"/>
      <c r="AN588" s="3364"/>
      <c r="AO588" s="3364"/>
      <c r="AP588" s="3364"/>
      <c r="AQ588" s="3364"/>
      <c r="AR588" s="3364"/>
      <c r="AS588" s="3364"/>
      <c r="AT588" s="3364"/>
      <c r="AU588" s="3363"/>
      <c r="AV588" s="3363"/>
      <c r="AW588" s="3363"/>
      <c r="AX588" s="3363"/>
    </row>
    <row r="589" s="3274" customFormat="1" spans="3:4">
      <c r="C589" s="3365"/>
      <c r="D589" s="3365"/>
    </row>
    <row r="590" s="3274" customFormat="1" spans="3:4">
      <c r="C590" s="3365"/>
      <c r="D590" s="3365"/>
    </row>
    <row r="593" spans="2:2">
      <c r="B593" s="336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3175" customWidth="1"/>
    <col min="2" max="2" width="10.2222222222222" style="3175" customWidth="1"/>
    <col min="3" max="3" width="18.4444444444444" style="3175" customWidth="1"/>
    <col min="4" max="4" width="11.6666666666667" style="3175" customWidth="1"/>
    <col min="5" max="5" width="13.3333333333333" style="3175" customWidth="1"/>
    <col min="6" max="8" width="11.4444444444444" style="3175" customWidth="1"/>
    <col min="9" max="9" width="11.1111111111111" style="3175" customWidth="1"/>
    <col min="10" max="10" width="3.11111111111111" style="3176" customWidth="1"/>
    <col min="11" max="16" width="10" style="3175" customWidth="1"/>
    <col min="17" max="17" width="2.66666666666667" style="3175" customWidth="1"/>
    <col min="18" max="18" width="9.33333333333333" style="3175" customWidth="1"/>
    <col min="19" max="19" width="10.4444444444444" style="3175" customWidth="1"/>
    <col min="20" max="16384" width="9.22222222222222" style="3175"/>
  </cols>
  <sheetData>
    <row r="1" ht="18.15" spans="1:16">
      <c r="A1" s="2537" t="s">
        <v>559</v>
      </c>
      <c r="B1" s="2623"/>
      <c r="C1" s="2623"/>
      <c r="D1" s="2623"/>
      <c r="E1" s="2623"/>
      <c r="F1" s="2623"/>
      <c r="G1" s="2623"/>
      <c r="H1" s="2623"/>
      <c r="I1" s="2623"/>
      <c r="J1" s="2623"/>
      <c r="K1" s="2623"/>
      <c r="L1" s="2623"/>
      <c r="M1" s="2623"/>
      <c r="N1" s="2623"/>
      <c r="O1" s="2623"/>
      <c r="P1" s="2623"/>
    </row>
    <row r="2" ht="14.4" spans="1:16">
      <c r="A2" s="2453" t="s">
        <v>560</v>
      </c>
      <c r="B2" s="2453"/>
      <c r="C2" s="2453"/>
      <c r="D2" s="2453" t="s">
        <v>561</v>
      </c>
      <c r="E2" s="3177" t="s">
        <v>562</v>
      </c>
      <c r="F2" s="3178"/>
      <c r="G2" s="3179"/>
      <c r="H2" s="3180"/>
      <c r="I2" s="2801" t="s">
        <v>563</v>
      </c>
      <c r="J2" s="3178"/>
      <c r="K2" s="3178"/>
      <c r="L2" s="3178"/>
      <c r="M2" s="3178"/>
      <c r="N2" s="1541"/>
      <c r="O2" s="3178"/>
      <c r="P2" s="3178"/>
    </row>
    <row r="3" ht="15.15" spans="1:16">
      <c r="A3" s="3181" t="s">
        <v>564</v>
      </c>
      <c r="B3" s="3181"/>
      <c r="C3" s="3181"/>
      <c r="D3" s="3182">
        <f>'数据-基础表'!AY6</f>
        <v>3208.2</v>
      </c>
      <c r="E3" s="3182">
        <f>'数据-基础表'!AZ5</f>
        <v>10109.15</v>
      </c>
      <c r="F3" s="3178"/>
      <c r="G3" s="3183"/>
      <c r="H3" s="2571" t="s">
        <v>565</v>
      </c>
      <c r="I3" s="3246">
        <f>ROUND('数据-基础表'!B3/'数据-基础表'!A3,2)</f>
        <v>3.15</v>
      </c>
      <c r="J3" s="3178"/>
      <c r="K3" s="3178"/>
      <c r="L3" s="3178"/>
      <c r="M3" s="3178"/>
      <c r="N3" s="1541"/>
      <c r="O3" s="3178"/>
      <c r="P3" s="3178"/>
    </row>
    <row r="4" ht="14.4" spans="1:16">
      <c r="A4" s="2799"/>
      <c r="B4" s="2800"/>
      <c r="C4" s="3184"/>
      <c r="D4" s="3185" t="s">
        <v>561</v>
      </c>
      <c r="E4" s="3186" t="s">
        <v>562</v>
      </c>
      <c r="F4" s="3178"/>
      <c r="G4" s="3187" t="s">
        <v>566</v>
      </c>
      <c r="H4" s="2571" t="s">
        <v>567</v>
      </c>
      <c r="I4" s="3246">
        <f>ROUND(SUMIF('数据-基础表'!I9:AS9,"地上",'数据-基础表'!I5:AS5)/'数据-基础表'!A3,2)</f>
        <v>3.15</v>
      </c>
      <c r="J4" s="3178"/>
      <c r="K4" s="3178"/>
      <c r="L4" s="3178"/>
      <c r="M4" s="3178"/>
      <c r="N4" s="1541"/>
      <c r="O4" s="3178"/>
      <c r="P4" s="3178"/>
    </row>
    <row r="5" ht="14.4" spans="1:16">
      <c r="A5" s="3188" t="s">
        <v>568</v>
      </c>
      <c r="B5" s="1426" t="s">
        <v>569</v>
      </c>
      <c r="C5" s="1426"/>
      <c r="D5" s="3189">
        <f>ROUND($D$3*E5/$E$3,2)</f>
        <v>0</v>
      </c>
      <c r="E5" s="3190">
        <f>SUMIF('数据-基础表'!$11:$11,"住宅",'数据-基础表'!$5:$5)</f>
        <v>0</v>
      </c>
      <c r="F5" s="3178"/>
      <c r="G5" s="3183"/>
      <c r="H5" s="2571" t="s">
        <v>565</v>
      </c>
      <c r="I5" s="3246">
        <f>ROUND(E31/D31,2)</f>
        <v>3.15</v>
      </c>
      <c r="J5" s="3178"/>
      <c r="K5" s="3178"/>
      <c r="L5" s="3178"/>
      <c r="M5" s="3178"/>
      <c r="N5" s="3178"/>
      <c r="O5" s="3178"/>
      <c r="P5" s="3178"/>
    </row>
    <row r="6" ht="15.15" spans="1:16">
      <c r="A6" s="3191"/>
      <c r="B6" s="1426" t="s">
        <v>570</v>
      </c>
      <c r="C6" s="1426"/>
      <c r="D6" s="3189">
        <f>ROUND($D$3*E6/$E$3,2)</f>
        <v>3208.2</v>
      </c>
      <c r="E6" s="3190">
        <f>E3-E5</f>
        <v>10109.15</v>
      </c>
      <c r="F6" s="3178"/>
      <c r="G6" s="3192" t="s">
        <v>571</v>
      </c>
      <c r="H6" s="3193" t="s">
        <v>567</v>
      </c>
      <c r="I6" s="3247">
        <f>ROUND(F31/D31,2)</f>
        <v>3.15</v>
      </c>
      <c r="J6" s="3178"/>
      <c r="K6" s="3178"/>
      <c r="L6" s="3178"/>
      <c r="M6" s="3178"/>
      <c r="N6" s="3178"/>
      <c r="O6" s="3178"/>
      <c r="P6" s="3178"/>
    </row>
    <row r="7" ht="15.15" spans="1:16">
      <c r="A7" s="3194"/>
      <c r="B7" s="3195"/>
      <c r="C7" s="3196"/>
      <c r="D7" s="3185" t="s">
        <v>561</v>
      </c>
      <c r="E7" s="3197" t="s">
        <v>572</v>
      </c>
      <c r="F7" s="3178"/>
      <c r="G7" s="3198" t="s">
        <v>573</v>
      </c>
      <c r="H7" s="3199"/>
      <c r="I7" s="3248"/>
      <c r="J7" s="3178"/>
      <c r="K7" s="3178"/>
      <c r="L7" s="3178"/>
      <c r="M7" s="3178"/>
      <c r="N7" s="3178"/>
      <c r="O7" s="3178"/>
      <c r="P7" s="3178"/>
    </row>
    <row r="8" ht="14.4" spans="1:16">
      <c r="A8" s="3188" t="s">
        <v>574</v>
      </c>
      <c r="B8" s="3200" t="s">
        <v>575</v>
      </c>
      <c r="C8" s="3189" t="s">
        <v>576</v>
      </c>
      <c r="D8" s="3189">
        <f t="shared" ref="D8:D15" si="0">ROUND($D$3*E8/$E$3,2)</f>
        <v>3208.2</v>
      </c>
      <c r="E8" s="3201">
        <f>SUMIF('数据-基础表'!BB10:BK10,"地上",'数据-基础表'!BB5:BK5)</f>
        <v>10109.15</v>
      </c>
      <c r="F8" s="3178"/>
      <c r="G8" s="3202"/>
      <c r="H8" s="3202"/>
      <c r="I8" s="3178"/>
      <c r="J8" s="3178"/>
      <c r="K8" s="3178"/>
      <c r="L8" s="3178"/>
      <c r="M8" s="3178"/>
      <c r="N8" s="3178"/>
      <c r="O8" s="3178"/>
      <c r="P8" s="3178"/>
    </row>
    <row r="9" ht="14.4" spans="1:16">
      <c r="A9" s="3203"/>
      <c r="B9" s="3204"/>
      <c r="C9" s="3189" t="s">
        <v>577</v>
      </c>
      <c r="D9" s="3189">
        <f t="shared" si="0"/>
        <v>0</v>
      </c>
      <c r="E9" s="3205">
        <v>0</v>
      </c>
      <c r="F9" s="3178"/>
      <c r="G9" s="3202"/>
      <c r="H9" s="3202"/>
      <c r="I9" s="3178"/>
      <c r="J9" s="3178"/>
      <c r="K9" s="3178"/>
      <c r="L9" s="3178"/>
      <c r="M9" s="3178"/>
      <c r="N9" s="3178"/>
      <c r="O9" s="3178"/>
      <c r="P9" s="3178"/>
    </row>
    <row r="10" ht="14.4" spans="1:16">
      <c r="A10" s="3203"/>
      <c r="B10" s="3204"/>
      <c r="C10" s="3189" t="s">
        <v>578</v>
      </c>
      <c r="D10" s="3189">
        <f t="shared" si="0"/>
        <v>0</v>
      </c>
      <c r="E10" s="3201">
        <f>SUMPRODUCT(('数据-基础表'!BB10:BK10="地下")*('数据-基础表'!BB11:BK11="商业")*('数据-基础表'!BB5:BK5))</f>
        <v>0</v>
      </c>
      <c r="F10" s="3178"/>
      <c r="G10" s="3202"/>
      <c r="H10" s="3202"/>
      <c r="I10" s="3178"/>
      <c r="J10" s="3178"/>
      <c r="K10" s="3178"/>
      <c r="L10" s="3178"/>
      <c r="M10" s="3178"/>
      <c r="N10" s="3178"/>
      <c r="O10" s="3178"/>
      <c r="P10" s="3178"/>
    </row>
    <row r="11" ht="14.4" spans="1:16">
      <c r="A11" s="3203"/>
      <c r="B11" s="3204"/>
      <c r="C11" s="3189" t="s">
        <v>579</v>
      </c>
      <c r="D11" s="3189">
        <f t="shared" si="0"/>
        <v>0</v>
      </c>
      <c r="E11" s="3201">
        <f>SUMPRODUCT(('数据-基础表'!BB10:BK10="地下")*('数据-基础表'!BB11:BK11="办公")*('数据-基础表'!BB5:BK5))+'数据-基础表'!BP5</f>
        <v>0</v>
      </c>
      <c r="F11" s="3178"/>
      <c r="G11" s="3202"/>
      <c r="H11" s="3202"/>
      <c r="I11" s="3178"/>
      <c r="J11" s="3178"/>
      <c r="K11" s="3178"/>
      <c r="L11" s="3178"/>
      <c r="M11" s="3178"/>
      <c r="N11" s="3178"/>
      <c r="O11" s="3178"/>
      <c r="P11" s="3178"/>
    </row>
    <row r="12" ht="14.4" spans="1:16">
      <c r="A12" s="3203"/>
      <c r="B12" s="3204"/>
      <c r="C12" s="3189" t="s">
        <v>580</v>
      </c>
      <c r="D12" s="3189">
        <f t="shared" si="0"/>
        <v>0</v>
      </c>
      <c r="E12" s="3201">
        <f>SUMPRODUCT(('数据-基础表'!BB10:BK10="地下")*('数据-基础表'!BB11:BK11="仓储")*('数据-基础表'!BB5:BK5))</f>
        <v>0</v>
      </c>
      <c r="F12" s="3178"/>
      <c r="G12" s="3202"/>
      <c r="H12" s="3202"/>
      <c r="I12" s="3178"/>
      <c r="J12" s="3178"/>
      <c r="K12" s="3178"/>
      <c r="L12" s="3178"/>
      <c r="M12" s="3178"/>
      <c r="N12" s="3178"/>
      <c r="O12" s="3178"/>
      <c r="P12" s="3178"/>
    </row>
    <row r="13" ht="14.4" spans="1:16">
      <c r="A13" s="3203"/>
      <c r="B13" s="3204"/>
      <c r="C13" s="3189" t="s">
        <v>581</v>
      </c>
      <c r="D13" s="3189">
        <f t="shared" si="0"/>
        <v>0</v>
      </c>
      <c r="E13" s="3201">
        <f>SUMPRODUCT(('数据-基础表'!BB10:BK10="地下")*('数据-基础表'!BB11:BK11="车库")*('数据-基础表'!BB5:BK5))</f>
        <v>0</v>
      </c>
      <c r="F13" s="3178"/>
      <c r="G13" s="3202"/>
      <c r="H13" s="3202"/>
      <c r="I13" s="3178"/>
      <c r="J13" s="3178"/>
      <c r="K13" s="3178"/>
      <c r="L13" s="3178"/>
      <c r="M13" s="3178"/>
      <c r="N13" s="3178"/>
      <c r="O13" s="3178"/>
      <c r="P13" s="3178"/>
    </row>
    <row r="14" ht="14.4" spans="1:16">
      <c r="A14" s="3203"/>
      <c r="B14" s="3204"/>
      <c r="C14" s="3189" t="s">
        <v>582</v>
      </c>
      <c r="D14" s="3189">
        <f t="shared" si="0"/>
        <v>0</v>
      </c>
      <c r="E14" s="3201">
        <f>SUMPRODUCT(('数据-基础表'!BB10:BK10="地下")*('数据-基础表'!BB11:BK11="车库—商业")*('数据-基础表'!BB5:BK5))</f>
        <v>0</v>
      </c>
      <c r="F14" s="3178"/>
      <c r="G14" s="3202"/>
      <c r="H14" s="3202"/>
      <c r="I14" s="3178"/>
      <c r="J14" s="3178"/>
      <c r="K14" s="3178"/>
      <c r="L14" s="3178"/>
      <c r="M14" s="3178"/>
      <c r="N14" s="3178"/>
      <c r="O14" s="3178"/>
      <c r="P14" s="3178"/>
    </row>
    <row r="15" ht="15.15" spans="1:16">
      <c r="A15" s="3203"/>
      <c r="B15" s="3204"/>
      <c r="C15" s="3189" t="s">
        <v>583</v>
      </c>
      <c r="D15" s="3189">
        <f t="shared" si="0"/>
        <v>0</v>
      </c>
      <c r="E15" s="3201">
        <f>SUMPRODUCT(('数据-基础表'!BB10:BK10="地下")*('数据-基础表'!BB11:BK11="车库—办公")*('数据-基础表'!BB5:BK5))</f>
        <v>0</v>
      </c>
      <c r="F15" s="3178"/>
      <c r="G15" s="3202"/>
      <c r="H15" s="3202"/>
      <c r="I15" s="3178"/>
      <c r="J15" s="3178"/>
      <c r="K15" s="3178"/>
      <c r="L15" s="3178"/>
      <c r="M15" s="3178"/>
      <c r="N15" s="3178"/>
      <c r="O15" s="3178"/>
      <c r="P15" s="3178"/>
    </row>
    <row r="16" ht="15.15" spans="1:16">
      <c r="A16" s="3191"/>
      <c r="B16" s="3204"/>
      <c r="C16" s="3200" t="s">
        <v>584</v>
      </c>
      <c r="D16" s="3200">
        <f>SUM(D8:D15)</f>
        <v>3208.2</v>
      </c>
      <c r="E16" s="3206">
        <f>SUM(E8:E15)</f>
        <v>10109.15</v>
      </c>
      <c r="F16" s="3178"/>
      <c r="G16" s="3202"/>
      <c r="H16" s="3207" t="s">
        <v>585</v>
      </c>
      <c r="I16" s="3249"/>
      <c r="J16" s="2623"/>
      <c r="K16" s="3250" t="s">
        <v>585</v>
      </c>
      <c r="L16" s="3209"/>
      <c r="M16" s="3209"/>
      <c r="N16" s="3209"/>
      <c r="O16" s="3209"/>
      <c r="P16" s="3251"/>
    </row>
    <row r="17" ht="14.4" spans="1:19">
      <c r="A17" s="3137" t="s">
        <v>586</v>
      </c>
      <c r="B17" s="3208" t="s">
        <v>587</v>
      </c>
      <c r="C17" s="3136" t="s">
        <v>588</v>
      </c>
      <c r="D17" s="3209" t="s">
        <v>561</v>
      </c>
      <c r="E17" s="3210" t="s">
        <v>562</v>
      </c>
      <c r="F17" s="3211"/>
      <c r="G17" s="3212"/>
      <c r="H17" s="3213" t="s">
        <v>589</v>
      </c>
      <c r="I17" s="3252" t="s">
        <v>590</v>
      </c>
      <c r="J17" s="2623"/>
      <c r="K17" s="3253" t="s">
        <v>591</v>
      </c>
      <c r="L17" s="3254"/>
      <c r="M17" s="3255"/>
      <c r="N17" s="3253" t="s">
        <v>592</v>
      </c>
      <c r="O17" s="3254"/>
      <c r="P17" s="3255"/>
      <c r="R17" s="3268" t="s">
        <v>593</v>
      </c>
      <c r="S17" s="2558"/>
    </row>
    <row r="18" ht="14.4" spans="1:19">
      <c r="A18" s="3203"/>
      <c r="B18" s="3214"/>
      <c r="C18" s="3215"/>
      <c r="D18" s="3216"/>
      <c r="E18" s="3217" t="s">
        <v>594</v>
      </c>
      <c r="F18" s="3218" t="s">
        <v>567</v>
      </c>
      <c r="G18" s="3219" t="s">
        <v>595</v>
      </c>
      <c r="H18" s="3142" t="s">
        <v>596</v>
      </c>
      <c r="I18" s="3256" t="s">
        <v>597</v>
      </c>
      <c r="J18" s="2623"/>
      <c r="K18" s="3142" t="s">
        <v>598</v>
      </c>
      <c r="L18" s="2820" t="s">
        <v>599</v>
      </c>
      <c r="M18" s="3246" t="s">
        <v>600</v>
      </c>
      <c r="N18" s="3142" t="s">
        <v>598</v>
      </c>
      <c r="O18" s="2820" t="s">
        <v>599</v>
      </c>
      <c r="P18" s="3246" t="s">
        <v>600</v>
      </c>
      <c r="R18" s="2571" t="s">
        <v>596</v>
      </c>
      <c r="S18" s="2571" t="s">
        <v>597</v>
      </c>
    </row>
    <row r="19" ht="14.4" spans="1:19">
      <c r="A19" s="3220"/>
      <c r="B19" s="3200" t="s">
        <v>601</v>
      </c>
      <c r="C19" s="3221" t="s">
        <v>549</v>
      </c>
      <c r="D19" s="3189">
        <f>ROUND($D$3*E19/$E$3,2)</f>
        <v>3208.2</v>
      </c>
      <c r="E19" s="3222">
        <f t="shared" ref="E19:E26" si="1">SUM(F19:G19)</f>
        <v>10109.15</v>
      </c>
      <c r="F19" s="3223">
        <f>'数据-基础表'!I13</f>
        <v>10109.15</v>
      </c>
      <c r="G19" s="3224"/>
      <c r="H19" s="3126">
        <f>ROUND($D$3*I19/$E$3,2)</f>
        <v>0</v>
      </c>
      <c r="I19" s="3201">
        <f t="shared" ref="I19:I26" si="2">IF($I$17="自定义",P19,M19)</f>
        <v>0</v>
      </c>
      <c r="J19" s="2623"/>
      <c r="K19" s="3257">
        <f t="shared" ref="K19:K26" si="3">ROUND(E$28*E19/E$27,2)</f>
        <v>0</v>
      </c>
      <c r="L19" s="2571">
        <f t="shared" ref="L19:L26" si="4">ROUND(IF(COUNTIF(C19,"*住宅*")&gt;0,E$29*E19/E$32,0),2)</f>
        <v>0</v>
      </c>
      <c r="M19" s="3258">
        <f>K19+L19</f>
        <v>0</v>
      </c>
      <c r="N19" s="3259"/>
      <c r="O19" s="3260"/>
      <c r="P19" s="3258">
        <f>N19+O19</f>
        <v>0</v>
      </c>
      <c r="R19" s="2571">
        <f t="shared" ref="R19:S26" si="5">D19+H19</f>
        <v>3208.2</v>
      </c>
      <c r="S19" s="3269">
        <f t="shared" si="5"/>
        <v>10109.15</v>
      </c>
    </row>
    <row r="20" ht="14.4" spans="1:19">
      <c r="A20" s="3225"/>
      <c r="B20" s="3200" t="s">
        <v>601</v>
      </c>
      <c r="C20" s="3221"/>
      <c r="D20" s="3189">
        <f t="shared" ref="D20:D26" si="6">ROUND($D$3*E20/$E$3,2)</f>
        <v>0</v>
      </c>
      <c r="E20" s="3222">
        <f t="shared" si="1"/>
        <v>0</v>
      </c>
      <c r="F20" s="3223"/>
      <c r="G20" s="3224"/>
      <c r="H20" s="3126">
        <f t="shared" ref="H20:H26" si="7">ROUND($D$3*I20/$E$3,2)</f>
        <v>0</v>
      </c>
      <c r="I20" s="3201">
        <f t="shared" si="2"/>
        <v>0</v>
      </c>
      <c r="J20" s="2623"/>
      <c r="K20" s="3257">
        <f t="shared" si="3"/>
        <v>0</v>
      </c>
      <c r="L20" s="2571">
        <f t="shared" si="4"/>
        <v>0</v>
      </c>
      <c r="M20" s="3258">
        <f t="shared" ref="M20:M26" si="8">K20+L20</f>
        <v>0</v>
      </c>
      <c r="N20" s="3259"/>
      <c r="O20" s="3260"/>
      <c r="P20" s="3258">
        <f t="shared" ref="P20:P26" si="9">N20+O20</f>
        <v>0</v>
      </c>
      <c r="R20" s="2571">
        <f t="shared" si="5"/>
        <v>0</v>
      </c>
      <c r="S20" s="3269">
        <f t="shared" si="5"/>
        <v>0</v>
      </c>
    </row>
    <row r="21" ht="14.4" spans="1:19">
      <c r="A21" s="3225"/>
      <c r="B21" s="3200" t="s">
        <v>601</v>
      </c>
      <c r="C21" s="3221"/>
      <c r="D21" s="3189">
        <f t="shared" si="6"/>
        <v>0</v>
      </c>
      <c r="E21" s="3222">
        <f t="shared" si="1"/>
        <v>0</v>
      </c>
      <c r="F21" s="3223"/>
      <c r="G21" s="3224"/>
      <c r="H21" s="3126">
        <f t="shared" si="7"/>
        <v>0</v>
      </c>
      <c r="I21" s="3201">
        <f t="shared" si="2"/>
        <v>0</v>
      </c>
      <c r="J21" s="2623"/>
      <c r="K21" s="3257">
        <f t="shared" si="3"/>
        <v>0</v>
      </c>
      <c r="L21" s="2571">
        <f t="shared" si="4"/>
        <v>0</v>
      </c>
      <c r="M21" s="3258">
        <f t="shared" si="8"/>
        <v>0</v>
      </c>
      <c r="N21" s="3259"/>
      <c r="O21" s="3260"/>
      <c r="P21" s="3258">
        <f t="shared" si="9"/>
        <v>0</v>
      </c>
      <c r="R21" s="2571">
        <f t="shared" si="5"/>
        <v>0</v>
      </c>
      <c r="S21" s="3269">
        <f t="shared" si="5"/>
        <v>0</v>
      </c>
    </row>
    <row r="22" ht="14.4" spans="1:19">
      <c r="A22" s="3225"/>
      <c r="B22" s="3200" t="s">
        <v>601</v>
      </c>
      <c r="C22" s="3226"/>
      <c r="D22" s="3189">
        <f t="shared" si="6"/>
        <v>0</v>
      </c>
      <c r="E22" s="3222">
        <f t="shared" si="1"/>
        <v>0</v>
      </c>
      <c r="F22" s="3227"/>
      <c r="G22" s="3228"/>
      <c r="H22" s="3126">
        <f t="shared" si="7"/>
        <v>0</v>
      </c>
      <c r="I22" s="3201">
        <f t="shared" si="2"/>
        <v>0</v>
      </c>
      <c r="J22" s="2623"/>
      <c r="K22" s="3257">
        <f t="shared" si="3"/>
        <v>0</v>
      </c>
      <c r="L22" s="2571">
        <f t="shared" si="4"/>
        <v>0</v>
      </c>
      <c r="M22" s="3258">
        <f t="shared" si="8"/>
        <v>0</v>
      </c>
      <c r="N22" s="3259"/>
      <c r="O22" s="3260"/>
      <c r="P22" s="3258">
        <f t="shared" si="9"/>
        <v>0</v>
      </c>
      <c r="R22" s="2571">
        <f t="shared" si="5"/>
        <v>0</v>
      </c>
      <c r="S22" s="3269">
        <f t="shared" si="5"/>
        <v>0</v>
      </c>
    </row>
    <row r="23" ht="14.4" spans="1:19">
      <c r="A23" s="3225"/>
      <c r="B23" s="3200" t="s">
        <v>601</v>
      </c>
      <c r="C23" s="3226"/>
      <c r="D23" s="3189">
        <f t="shared" si="6"/>
        <v>0</v>
      </c>
      <c r="E23" s="3222">
        <f t="shared" si="1"/>
        <v>0</v>
      </c>
      <c r="F23" s="3227"/>
      <c r="G23" s="3228"/>
      <c r="H23" s="3126">
        <f t="shared" si="7"/>
        <v>0</v>
      </c>
      <c r="I23" s="3201">
        <f t="shared" si="2"/>
        <v>0</v>
      </c>
      <c r="J23" s="2623"/>
      <c r="K23" s="3257">
        <f t="shared" si="3"/>
        <v>0</v>
      </c>
      <c r="L23" s="2571">
        <f t="shared" si="4"/>
        <v>0</v>
      </c>
      <c r="M23" s="3258">
        <f t="shared" si="8"/>
        <v>0</v>
      </c>
      <c r="N23" s="3259"/>
      <c r="O23" s="3260"/>
      <c r="P23" s="3258">
        <f t="shared" si="9"/>
        <v>0</v>
      </c>
      <c r="R23" s="2571">
        <f t="shared" si="5"/>
        <v>0</v>
      </c>
      <c r="S23" s="3269">
        <f t="shared" si="5"/>
        <v>0</v>
      </c>
    </row>
    <row r="24" ht="14.4" spans="1:19">
      <c r="A24" s="3225"/>
      <c r="B24" s="3200" t="s">
        <v>601</v>
      </c>
      <c r="C24" s="3226"/>
      <c r="D24" s="3189">
        <f t="shared" si="6"/>
        <v>0</v>
      </c>
      <c r="E24" s="3222">
        <f t="shared" si="1"/>
        <v>0</v>
      </c>
      <c r="F24" s="3227"/>
      <c r="G24" s="3228"/>
      <c r="H24" s="3126">
        <f t="shared" si="7"/>
        <v>0</v>
      </c>
      <c r="I24" s="3201">
        <f t="shared" si="2"/>
        <v>0</v>
      </c>
      <c r="J24" s="2623"/>
      <c r="K24" s="3257">
        <f t="shared" si="3"/>
        <v>0</v>
      </c>
      <c r="L24" s="2571">
        <f t="shared" si="4"/>
        <v>0</v>
      </c>
      <c r="M24" s="3258">
        <f t="shared" si="8"/>
        <v>0</v>
      </c>
      <c r="N24" s="3259"/>
      <c r="O24" s="3260"/>
      <c r="P24" s="3258">
        <f t="shared" si="9"/>
        <v>0</v>
      </c>
      <c r="R24" s="2571">
        <f t="shared" si="5"/>
        <v>0</v>
      </c>
      <c r="S24" s="3269">
        <f t="shared" si="5"/>
        <v>0</v>
      </c>
    </row>
    <row r="25" ht="14.4" spans="1:19">
      <c r="A25" s="3225"/>
      <c r="B25" s="3200" t="s">
        <v>601</v>
      </c>
      <c r="C25" s="3226"/>
      <c r="D25" s="3189">
        <f t="shared" si="6"/>
        <v>0</v>
      </c>
      <c r="E25" s="3222">
        <f t="shared" si="1"/>
        <v>0</v>
      </c>
      <c r="F25" s="3227"/>
      <c r="G25" s="3228"/>
      <c r="H25" s="3188">
        <f t="shared" si="7"/>
        <v>0</v>
      </c>
      <c r="I25" s="3201">
        <f t="shared" si="2"/>
        <v>0</v>
      </c>
      <c r="J25" s="2623"/>
      <c r="K25" s="3257">
        <f t="shared" si="3"/>
        <v>0</v>
      </c>
      <c r="L25" s="2571">
        <f t="shared" si="4"/>
        <v>0</v>
      </c>
      <c r="M25" s="3258">
        <f t="shared" si="8"/>
        <v>0</v>
      </c>
      <c r="N25" s="3259"/>
      <c r="O25" s="3260"/>
      <c r="P25" s="3258">
        <f t="shared" si="9"/>
        <v>0</v>
      </c>
      <c r="R25" s="2571">
        <f t="shared" si="5"/>
        <v>0</v>
      </c>
      <c r="S25" s="3269">
        <f t="shared" si="5"/>
        <v>0</v>
      </c>
    </row>
    <row r="26" ht="14.4" spans="1:19">
      <c r="A26" s="3225"/>
      <c r="B26" s="3200" t="s">
        <v>601</v>
      </c>
      <c r="C26" s="3229"/>
      <c r="D26" s="3189">
        <f t="shared" si="6"/>
        <v>0</v>
      </c>
      <c r="E26" s="3222">
        <f t="shared" si="1"/>
        <v>0</v>
      </c>
      <c r="F26" s="3227"/>
      <c r="G26" s="3228"/>
      <c r="H26" s="3188">
        <f t="shared" si="7"/>
        <v>0</v>
      </c>
      <c r="I26" s="3201">
        <f t="shared" si="2"/>
        <v>0</v>
      </c>
      <c r="J26" s="2623"/>
      <c r="K26" s="3183">
        <f t="shared" si="3"/>
        <v>0</v>
      </c>
      <c r="L26" s="3193">
        <f t="shared" si="4"/>
        <v>0</v>
      </c>
      <c r="M26" s="3236">
        <f t="shared" si="8"/>
        <v>0</v>
      </c>
      <c r="N26" s="3261"/>
      <c r="O26" s="3262"/>
      <c r="P26" s="3236">
        <f t="shared" si="9"/>
        <v>0</v>
      </c>
      <c r="R26" s="2571">
        <f t="shared" si="5"/>
        <v>0</v>
      </c>
      <c r="S26" s="3269">
        <f t="shared" si="5"/>
        <v>0</v>
      </c>
    </row>
    <row r="27" ht="15.15" spans="1:19">
      <c r="A27" s="3225"/>
      <c r="B27" s="3189"/>
      <c r="C27" s="2806" t="s">
        <v>602</v>
      </c>
      <c r="D27" s="3230">
        <f>SUM(D19:D26)</f>
        <v>3208.2</v>
      </c>
      <c r="E27" s="3231">
        <f>IF(SUM(E19:E26)='数据-基础表'!BA5,SUM(E19:E26),IF(F27="地上面积有误","面积有误","地下面积有误"))</f>
        <v>10109.15</v>
      </c>
      <c r="F27" s="3230">
        <f>IF(SUM(F19:F26)=E8,SUM(F19:F26),"地上面积有误")</f>
        <v>10109.15</v>
      </c>
      <c r="G27" s="3232">
        <f>SUM(G19:G26)</f>
        <v>0</v>
      </c>
      <c r="H27" s="3233">
        <f>SUM(H19:H26)</f>
        <v>0</v>
      </c>
      <c r="I27" s="3263">
        <f>SUM(I19:I26)</f>
        <v>0</v>
      </c>
      <c r="J27" s="2623"/>
      <c r="K27" s="3264">
        <f>SUM(K19:K26)</f>
        <v>0</v>
      </c>
      <c r="L27" s="3265">
        <f>SUM(L19:L26)</f>
        <v>0</v>
      </c>
      <c r="M27" s="3266">
        <f>SUM(M19:M26)</f>
        <v>0</v>
      </c>
      <c r="N27" s="3264">
        <f t="shared" ref="N27:P27" si="10">SUM(N19:N26)</f>
        <v>0</v>
      </c>
      <c r="O27" s="3265">
        <f t="shared" si="10"/>
        <v>0</v>
      </c>
      <c r="P27" s="3267">
        <f t="shared" si="10"/>
        <v>0</v>
      </c>
      <c r="R27" s="3169">
        <f>IF(SUM(R19:R26)=$D$3,SUM(R19:R26),SUM(R19:R26)&amp;"误差"&amp;ROUND(SUM(R19:R26)-$D$3,2))</f>
        <v>3208.2</v>
      </c>
      <c r="S27" s="2571">
        <f>IF(SUM(S19:S26)=$E$3,SUM(S19:S26),SUM(S19:S26)&amp;"误差"&amp;ROUND(SUM(S19:S26)-E3,2))</f>
        <v>10109.15</v>
      </c>
    </row>
    <row r="28" ht="14.4" spans="1:16">
      <c r="A28" s="3225"/>
      <c r="B28" s="3200" t="s">
        <v>603</v>
      </c>
      <c r="C28" s="3145" t="s">
        <v>604</v>
      </c>
      <c r="D28" s="3189">
        <f>ROUND($D$3*E28/$E$3,2)</f>
        <v>0</v>
      </c>
      <c r="E28" s="3222">
        <f>SUM(F28:G28)</f>
        <v>0</v>
      </c>
      <c r="F28" s="2558">
        <f>'数据-基础表'!BQ5+'数据-基础表'!BS5</f>
        <v>0</v>
      </c>
      <c r="G28" s="3234">
        <f>'数据-基础表'!BR5+'数据-基础表'!BT5</f>
        <v>0</v>
      </c>
      <c r="H28" s="3178"/>
      <c r="I28" s="3178"/>
      <c r="J28" s="3178"/>
      <c r="K28" s="3178"/>
      <c r="L28" s="3178"/>
      <c r="M28" s="3178"/>
      <c r="N28" s="3178"/>
      <c r="O28" s="3178"/>
      <c r="P28" s="3178"/>
    </row>
    <row r="29" ht="14.4" spans="1:16">
      <c r="A29" s="3225"/>
      <c r="B29" s="3200" t="s">
        <v>603</v>
      </c>
      <c r="C29" s="2621" t="s">
        <v>605</v>
      </c>
      <c r="D29" s="3189">
        <f>ROUND($D$3*E29/$E$3,2)</f>
        <v>0</v>
      </c>
      <c r="E29" s="3222">
        <f>SUM(F29:G29)</f>
        <v>0</v>
      </c>
      <c r="F29" s="3235">
        <f>'数据-基础表'!BM5+'数据-基础表'!BO5</f>
        <v>0</v>
      </c>
      <c r="G29" s="3236">
        <f>'数据-基础表'!BN5+'数据-基础表'!BP5</f>
        <v>0</v>
      </c>
      <c r="H29" s="3178"/>
      <c r="I29" s="3178"/>
      <c r="J29" s="3178"/>
      <c r="K29" s="3178"/>
      <c r="L29" s="3178"/>
      <c r="M29" s="3178"/>
      <c r="N29" s="3178"/>
      <c r="O29" s="3178"/>
      <c r="P29" s="3178"/>
    </row>
    <row r="30" ht="14.4" spans="1:16">
      <c r="A30" s="3225"/>
      <c r="B30" s="3200"/>
      <c r="C30" s="3237" t="s">
        <v>602</v>
      </c>
      <c r="D30" s="3230">
        <f>SUM(D28:D29)</f>
        <v>0</v>
      </c>
      <c r="E30" s="3230">
        <f>SUM(E28:E29)</f>
        <v>0</v>
      </c>
      <c r="F30" s="3230">
        <f>SUM(F28:F29)</f>
        <v>0</v>
      </c>
      <c r="G30" s="3232">
        <f>SUM(G28:G29)</f>
        <v>0</v>
      </c>
      <c r="H30" s="3178"/>
      <c r="I30" s="3178"/>
      <c r="J30" s="3178"/>
      <c r="K30" s="3178"/>
      <c r="L30" s="3178"/>
      <c r="M30" s="3178"/>
      <c r="N30" s="3178"/>
      <c r="O30" s="3178"/>
      <c r="P30" s="3178"/>
    </row>
    <row r="31" ht="15.15" spans="1:16">
      <c r="A31" s="3238"/>
      <c r="B31" s="3239"/>
      <c r="C31" s="2495" t="s">
        <v>606</v>
      </c>
      <c r="D31" s="3240">
        <f>D27+D30</f>
        <v>3208.2</v>
      </c>
      <c r="E31" s="3240">
        <f>E27+E30</f>
        <v>10109.15</v>
      </c>
      <c r="F31" s="3241">
        <f>F27+F30</f>
        <v>10109.15</v>
      </c>
      <c r="G31" s="3242">
        <f>G27+G30</f>
        <v>0</v>
      </c>
      <c r="H31" s="3178"/>
      <c r="I31" s="3178"/>
      <c r="J31" s="3178"/>
      <c r="K31" s="3178"/>
      <c r="L31" s="3178"/>
      <c r="M31" s="3178"/>
      <c r="N31" s="3178"/>
      <c r="O31" s="3178"/>
      <c r="P31" s="3178"/>
    </row>
    <row r="32" ht="14.4" spans="1:16">
      <c r="A32" s="3243"/>
      <c r="B32" s="3243" t="s">
        <v>607</v>
      </c>
      <c r="C32" s="3243"/>
      <c r="D32" s="3243"/>
      <c r="E32" s="3244">
        <f>SUMIF(C19:C26,"*住宅*",E19:E26)</f>
        <v>0</v>
      </c>
      <c r="F32" s="3243"/>
      <c r="G32" s="3243"/>
      <c r="H32" s="3178"/>
      <c r="I32" s="3178"/>
      <c r="J32" s="3178"/>
      <c r="K32" s="3178"/>
      <c r="L32" s="3178"/>
      <c r="M32" s="3178"/>
      <c r="N32" s="3178"/>
      <c r="O32" s="3178"/>
      <c r="P32" s="3178"/>
    </row>
    <row r="33" spans="4:4">
      <c r="D33" s="32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23" activePane="bottomRight" state="frozen"/>
      <selection/>
      <selection pane="topRight"/>
      <selection pane="bottomLeft"/>
      <selection pane="bottomRight" activeCell="L6" sqref="L6"/>
    </sheetView>
  </sheetViews>
  <sheetFormatPr defaultColWidth="13.7777777777778" defaultRowHeight="13.2"/>
  <cols>
    <col min="1" max="1" width="20.8888888888889" style="2978" customWidth="1"/>
    <col min="2" max="2" width="12" style="2979" customWidth="1"/>
    <col min="3" max="3" width="12.7777777777778" style="2979" customWidth="1"/>
    <col min="4" max="4" width="9.11111111111111" style="2980" customWidth="1"/>
    <col min="5" max="5" width="15" style="2979" customWidth="1"/>
    <col min="6" max="10" width="8.88888888888889" style="2979" customWidth="1"/>
    <col min="11" max="12" width="12.3333333333333" style="2981" customWidth="1"/>
    <col min="13" max="13" width="8.66666666666667" style="2979" customWidth="1"/>
    <col min="14" max="14" width="11.8888888888889" style="2979" customWidth="1"/>
    <col min="15" max="15" width="8.44444444444444" style="2979" customWidth="1"/>
    <col min="16" max="17" width="10.8888888888889" style="2979" customWidth="1"/>
    <col min="18" max="19" width="12.4444444444444" style="2979" customWidth="1"/>
    <col min="20" max="20" width="12.1111111111111" style="2979" customWidth="1"/>
    <col min="21" max="21" width="7.44444444444444" style="2979" customWidth="1"/>
    <col min="22" max="22" width="6.33333333333333" style="2979" customWidth="1"/>
    <col min="23" max="30" width="6.77777777777778" style="2979" customWidth="1"/>
    <col min="31" max="31" width="8" style="2979" customWidth="1"/>
    <col min="32" max="34" width="7.22222222222222" style="2979" customWidth="1"/>
    <col min="35" max="39" width="8" style="2979" customWidth="1"/>
    <col min="40" max="40" width="13.7777777777778" style="2977"/>
    <col min="41" max="41" width="11.6666666666667" style="2977" customWidth="1"/>
    <col min="42" max="42" width="9.77777777777778" style="2977" customWidth="1"/>
    <col min="43" max="67" width="13.7777777777778" style="2977"/>
    <col min="68" max="16384" width="13.7777777777778" style="2979"/>
  </cols>
  <sheetData>
    <row r="1" ht="18.15" spans="1:44">
      <c r="A1" s="2982" t="s">
        <v>608</v>
      </c>
      <c r="B1" s="2983"/>
      <c r="C1" s="2240"/>
      <c r="D1" s="2984"/>
      <c r="E1" s="2240"/>
      <c r="F1" s="2240"/>
      <c r="G1" s="2240"/>
      <c r="H1" s="2240"/>
      <c r="I1" s="2240"/>
      <c r="J1" s="2240"/>
      <c r="K1" s="1087"/>
      <c r="L1" s="1087"/>
      <c r="M1" s="2240"/>
      <c r="N1" s="2240"/>
      <c r="O1" s="2240"/>
      <c r="P1" s="2240"/>
      <c r="Q1" s="2240"/>
      <c r="R1" s="2240"/>
      <c r="S1" s="2240"/>
      <c r="T1" s="2240"/>
      <c r="U1" s="2240"/>
      <c r="V1" s="2240"/>
      <c r="W1" s="2240"/>
      <c r="X1" s="2240"/>
      <c r="Y1" s="2240"/>
      <c r="Z1" s="2240"/>
      <c r="AA1" s="2240"/>
      <c r="AB1" s="2240"/>
      <c r="AC1" s="2240"/>
      <c r="AD1" s="2240"/>
      <c r="AE1" s="2240"/>
      <c r="AF1" s="2240"/>
      <c r="AG1" s="2240"/>
      <c r="AH1" s="2240"/>
      <c r="AI1" s="2240"/>
      <c r="AJ1" s="2240"/>
      <c r="AK1" s="2240"/>
      <c r="AL1" s="2240"/>
      <c r="AM1" s="2240"/>
      <c r="AN1" s="2436"/>
      <c r="AO1" s="2436"/>
      <c r="AP1" s="2436"/>
      <c r="AQ1" s="2436"/>
      <c r="AR1" s="2436"/>
    </row>
    <row r="2" s="2974" customFormat="1" ht="15.15" spans="1:67">
      <c r="A2" s="2985" t="s">
        <v>609</v>
      </c>
      <c r="B2" s="2986">
        <f>项目基本情况!D3</f>
        <v>45022</v>
      </c>
      <c r="C2" s="2987"/>
      <c r="D2" s="2988"/>
      <c r="E2" s="2987"/>
      <c r="F2" s="2987"/>
      <c r="G2" s="2987"/>
      <c r="H2" s="2987"/>
      <c r="I2" s="2987"/>
      <c r="J2" s="2987"/>
      <c r="K2" s="3084"/>
      <c r="L2" s="3084"/>
      <c r="M2" s="2987"/>
      <c r="N2" s="2987"/>
      <c r="O2" s="2987"/>
      <c r="P2" s="2987"/>
      <c r="Q2" s="2987"/>
      <c r="R2" s="2987"/>
      <c r="S2" s="2987"/>
      <c r="T2" s="2987"/>
      <c r="U2" s="2987"/>
      <c r="V2" s="2987"/>
      <c r="W2" s="2987"/>
      <c r="X2" s="2987"/>
      <c r="Y2" s="2987"/>
      <c r="Z2" s="2987"/>
      <c r="AA2" s="2987"/>
      <c r="AB2" s="2987"/>
      <c r="AC2" s="2987"/>
      <c r="AD2" s="2987"/>
      <c r="AE2" s="2987"/>
      <c r="AF2" s="2987"/>
      <c r="AG2" s="2987"/>
      <c r="AH2" s="2987"/>
      <c r="AI2" s="2987"/>
      <c r="AJ2" s="2987"/>
      <c r="AK2" s="2987"/>
      <c r="AL2" s="2987"/>
      <c r="AM2" s="2987"/>
      <c r="AN2" s="3020"/>
      <c r="AO2" s="3020"/>
      <c r="AP2" s="3020"/>
      <c r="AQ2" s="3020"/>
      <c r="AR2" s="3020"/>
      <c r="AS2" s="2903"/>
      <c r="AT2" s="2903"/>
      <c r="AU2" s="2903"/>
      <c r="AV2" s="2903"/>
      <c r="AW2" s="2903"/>
      <c r="AX2" s="2903"/>
      <c r="AY2" s="2903"/>
      <c r="AZ2" s="2903"/>
      <c r="BA2" s="2903"/>
      <c r="BB2" s="2903"/>
      <c r="BC2" s="2903"/>
      <c r="BD2" s="2903"/>
      <c r="BE2" s="2903"/>
      <c r="BF2" s="2903"/>
      <c r="BG2" s="2903"/>
      <c r="BH2" s="2903"/>
      <c r="BI2" s="2903"/>
      <c r="BJ2" s="2903"/>
      <c r="BK2" s="2903"/>
      <c r="BL2" s="2903"/>
      <c r="BM2" s="2903"/>
      <c r="BN2" s="2903"/>
      <c r="BO2" s="2903"/>
    </row>
    <row r="3" s="2974" customFormat="1" ht="14.55" spans="1:67">
      <c r="A3" s="2989"/>
      <c r="B3" s="2990"/>
      <c r="C3" s="2987"/>
      <c r="D3" s="2988"/>
      <c r="E3" s="2987"/>
      <c r="F3" s="2987"/>
      <c r="G3" s="2987"/>
      <c r="H3" s="2987"/>
      <c r="I3" s="2987"/>
      <c r="J3" s="2987"/>
      <c r="K3" s="3084"/>
      <c r="L3" s="3084"/>
      <c r="M3" s="2987"/>
      <c r="N3" s="2987"/>
      <c r="O3" s="2987"/>
      <c r="P3" s="2987"/>
      <c r="Q3" s="2987"/>
      <c r="R3" s="2987"/>
      <c r="S3" s="2987"/>
      <c r="T3" s="2987"/>
      <c r="U3" s="2987"/>
      <c r="V3" s="2987"/>
      <c r="W3" s="2987"/>
      <c r="X3" s="2987"/>
      <c r="Y3" s="2987"/>
      <c r="Z3" s="2987"/>
      <c r="AA3" s="2987"/>
      <c r="AB3" s="2987"/>
      <c r="AC3" s="2987"/>
      <c r="AD3" s="2987"/>
      <c r="AE3" s="2987"/>
      <c r="AF3" s="2987"/>
      <c r="AG3" s="2987"/>
      <c r="AH3" s="2987"/>
      <c r="AI3" s="2987"/>
      <c r="AJ3" s="2987"/>
      <c r="AK3" s="2987"/>
      <c r="AL3" s="2987"/>
      <c r="AM3" s="2987"/>
      <c r="AN3" s="3020"/>
      <c r="AO3" s="3020"/>
      <c r="AP3" s="3020"/>
      <c r="AQ3" s="3020"/>
      <c r="AR3" s="3020"/>
      <c r="AS3" s="2903"/>
      <c r="AT3" s="2903"/>
      <c r="AU3" s="2903"/>
      <c r="AV3" s="2903"/>
      <c r="AW3" s="2903"/>
      <c r="AX3" s="2903"/>
      <c r="AY3" s="2903"/>
      <c r="AZ3" s="2903"/>
      <c r="BA3" s="2903"/>
      <c r="BB3" s="2903"/>
      <c r="BC3" s="2903"/>
      <c r="BD3" s="2903"/>
      <c r="BE3" s="2903"/>
      <c r="BF3" s="2903"/>
      <c r="BG3" s="2903"/>
      <c r="BH3" s="2903"/>
      <c r="BI3" s="2903"/>
      <c r="BJ3" s="2903"/>
      <c r="BK3" s="2903"/>
      <c r="BL3" s="2903"/>
      <c r="BM3" s="2903"/>
      <c r="BN3" s="2903"/>
      <c r="BO3" s="2903"/>
    </row>
    <row r="4" s="2974" customFormat="1" ht="15.15" spans="1:67">
      <c r="A4" s="1666" t="s">
        <v>610</v>
      </c>
      <c r="B4" s="2578"/>
      <c r="C4" s="2991"/>
      <c r="D4" s="2992"/>
      <c r="E4" s="2991" t="s">
        <v>611</v>
      </c>
      <c r="F4" s="2991"/>
      <c r="G4" s="2991"/>
      <c r="H4" s="2991"/>
      <c r="I4" s="2991"/>
      <c r="J4" s="3085"/>
      <c r="K4" s="3086"/>
      <c r="L4" s="3087"/>
      <c r="M4" s="2991"/>
      <c r="N4" s="2991" t="s">
        <v>612</v>
      </c>
      <c r="O4" s="2991"/>
      <c r="P4" s="2991"/>
      <c r="Q4" s="2991"/>
      <c r="R4" s="2991"/>
      <c r="S4" s="3085"/>
      <c r="T4" s="3109" t="str">
        <f>'数据-汇总表'!I17</f>
        <v>按面积比例</v>
      </c>
      <c r="U4" s="2578" t="s">
        <v>613</v>
      </c>
      <c r="V4" s="2991"/>
      <c r="W4" s="2991"/>
      <c r="X4" s="2991"/>
      <c r="Y4" s="3085"/>
      <c r="Z4" s="3136" t="s">
        <v>614</v>
      </c>
      <c r="AA4" s="3136"/>
      <c r="AB4" s="3136"/>
      <c r="AC4" s="3136"/>
      <c r="AD4" s="3136"/>
      <c r="AE4" s="3137" t="s">
        <v>615</v>
      </c>
      <c r="AF4" s="3136"/>
      <c r="AG4" s="3149"/>
      <c r="AH4" s="2578"/>
      <c r="AI4" s="2991"/>
      <c r="AJ4" s="2991"/>
      <c r="AK4" s="2991"/>
      <c r="AL4" s="2991"/>
      <c r="AM4" s="3085"/>
      <c r="AN4" s="3020"/>
      <c r="AO4" s="3020"/>
      <c r="AP4" s="3020"/>
      <c r="AQ4" s="3020"/>
      <c r="AR4" s="3020"/>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row>
    <row r="5" s="2975" customFormat="1" ht="57.6" spans="1:67">
      <c r="A5" s="2993" t="s">
        <v>588</v>
      </c>
      <c r="B5" s="2994" t="s">
        <v>587</v>
      </c>
      <c r="C5" s="2995" t="s">
        <v>616</v>
      </c>
      <c r="D5" s="2996" t="s">
        <v>617</v>
      </c>
      <c r="E5" s="2997" t="s">
        <v>618</v>
      </c>
      <c r="F5" s="2998" t="s">
        <v>619</v>
      </c>
      <c r="G5" s="2997" t="s">
        <v>620</v>
      </c>
      <c r="H5" s="2997" t="s">
        <v>621</v>
      </c>
      <c r="I5" s="2997" t="s">
        <v>622</v>
      </c>
      <c r="J5" s="3088" t="s">
        <v>623</v>
      </c>
      <c r="K5" s="3089" t="s">
        <v>597</v>
      </c>
      <c r="L5" s="3090" t="s">
        <v>624</v>
      </c>
      <c r="M5" s="3091" t="s">
        <v>625</v>
      </c>
      <c r="N5" s="3092" t="s">
        <v>626</v>
      </c>
      <c r="O5" s="3090" t="s">
        <v>627</v>
      </c>
      <c r="P5" s="3093" t="s">
        <v>628</v>
      </c>
      <c r="Q5" s="1552" t="s">
        <v>629</v>
      </c>
      <c r="R5" s="3110" t="s">
        <v>630</v>
      </c>
      <c r="S5" s="3111" t="s">
        <v>631</v>
      </c>
      <c r="T5" s="3112" t="s">
        <v>632</v>
      </c>
      <c r="U5" s="3113" t="s">
        <v>633</v>
      </c>
      <c r="V5" s="2997" t="s">
        <v>634</v>
      </c>
      <c r="W5" s="2997" t="s">
        <v>635</v>
      </c>
      <c r="X5" s="1210"/>
      <c r="Y5" s="1683" t="s">
        <v>636</v>
      </c>
      <c r="Z5" s="3138" t="s">
        <v>633</v>
      </c>
      <c r="AA5" s="2997" t="s">
        <v>634</v>
      </c>
      <c r="AB5" s="2997" t="s">
        <v>635</v>
      </c>
      <c r="AC5" s="1210"/>
      <c r="AD5" s="1210" t="s">
        <v>636</v>
      </c>
      <c r="AE5" s="3113" t="s">
        <v>637</v>
      </c>
      <c r="AF5" s="2997" t="s">
        <v>638</v>
      </c>
      <c r="AG5" s="1683" t="s">
        <v>639</v>
      </c>
      <c r="AH5" s="3113" t="s">
        <v>640</v>
      </c>
      <c r="AI5" s="3138" t="s">
        <v>641</v>
      </c>
      <c r="AJ5" s="3138" t="s">
        <v>642</v>
      </c>
      <c r="AK5" s="2997" t="s">
        <v>643</v>
      </c>
      <c r="AL5" s="2997" t="s">
        <v>644</v>
      </c>
      <c r="AM5" s="1683" t="s">
        <v>645</v>
      </c>
      <c r="AN5" s="3150" t="s">
        <v>646</v>
      </c>
      <c r="AO5" s="3168" t="s">
        <v>647</v>
      </c>
      <c r="AP5" s="3169" t="s">
        <v>648</v>
      </c>
      <c r="AQ5" s="3170" t="s">
        <v>649</v>
      </c>
      <c r="AR5" s="3170" t="s">
        <v>650</v>
      </c>
      <c r="AS5" s="2904"/>
      <c r="AT5" s="2904"/>
      <c r="AU5" s="2904"/>
      <c r="AV5" s="2904"/>
      <c r="AW5" s="2904"/>
      <c r="AX5" s="2904"/>
      <c r="AY5" s="2904"/>
      <c r="AZ5" s="2904"/>
      <c r="BA5" s="2904"/>
      <c r="BB5" s="2904"/>
      <c r="BC5" s="2904"/>
      <c r="BD5" s="2904"/>
      <c r="BE5" s="2904"/>
      <c r="BF5" s="2904"/>
      <c r="BG5" s="2904"/>
      <c r="BH5" s="2904"/>
      <c r="BI5" s="2904"/>
      <c r="BJ5" s="2904"/>
      <c r="BK5" s="2904"/>
      <c r="BL5" s="2904"/>
      <c r="BM5" s="2904"/>
      <c r="BN5" s="2904"/>
      <c r="BO5" s="2904"/>
    </row>
    <row r="6" s="2974" customFormat="1" ht="13.8" spans="1:67">
      <c r="A6" s="2999" t="str">
        <f>'数据-汇总表'!C19</f>
        <v>办公</v>
      </c>
      <c r="B6" s="3000" t="str">
        <f>IF(A6=0,"","经营性")</f>
        <v>经营性</v>
      </c>
      <c r="C6" s="3001" t="s">
        <v>549</v>
      </c>
      <c r="D6" s="3002">
        <f>SUMIF(项目基本情况!C$12:I$12,C6,项目基本情况!C$14:I$14)</f>
        <v>50</v>
      </c>
      <c r="E6" s="3003">
        <f>IF(B6="","",SUMIF(项目基本情况!C$12:I$12,C6,项目基本情况!C$13:I$13))</f>
        <v>52567</v>
      </c>
      <c r="F6" s="3004">
        <f>SUMIF(项目基本情况!C$12:I$12,C6,项目基本情况!C$15:I$15)</f>
        <v>20.67</v>
      </c>
      <c r="G6" s="3005">
        <f>IF(ISERROR(ROUND(POWER(1+H6,D6-F6)*(POWER(1+H6,F6)-1)/(POWER(1+H6,D6)-1),3)),0,ROUND(POWER(1+H6,D6-F6)*(POWER(1+H6,F6)-1)/(POWER(1+H6,D6)-1),3))</f>
        <v>0.719</v>
      </c>
      <c r="H6" s="3006">
        <v>0.055</v>
      </c>
      <c r="I6" s="3006">
        <v>0.06</v>
      </c>
      <c r="J6" s="3007">
        <v>0.075</v>
      </c>
      <c r="K6" s="3094">
        <f>SUMIF('数据-汇总表'!C$19:C$33,A6,'数据-汇总表'!E$19:E$33)</f>
        <v>10109.15</v>
      </c>
      <c r="L6" s="3095">
        <v>5000</v>
      </c>
      <c r="M6" s="3096">
        <f t="shared" ref="M6:M14" si="0">ROUND(K6*L6/10000,0)</f>
        <v>5055</v>
      </c>
      <c r="N6" s="3097">
        <v>0.8</v>
      </c>
      <c r="O6" s="3096" t="str">
        <f>IF($N$5="成新度","——",ROUND(M6*N6,0))</f>
        <v>——</v>
      </c>
      <c r="P6" s="3098" t="str">
        <f>IF($N$5="成新度","——",M6-O6)</f>
        <v>——</v>
      </c>
      <c r="Q6" s="3114">
        <v>0.2</v>
      </c>
      <c r="R6" s="3115">
        <f ca="1">SUMIF('数据-汇总表'!C$19:C$33,A6,'数据-汇总表'!R$19:R$27)</f>
        <v>3208.2</v>
      </c>
      <c r="S6" s="3116">
        <f>IF('数据-汇总表'!$I$17="按面积比例",SUMIF('数据-汇总表'!C$19:C$33,A6,'数据-汇总表'!K$19:K$33),SUMIF('数据-汇总表'!C$19:C$33,A6,'数据-汇总表'!N$19:N$33))</f>
        <v>0</v>
      </c>
      <c r="T6" s="3117">
        <f>ROUND($L$14*S6/10000,0)</f>
        <v>0</v>
      </c>
      <c r="U6" s="3118">
        <v>5</v>
      </c>
      <c r="V6" s="3119">
        <v>0</v>
      </c>
      <c r="W6" s="3119">
        <v>0.1</v>
      </c>
      <c r="X6" s="3120"/>
      <c r="Y6" s="3139">
        <f>N6</f>
        <v>0.8</v>
      </c>
      <c r="Z6" s="3140"/>
      <c r="AA6" s="3007"/>
      <c r="AB6" s="3007"/>
      <c r="AC6" s="3120"/>
      <c r="AD6" s="3141"/>
      <c r="AE6" s="3142">
        <f ca="1">IF(AN6="",0,SUMIF(INDIRECT("'"&amp;AN6&amp;"'"&amp;"!E:E"),$AE$5,INDIRECT("'"&amp;AN6&amp;"'"&amp;"!F:F")))</f>
        <v>20.67</v>
      </c>
      <c r="AF6" s="2553"/>
      <c r="AG6" s="1881">
        <f ca="1">IF(AF6="",0,AE6-AF6)</f>
        <v>0</v>
      </c>
      <c r="AH6" s="3151"/>
      <c r="AI6" s="3152">
        <v>365</v>
      </c>
      <c r="AJ6" s="3153"/>
      <c r="AK6" s="3154">
        <v>0.015</v>
      </c>
      <c r="AL6" s="3155">
        <v>0.0015</v>
      </c>
      <c r="AM6" s="3156">
        <v>0.01</v>
      </c>
      <c r="AN6" s="3157" t="s">
        <v>651</v>
      </c>
      <c r="AO6" s="1426">
        <f ca="1">SUMIF(INDIRECT("'"&amp;AN6&amp;"'"&amp;"!A:A"),"总价",INDIRECT("'"&amp;AN6&amp;"'"&amp;"!B:B"))</f>
        <v>14528</v>
      </c>
      <c r="AP6" s="3171">
        <f>IF(C6="住宅",K6*L6,0)</f>
        <v>0</v>
      </c>
      <c r="AQ6" s="1426">
        <f>ROUND($L$14*$N$14*S6/10000,0)</f>
        <v>0</v>
      </c>
      <c r="AR6" s="1426">
        <f>ROUND($L$14*(1-$N$14)*S6/10000,0)</f>
        <v>0</v>
      </c>
      <c r="AS6" s="2903"/>
      <c r="AT6" s="2903"/>
      <c r="AU6" s="2903"/>
      <c r="AV6" s="2903"/>
      <c r="AW6" s="2903"/>
      <c r="AX6" s="2903"/>
      <c r="AY6" s="2903"/>
      <c r="AZ6" s="2903"/>
      <c r="BA6" s="2903"/>
      <c r="BB6" s="2903"/>
      <c r="BC6" s="2903"/>
      <c r="BD6" s="2903"/>
      <c r="BE6" s="2903"/>
      <c r="BF6" s="2903"/>
      <c r="BG6" s="2903"/>
      <c r="BH6" s="2903"/>
      <c r="BI6" s="2903"/>
      <c r="BJ6" s="2903"/>
      <c r="BK6" s="2903"/>
      <c r="BL6" s="2903"/>
      <c r="BM6" s="2903"/>
      <c r="BN6" s="2903"/>
      <c r="BO6" s="2903"/>
    </row>
    <row r="7" s="2974" customFormat="1" ht="13.8" spans="1:67">
      <c r="A7" s="2999">
        <f>'数据-汇总表'!C20</f>
        <v>0</v>
      </c>
      <c r="B7" s="3000" t="str">
        <f t="shared" ref="B7:B13" si="1">IF(A7=0,"","经营性")</f>
        <v/>
      </c>
      <c r="C7" s="3001"/>
      <c r="D7" s="3002">
        <f>SUMIF(项目基本情况!C$12:I$12,C7,项目基本情况!C$14:I$14)</f>
        <v>0</v>
      </c>
      <c r="E7" s="3003" t="str">
        <f>IF(B7="","",SUMIF(项目基本情况!C$12:I$12,C7,项目基本情况!C$13:I$13))</f>
        <v/>
      </c>
      <c r="F7" s="3004">
        <f>SUMIF(项目基本情况!C$12:I$12,C7,项目基本情况!C$15:I$15)</f>
        <v>0</v>
      </c>
      <c r="G7" s="3005">
        <f t="shared" ref="G7:G13" si="2">IF(ISERROR(ROUND(POWER(1+H7,D7-F7)*(POWER(1+H7,F7)-1)/(POWER(1+H7,D7)-1),3)),0,ROUND(POWER(1+H7,D7-F7)*(POWER(1+H7,F7)-1)/(POWER(1+H7,D7)-1),3))</f>
        <v>0</v>
      </c>
      <c r="H7" s="3006"/>
      <c r="I7" s="3006"/>
      <c r="J7" s="3007"/>
      <c r="K7" s="3094">
        <f>SUMIF('数据-汇总表'!C$19:C$33,A7,'数据-汇总表'!E$19:E$33)</f>
        <v>0</v>
      </c>
      <c r="L7" s="3095"/>
      <c r="M7" s="3096">
        <f t="shared" si="0"/>
        <v>0</v>
      </c>
      <c r="N7" s="3097"/>
      <c r="O7" s="3096" t="str">
        <f t="shared" ref="O7:O14" si="3">IF($N$5="成新度","——",ROUND(M7*N7,0))</f>
        <v>——</v>
      </c>
      <c r="P7" s="3098" t="str">
        <f t="shared" ref="P7:P14" si="4">IF($N$5="成新度","——",M7-O7)</f>
        <v>——</v>
      </c>
      <c r="Q7" s="3114"/>
      <c r="R7" s="3115">
        <f ca="1">SUMIF('数据-汇总表'!C$19:C$33,A7,'数据-汇总表'!R$19:R$27)</f>
        <v>0</v>
      </c>
      <c r="S7" s="3116">
        <f>IF('数据-汇总表'!$I$17="按面积比例",SUMIF('数据-汇总表'!C$19:C$33,A7,'数据-汇总表'!K$19:K$33),SUMIF('数据-汇总表'!C$19:C$33,A7,'数据-汇总表'!N$19:N$33))</f>
        <v>0</v>
      </c>
      <c r="T7" s="3117">
        <f t="shared" ref="T7:T13" si="5">ROUND($L$14*S7/10000,0)</f>
        <v>0</v>
      </c>
      <c r="U7" s="3118"/>
      <c r="V7" s="3119"/>
      <c r="W7" s="3119"/>
      <c r="X7" s="3120"/>
      <c r="Y7" s="3139"/>
      <c r="Z7" s="3140"/>
      <c r="AA7" s="3007"/>
      <c r="AB7" s="3007"/>
      <c r="AC7" s="3120"/>
      <c r="AD7" s="3141"/>
      <c r="AE7" s="3142">
        <f ca="1" t="shared" ref="AE7:AE13" si="6">IF(AN7="",0,SUMIF(INDIRECT("'"&amp;AN7&amp;"'"&amp;"!E:E"),$AE$5,INDIRECT("'"&amp;AN7&amp;"'"&amp;"!F:F")))</f>
        <v>0</v>
      </c>
      <c r="AF7" s="2553"/>
      <c r="AG7" s="1881">
        <f ca="1" t="shared" ref="AG7:AG13" si="7">IF(AF7="",0,AE7-AF7)</f>
        <v>0</v>
      </c>
      <c r="AH7" s="3151"/>
      <c r="AI7" s="3152"/>
      <c r="AJ7" s="3153"/>
      <c r="AK7" s="3154"/>
      <c r="AL7" s="3155"/>
      <c r="AM7" s="3156"/>
      <c r="AN7" s="3157"/>
      <c r="AO7" s="1426" t="e">
        <f ca="1" t="shared" ref="AO7:AO13" si="8">SUMIF(INDIRECT("'"&amp;AN7&amp;"'"&amp;"!A:A"),"总价",INDIRECT("'"&amp;AN7&amp;"'"&amp;"!B:B"))</f>
        <v>#REF!</v>
      </c>
      <c r="AP7" s="3171">
        <f t="shared" ref="AP7:AP13" si="9">IF(C7="住宅",K7*L7,0)</f>
        <v>0</v>
      </c>
      <c r="AQ7" s="1426">
        <f t="shared" ref="AQ7:AQ13" si="10">ROUND($L$14*$N$14*S7/10000,0)</f>
        <v>0</v>
      </c>
      <c r="AR7" s="1426">
        <f t="shared" ref="AR7:AR13" si="11">ROUND($L$14*(1-$N$14)*S7/10000,0)</f>
        <v>0</v>
      </c>
      <c r="AS7" s="2903"/>
      <c r="AT7" s="2903"/>
      <c r="AU7" s="2903"/>
      <c r="AV7" s="2903"/>
      <c r="AW7" s="2903"/>
      <c r="AX7" s="2903"/>
      <c r="AY7" s="2903"/>
      <c r="AZ7" s="2903"/>
      <c r="BA7" s="2903"/>
      <c r="BB7" s="2903"/>
      <c r="BC7" s="2903"/>
      <c r="BD7" s="2903"/>
      <c r="BE7" s="2903"/>
      <c r="BF7" s="2903"/>
      <c r="BG7" s="2903"/>
      <c r="BH7" s="2903"/>
      <c r="BI7" s="2903"/>
      <c r="BJ7" s="2903"/>
      <c r="BK7" s="2903"/>
      <c r="BL7" s="2903"/>
      <c r="BM7" s="2903"/>
      <c r="BN7" s="2903"/>
      <c r="BO7" s="2903"/>
    </row>
    <row r="8" s="2974" customFormat="1" ht="13.8" spans="1:67">
      <c r="A8" s="2999">
        <f>'数据-汇总表'!C21</f>
        <v>0</v>
      </c>
      <c r="B8" s="3000" t="str">
        <f t="shared" si="1"/>
        <v/>
      </c>
      <c r="C8" s="3001"/>
      <c r="D8" s="3002">
        <f>SUMIF(项目基本情况!C$12:I$12,C8,项目基本情况!C$14:I$14)</f>
        <v>0</v>
      </c>
      <c r="E8" s="3003" t="str">
        <f>IF(B8="","",SUMIF(项目基本情况!C$12:I$12,C8,项目基本情况!C$13:I$13))</f>
        <v/>
      </c>
      <c r="F8" s="3004">
        <f>SUMIF(项目基本情况!C$12:I$12,C8,项目基本情况!C$15:I$15)</f>
        <v>0</v>
      </c>
      <c r="G8" s="3005">
        <f t="shared" si="2"/>
        <v>0</v>
      </c>
      <c r="H8" s="3006"/>
      <c r="I8" s="3006"/>
      <c r="J8" s="3007"/>
      <c r="K8" s="3094">
        <f>SUMIF('数据-汇总表'!C$19:C$33,A8,'数据-汇总表'!E$19:E$33)</f>
        <v>0</v>
      </c>
      <c r="L8" s="3095"/>
      <c r="M8" s="3096">
        <f t="shared" si="0"/>
        <v>0</v>
      </c>
      <c r="N8" s="3097"/>
      <c r="O8" s="3096" t="str">
        <f t="shared" si="3"/>
        <v>——</v>
      </c>
      <c r="P8" s="3098" t="str">
        <f t="shared" si="4"/>
        <v>——</v>
      </c>
      <c r="Q8" s="3114"/>
      <c r="R8" s="3115">
        <f ca="1">SUMIF('数据-汇总表'!C$19:C$33,A8,'数据-汇总表'!R$19:R$27)</f>
        <v>0</v>
      </c>
      <c r="S8" s="3116">
        <f>IF('数据-汇总表'!$I$17="按面积比例",SUMIF('数据-汇总表'!C$19:C$33,A8,'数据-汇总表'!K$19:K$33),SUMIF('数据-汇总表'!C$19:C$33,A8,'数据-汇总表'!N$19:N$33))</f>
        <v>0</v>
      </c>
      <c r="T8" s="3117">
        <f t="shared" si="5"/>
        <v>0</v>
      </c>
      <c r="U8" s="3121"/>
      <c r="V8" s="3122"/>
      <c r="W8" s="3122"/>
      <c r="X8" s="3120"/>
      <c r="Y8" s="3139"/>
      <c r="Z8" s="3140"/>
      <c r="AA8" s="3007"/>
      <c r="AB8" s="3007"/>
      <c r="AC8" s="3120"/>
      <c r="AD8" s="3141"/>
      <c r="AE8" s="3142">
        <f ca="1" t="shared" si="6"/>
        <v>0</v>
      </c>
      <c r="AF8" s="2553"/>
      <c r="AG8" s="1881">
        <f ca="1" t="shared" si="7"/>
        <v>0</v>
      </c>
      <c r="AH8" s="3158"/>
      <c r="AI8" s="3152"/>
      <c r="AJ8" s="3153"/>
      <c r="AK8" s="3159"/>
      <c r="AL8" s="3160"/>
      <c r="AM8" s="3161"/>
      <c r="AN8" s="3157"/>
      <c r="AO8" s="1426" t="e">
        <f ca="1" t="shared" si="8"/>
        <v>#REF!</v>
      </c>
      <c r="AP8" s="3171">
        <f t="shared" si="9"/>
        <v>0</v>
      </c>
      <c r="AQ8" s="1426">
        <f t="shared" si="10"/>
        <v>0</v>
      </c>
      <c r="AR8" s="1426">
        <f t="shared" si="11"/>
        <v>0</v>
      </c>
      <c r="AS8" s="2903"/>
      <c r="AT8" s="2903"/>
      <c r="AU8" s="2903"/>
      <c r="AV8" s="2903"/>
      <c r="AW8" s="2903"/>
      <c r="AX8" s="2903"/>
      <c r="AY8" s="2903"/>
      <c r="AZ8" s="2903"/>
      <c r="BA8" s="2903"/>
      <c r="BB8" s="2903"/>
      <c r="BC8" s="2903"/>
      <c r="BD8" s="2903"/>
      <c r="BE8" s="2903"/>
      <c r="BF8" s="2903"/>
      <c r="BG8" s="2903"/>
      <c r="BH8" s="2903"/>
      <c r="BI8" s="2903"/>
      <c r="BJ8" s="2903"/>
      <c r="BK8" s="2903"/>
      <c r="BL8" s="2903"/>
      <c r="BM8" s="2903"/>
      <c r="BN8" s="2903"/>
      <c r="BO8" s="2903"/>
    </row>
    <row r="9" s="2974" customFormat="1" ht="13.8" spans="1:67">
      <c r="A9" s="2999">
        <f>'数据-汇总表'!C22</f>
        <v>0</v>
      </c>
      <c r="B9" s="3000" t="str">
        <f t="shared" si="1"/>
        <v/>
      </c>
      <c r="C9" s="3001"/>
      <c r="D9" s="3002">
        <f>SUMIF(项目基本情况!C$12:I$12,C9,项目基本情况!C$14:I$14)</f>
        <v>0</v>
      </c>
      <c r="E9" s="3003" t="str">
        <f>IF(B9="","",SUMIF(项目基本情况!C$12:I$12,C9,项目基本情况!C$13:I$13))</f>
        <v/>
      </c>
      <c r="F9" s="3004">
        <f>SUMIF(项目基本情况!C$12:I$12,C9,项目基本情况!C$15:I$15)</f>
        <v>0</v>
      </c>
      <c r="G9" s="3005">
        <f t="shared" si="2"/>
        <v>0</v>
      </c>
      <c r="H9" s="3007"/>
      <c r="I9" s="3007"/>
      <c r="J9" s="3007"/>
      <c r="K9" s="3094">
        <f>SUMIF('数据-汇总表'!C$19:C$33,A9,'数据-汇总表'!E$19:E$33)</f>
        <v>0</v>
      </c>
      <c r="L9" s="3095"/>
      <c r="M9" s="3096">
        <f t="shared" si="0"/>
        <v>0</v>
      </c>
      <c r="N9" s="3097"/>
      <c r="O9" s="3096" t="str">
        <f t="shared" si="3"/>
        <v>——</v>
      </c>
      <c r="P9" s="3098" t="str">
        <f t="shared" si="4"/>
        <v>——</v>
      </c>
      <c r="Q9" s="3123"/>
      <c r="R9" s="3115">
        <f ca="1">SUMIF('数据-汇总表'!C$19:C$33,A9,'数据-汇总表'!R$19:R$27)</f>
        <v>0</v>
      </c>
      <c r="S9" s="3116">
        <f>IF('数据-汇总表'!$I$17="按面积比例",SUMIF('数据-汇总表'!C$19:C$33,A9,'数据-汇总表'!K$19:K$33),SUMIF('数据-汇总表'!C$19:C$33,A9,'数据-汇总表'!N$19:N$33))</f>
        <v>0</v>
      </c>
      <c r="T9" s="3117">
        <f t="shared" si="5"/>
        <v>0</v>
      </c>
      <c r="U9" s="3118"/>
      <c r="V9" s="3119"/>
      <c r="W9" s="3119"/>
      <c r="X9" s="3120"/>
      <c r="Y9" s="3139"/>
      <c r="Z9" s="3140"/>
      <c r="AA9" s="3007"/>
      <c r="AB9" s="3007"/>
      <c r="AC9" s="3120"/>
      <c r="AD9" s="3141"/>
      <c r="AE9" s="3142">
        <f ca="1" t="shared" si="6"/>
        <v>0</v>
      </c>
      <c r="AF9" s="2553"/>
      <c r="AG9" s="1881">
        <f ca="1" t="shared" si="7"/>
        <v>0</v>
      </c>
      <c r="AH9" s="3151"/>
      <c r="AI9" s="3152"/>
      <c r="AJ9" s="3153"/>
      <c r="AK9" s="3154"/>
      <c r="AL9" s="3155"/>
      <c r="AM9" s="3156"/>
      <c r="AN9" s="3157"/>
      <c r="AO9" s="1426" t="e">
        <f ca="1" t="shared" si="8"/>
        <v>#REF!</v>
      </c>
      <c r="AP9" s="3171">
        <f t="shared" si="9"/>
        <v>0</v>
      </c>
      <c r="AQ9" s="1426">
        <f t="shared" si="10"/>
        <v>0</v>
      </c>
      <c r="AR9" s="1426">
        <f t="shared" si="11"/>
        <v>0</v>
      </c>
      <c r="AS9" s="2903"/>
      <c r="AT9" s="2903"/>
      <c r="AU9" s="2903"/>
      <c r="AV9" s="2903"/>
      <c r="AW9" s="2903"/>
      <c r="AX9" s="2903"/>
      <c r="AY9" s="2903"/>
      <c r="AZ9" s="2903"/>
      <c r="BA9" s="2903"/>
      <c r="BB9" s="2903"/>
      <c r="BC9" s="2903"/>
      <c r="BD9" s="2903"/>
      <c r="BE9" s="2903"/>
      <c r="BF9" s="2903"/>
      <c r="BG9" s="2903"/>
      <c r="BH9" s="2903"/>
      <c r="BI9" s="2903"/>
      <c r="BJ9" s="2903"/>
      <c r="BK9" s="2903"/>
      <c r="BL9" s="2903"/>
      <c r="BM9" s="2903"/>
      <c r="BN9" s="2903"/>
      <c r="BO9" s="2903"/>
    </row>
    <row r="10" s="2974" customFormat="1" ht="13.8" spans="1:67">
      <c r="A10" s="2999">
        <f>'数据-汇总表'!C23</f>
        <v>0</v>
      </c>
      <c r="B10" s="3000" t="str">
        <f t="shared" si="1"/>
        <v/>
      </c>
      <c r="C10" s="3001"/>
      <c r="D10" s="3002">
        <f>SUMIF(项目基本情况!C$12:I$12,C10,项目基本情况!C$14:I$14)</f>
        <v>0</v>
      </c>
      <c r="E10" s="3003" t="str">
        <f>IF(B10="","",SUMIF(项目基本情况!C$12:I$12,C10,项目基本情况!C$13:I$13))</f>
        <v/>
      </c>
      <c r="F10" s="3004">
        <f>SUMIF(项目基本情况!C$12:I$12,C10,项目基本情况!C$15:I$15)</f>
        <v>0</v>
      </c>
      <c r="G10" s="3005">
        <f t="shared" si="2"/>
        <v>0</v>
      </c>
      <c r="H10" s="3007"/>
      <c r="I10" s="3007"/>
      <c r="J10" s="3007"/>
      <c r="K10" s="3094">
        <f>SUMIF('数据-汇总表'!C$19:C$33,A10,'数据-汇总表'!E$19:E$33)</f>
        <v>0</v>
      </c>
      <c r="L10" s="3095"/>
      <c r="M10" s="3096">
        <f t="shared" si="0"/>
        <v>0</v>
      </c>
      <c r="N10" s="3097"/>
      <c r="O10" s="3096" t="str">
        <f t="shared" si="3"/>
        <v>——</v>
      </c>
      <c r="P10" s="3098" t="str">
        <f t="shared" si="4"/>
        <v>——</v>
      </c>
      <c r="Q10" s="3123"/>
      <c r="R10" s="3115">
        <f ca="1">SUMIF('数据-汇总表'!C$19:C$33,A10,'数据-汇总表'!R$19:R$27)</f>
        <v>0</v>
      </c>
      <c r="S10" s="3116">
        <f>IF('数据-汇总表'!$I$17="按面积比例",SUMIF('数据-汇总表'!C$19:C$33,A10,'数据-汇总表'!K$19:K$33),SUMIF('数据-汇总表'!C$19:C$33,A10,'数据-汇总表'!N$19:N$33))</f>
        <v>0</v>
      </c>
      <c r="T10" s="3117">
        <f t="shared" si="5"/>
        <v>0</v>
      </c>
      <c r="U10" s="3118"/>
      <c r="V10" s="3119"/>
      <c r="W10" s="3119"/>
      <c r="X10" s="3120"/>
      <c r="Y10" s="3139"/>
      <c r="Z10" s="3140"/>
      <c r="AA10" s="3007"/>
      <c r="AB10" s="3007"/>
      <c r="AC10" s="3120"/>
      <c r="AD10" s="3141"/>
      <c r="AE10" s="3142">
        <f ca="1" t="shared" si="6"/>
        <v>0</v>
      </c>
      <c r="AF10" s="2553"/>
      <c r="AG10" s="1881">
        <f ca="1" t="shared" si="7"/>
        <v>0</v>
      </c>
      <c r="AH10" s="3151"/>
      <c r="AI10" s="3152"/>
      <c r="AJ10" s="3153"/>
      <c r="AK10" s="3154"/>
      <c r="AL10" s="3155"/>
      <c r="AM10" s="3156"/>
      <c r="AN10" s="3157"/>
      <c r="AO10" s="1426" t="e">
        <f ca="1" t="shared" si="8"/>
        <v>#REF!</v>
      </c>
      <c r="AP10" s="3171">
        <f t="shared" si="9"/>
        <v>0</v>
      </c>
      <c r="AQ10" s="1426">
        <f t="shared" si="10"/>
        <v>0</v>
      </c>
      <c r="AR10" s="1426">
        <f t="shared" si="11"/>
        <v>0</v>
      </c>
      <c r="AS10" s="2903"/>
      <c r="AT10" s="2903"/>
      <c r="AU10" s="2903"/>
      <c r="AV10" s="2903"/>
      <c r="AW10" s="2903"/>
      <c r="AX10" s="2903"/>
      <c r="AY10" s="2903"/>
      <c r="AZ10" s="2903"/>
      <c r="BA10" s="2903"/>
      <c r="BB10" s="2903"/>
      <c r="BC10" s="2903"/>
      <c r="BD10" s="2903"/>
      <c r="BE10" s="2903"/>
      <c r="BF10" s="2903"/>
      <c r="BG10" s="2903"/>
      <c r="BH10" s="2903"/>
      <c r="BI10" s="2903"/>
      <c r="BJ10" s="2903"/>
      <c r="BK10" s="2903"/>
      <c r="BL10" s="2903"/>
      <c r="BM10" s="2903"/>
      <c r="BN10" s="2903"/>
      <c r="BO10" s="2903"/>
    </row>
    <row r="11" s="2974" customFormat="1" ht="13.8" spans="1:67">
      <c r="A11" s="2999">
        <f>'数据-汇总表'!C24</f>
        <v>0</v>
      </c>
      <c r="B11" s="3000" t="str">
        <f t="shared" si="1"/>
        <v/>
      </c>
      <c r="C11" s="3001"/>
      <c r="D11" s="3002">
        <f>SUMIF(项目基本情况!C$12:I$12,C11,项目基本情况!C$14:I$14)</f>
        <v>0</v>
      </c>
      <c r="E11" s="3003" t="str">
        <f>IF(B11="","",SUMIF(项目基本情况!C$12:I$12,C11,项目基本情况!C$13:I$13))</f>
        <v/>
      </c>
      <c r="F11" s="3004">
        <f>SUMIF(项目基本情况!C$12:I$12,C11,项目基本情况!C$15:I$15)</f>
        <v>0</v>
      </c>
      <c r="G11" s="3005">
        <f t="shared" si="2"/>
        <v>0</v>
      </c>
      <c r="H11" s="3007"/>
      <c r="I11" s="3007"/>
      <c r="J11" s="3007"/>
      <c r="K11" s="3094">
        <f>SUMIF('数据-汇总表'!C$19:C$33,A11,'数据-汇总表'!E$19:E$33)</f>
        <v>0</v>
      </c>
      <c r="L11" s="3099"/>
      <c r="M11" s="3096">
        <f t="shared" si="0"/>
        <v>0</v>
      </c>
      <c r="N11" s="3097"/>
      <c r="O11" s="3096" t="str">
        <f t="shared" si="3"/>
        <v>——</v>
      </c>
      <c r="P11" s="3098" t="str">
        <f t="shared" si="4"/>
        <v>——</v>
      </c>
      <c r="Q11" s="3123"/>
      <c r="R11" s="3115">
        <f ca="1">SUMIF('数据-汇总表'!C$19:C$33,A11,'数据-汇总表'!R$19:R$27)</f>
        <v>0</v>
      </c>
      <c r="S11" s="3116">
        <f>IF('数据-汇总表'!$I$17="按面积比例",SUMIF('数据-汇总表'!C$19:C$33,A11,'数据-汇总表'!K$19:K$33),SUMIF('数据-汇总表'!C$19:C$33,A11,'数据-汇总表'!N$19:N$33))</f>
        <v>0</v>
      </c>
      <c r="T11" s="3117">
        <f t="shared" si="5"/>
        <v>0</v>
      </c>
      <c r="U11" s="3118"/>
      <c r="V11" s="3007"/>
      <c r="W11" s="3007"/>
      <c r="X11" s="3120"/>
      <c r="Y11" s="3139"/>
      <c r="Z11" s="3143"/>
      <c r="AA11" s="3007"/>
      <c r="AB11" s="3007"/>
      <c r="AC11" s="3120"/>
      <c r="AD11" s="3141"/>
      <c r="AE11" s="3142">
        <f ca="1" t="shared" si="6"/>
        <v>0</v>
      </c>
      <c r="AF11" s="2553"/>
      <c r="AG11" s="1881">
        <f ca="1" t="shared" si="7"/>
        <v>0</v>
      </c>
      <c r="AH11" s="3151"/>
      <c r="AI11" s="3152"/>
      <c r="AJ11" s="3153"/>
      <c r="AK11" s="3162"/>
      <c r="AL11" s="3163"/>
      <c r="AM11" s="3164"/>
      <c r="AN11" s="3157"/>
      <c r="AO11" s="1426" t="e">
        <f ca="1" t="shared" si="8"/>
        <v>#REF!</v>
      </c>
      <c r="AP11" s="3171">
        <f t="shared" si="9"/>
        <v>0</v>
      </c>
      <c r="AQ11" s="1426">
        <f t="shared" si="10"/>
        <v>0</v>
      </c>
      <c r="AR11" s="1426">
        <f t="shared" si="11"/>
        <v>0</v>
      </c>
      <c r="AS11" s="2903"/>
      <c r="AT11" s="2903"/>
      <c r="AU11" s="2903"/>
      <c r="AV11" s="2903"/>
      <c r="AW11" s="2903"/>
      <c r="AX11" s="2903"/>
      <c r="AY11" s="2903"/>
      <c r="AZ11" s="2903"/>
      <c r="BA11" s="2903"/>
      <c r="BB11" s="2903"/>
      <c r="BC11" s="2903"/>
      <c r="BD11" s="2903"/>
      <c r="BE11" s="2903"/>
      <c r="BF11" s="2903"/>
      <c r="BG11" s="2903"/>
      <c r="BH11" s="2903"/>
      <c r="BI11" s="2903"/>
      <c r="BJ11" s="2903"/>
      <c r="BK11" s="2903"/>
      <c r="BL11" s="2903"/>
      <c r="BM11" s="2903"/>
      <c r="BN11" s="2903"/>
      <c r="BO11" s="2903"/>
    </row>
    <row r="12" s="2974" customFormat="1" ht="13.8" spans="1:67">
      <c r="A12" s="2999">
        <f>'数据-汇总表'!C25</f>
        <v>0</v>
      </c>
      <c r="B12" s="3000" t="str">
        <f t="shared" si="1"/>
        <v/>
      </c>
      <c r="C12" s="3001"/>
      <c r="D12" s="3002">
        <f>SUMIF(项目基本情况!C$12:I$12,C12,项目基本情况!C$14:I$14)</f>
        <v>0</v>
      </c>
      <c r="E12" s="3003" t="str">
        <f>IF(B12="","",SUMIF(项目基本情况!C$12:I$12,C12,项目基本情况!C$13:I$13))</f>
        <v/>
      </c>
      <c r="F12" s="3004">
        <f>SUMIF(项目基本情况!C$12:I$12,C12,项目基本情况!C$15:I$15)</f>
        <v>0</v>
      </c>
      <c r="G12" s="3005">
        <f t="shared" si="2"/>
        <v>0</v>
      </c>
      <c r="H12" s="3007"/>
      <c r="I12" s="3007"/>
      <c r="J12" s="3007"/>
      <c r="K12" s="3094">
        <f>SUMIF('数据-汇总表'!C$19:C$33,A12,'数据-汇总表'!E$19:E$33)</f>
        <v>0</v>
      </c>
      <c r="L12" s="3099"/>
      <c r="M12" s="3096">
        <f t="shared" si="0"/>
        <v>0</v>
      </c>
      <c r="N12" s="3097"/>
      <c r="O12" s="3096" t="str">
        <f t="shared" si="3"/>
        <v>——</v>
      </c>
      <c r="P12" s="3098" t="str">
        <f t="shared" si="4"/>
        <v>——</v>
      </c>
      <c r="Q12" s="3123"/>
      <c r="R12" s="3115">
        <f ca="1">SUMIF('数据-汇总表'!C$19:C$33,A12,'数据-汇总表'!R$19:R$27)</f>
        <v>0</v>
      </c>
      <c r="S12" s="3116">
        <f>IF('数据-汇总表'!$I$17="按面积比例",SUMIF('数据-汇总表'!C$19:C$33,A12,'数据-汇总表'!K$19:K$33),SUMIF('数据-汇总表'!C$19:C$33,A12,'数据-汇总表'!N$19:N$33))</f>
        <v>0</v>
      </c>
      <c r="T12" s="3117">
        <f t="shared" si="5"/>
        <v>0</v>
      </c>
      <c r="U12" s="3118"/>
      <c r="V12" s="3007"/>
      <c r="W12" s="3007"/>
      <c r="X12" s="3120"/>
      <c r="Y12" s="3139"/>
      <c r="Z12" s="3143"/>
      <c r="AA12" s="3007"/>
      <c r="AB12" s="3007"/>
      <c r="AC12" s="3120"/>
      <c r="AD12" s="3141"/>
      <c r="AE12" s="3142">
        <f ca="1" t="shared" si="6"/>
        <v>0</v>
      </c>
      <c r="AF12" s="2553"/>
      <c r="AG12" s="1881">
        <f ca="1" t="shared" si="7"/>
        <v>0</v>
      </c>
      <c r="AH12" s="3151"/>
      <c r="AI12" s="3152"/>
      <c r="AJ12" s="3153"/>
      <c r="AK12" s="3162"/>
      <c r="AL12" s="3163"/>
      <c r="AM12" s="3164"/>
      <c r="AN12" s="3157"/>
      <c r="AO12" s="1426" t="e">
        <f ca="1" t="shared" si="8"/>
        <v>#REF!</v>
      </c>
      <c r="AP12" s="3171">
        <f t="shared" si="9"/>
        <v>0</v>
      </c>
      <c r="AQ12" s="1426">
        <f t="shared" si="10"/>
        <v>0</v>
      </c>
      <c r="AR12" s="1426">
        <f t="shared" si="11"/>
        <v>0</v>
      </c>
      <c r="AS12" s="2903"/>
      <c r="AT12" s="2903"/>
      <c r="AU12" s="2903"/>
      <c r="AV12" s="2903"/>
      <c r="AW12" s="2903"/>
      <c r="AX12" s="2903"/>
      <c r="AY12" s="2903"/>
      <c r="AZ12" s="2903"/>
      <c r="BA12" s="2903"/>
      <c r="BB12" s="2903"/>
      <c r="BC12" s="2903"/>
      <c r="BD12" s="2903"/>
      <c r="BE12" s="2903"/>
      <c r="BF12" s="2903"/>
      <c r="BG12" s="2903"/>
      <c r="BH12" s="2903"/>
      <c r="BI12" s="2903"/>
      <c r="BJ12" s="2903"/>
      <c r="BK12" s="2903"/>
      <c r="BL12" s="2903"/>
      <c r="BM12" s="2903"/>
      <c r="BN12" s="2903"/>
      <c r="BO12" s="2903"/>
    </row>
    <row r="13" s="2974" customFormat="1" ht="13.8" spans="1:67">
      <c r="A13" s="2999">
        <f>'数据-汇总表'!C26</f>
        <v>0</v>
      </c>
      <c r="B13" s="3000" t="str">
        <f t="shared" si="1"/>
        <v/>
      </c>
      <c r="C13" s="3001"/>
      <c r="D13" s="3002">
        <f>SUMIF(项目基本情况!C$12:I$12,C13,项目基本情况!C$14:I$14)</f>
        <v>0</v>
      </c>
      <c r="E13" s="3003" t="str">
        <f>IF(B13="","",SUMIF(项目基本情况!C$12:I$12,C13,项目基本情况!C$13:I$13))</f>
        <v/>
      </c>
      <c r="F13" s="3004">
        <f>SUMIF(项目基本情况!C$12:I$12,C13,项目基本情况!C$15:I$15)</f>
        <v>0</v>
      </c>
      <c r="G13" s="3005">
        <f t="shared" si="2"/>
        <v>0</v>
      </c>
      <c r="H13" s="3007"/>
      <c r="I13" s="3007"/>
      <c r="J13" s="3007"/>
      <c r="K13" s="3094">
        <f>SUMIF('数据-汇总表'!C$19:C$33,A13,'数据-汇总表'!E$19:E$33)</f>
        <v>0</v>
      </c>
      <c r="L13" s="3099"/>
      <c r="M13" s="3096">
        <f t="shared" si="0"/>
        <v>0</v>
      </c>
      <c r="N13" s="3100"/>
      <c r="O13" s="3096" t="str">
        <f t="shared" si="3"/>
        <v>——</v>
      </c>
      <c r="P13" s="3098" t="str">
        <f t="shared" si="4"/>
        <v>——</v>
      </c>
      <c r="Q13" s="3123"/>
      <c r="R13" s="3115">
        <f ca="1">SUMIF('数据-汇总表'!C$19:C$33,A13,'数据-汇总表'!R$19:R$27)</f>
        <v>0</v>
      </c>
      <c r="S13" s="3116">
        <f>IF('数据-汇总表'!$I$17="按面积比例",SUMIF('数据-汇总表'!C$19:C$33,A13,'数据-汇总表'!K$19:K$33),SUMIF('数据-汇总表'!C$19:C$33,A13,'数据-汇总表'!N$19:N$33))</f>
        <v>0</v>
      </c>
      <c r="T13" s="3117">
        <f t="shared" si="5"/>
        <v>0</v>
      </c>
      <c r="U13" s="3124"/>
      <c r="V13" s="3119"/>
      <c r="W13" s="3119"/>
      <c r="X13" s="3120"/>
      <c r="Y13" s="3139"/>
      <c r="Z13" s="3140"/>
      <c r="AA13" s="3007"/>
      <c r="AB13" s="3007"/>
      <c r="AC13" s="3120"/>
      <c r="AD13" s="3141"/>
      <c r="AE13" s="3142">
        <f ca="1" t="shared" si="6"/>
        <v>0</v>
      </c>
      <c r="AF13" s="2553"/>
      <c r="AG13" s="1881">
        <f ca="1" t="shared" si="7"/>
        <v>0</v>
      </c>
      <c r="AH13" s="3151"/>
      <c r="AI13" s="3152"/>
      <c r="AJ13" s="3153"/>
      <c r="AK13" s="3154"/>
      <c r="AL13" s="3155"/>
      <c r="AM13" s="3156"/>
      <c r="AN13" s="3157"/>
      <c r="AO13" s="1426" t="e">
        <f ca="1" t="shared" si="8"/>
        <v>#REF!</v>
      </c>
      <c r="AP13" s="3171">
        <f t="shared" si="9"/>
        <v>0</v>
      </c>
      <c r="AQ13" s="1426">
        <f t="shared" si="10"/>
        <v>0</v>
      </c>
      <c r="AR13" s="1426">
        <f t="shared" si="11"/>
        <v>0</v>
      </c>
      <c r="AS13" s="2903"/>
      <c r="AT13" s="2903"/>
      <c r="AU13" s="2903"/>
      <c r="AV13" s="2903"/>
      <c r="AW13" s="2903"/>
      <c r="AX13" s="2903"/>
      <c r="AY13" s="2903"/>
      <c r="AZ13" s="2903"/>
      <c r="BA13" s="2903"/>
      <c r="BB13" s="2903"/>
      <c r="BC13" s="2903"/>
      <c r="BD13" s="2903"/>
      <c r="BE13" s="2903"/>
      <c r="BF13" s="2903"/>
      <c r="BG13" s="2903"/>
      <c r="BH13" s="2903"/>
      <c r="BI13" s="2903"/>
      <c r="BJ13" s="2903"/>
      <c r="BK13" s="2903"/>
      <c r="BL13" s="2903"/>
      <c r="BM13" s="2903"/>
      <c r="BN13" s="2903"/>
      <c r="BO13" s="2903"/>
    </row>
    <row r="14" s="2974" customFormat="1" ht="14.4" spans="1:67">
      <c r="A14" s="3008" t="s">
        <v>604</v>
      </c>
      <c r="B14" s="3000" t="s">
        <v>603</v>
      </c>
      <c r="C14" s="3009" t="s">
        <v>604</v>
      </c>
      <c r="D14" s="3002"/>
      <c r="E14" s="3003"/>
      <c r="F14" s="3004"/>
      <c r="G14" s="3005"/>
      <c r="H14" s="3010"/>
      <c r="I14" s="3010"/>
      <c r="J14" s="3010"/>
      <c r="K14" s="3094">
        <f>SUMIF('数据-汇总表'!C$19:C$33,A14,'数据-汇总表'!E$19:E$33)</f>
        <v>0</v>
      </c>
      <c r="L14" s="3099"/>
      <c r="M14" s="3096">
        <f t="shared" si="0"/>
        <v>0</v>
      </c>
      <c r="N14" s="3100"/>
      <c r="O14" s="3096" t="str">
        <f t="shared" si="3"/>
        <v>——</v>
      </c>
      <c r="P14" s="3098" t="str">
        <f t="shared" si="4"/>
        <v>——</v>
      </c>
      <c r="Q14" s="3125"/>
      <c r="R14" s="3115"/>
      <c r="S14" s="3116"/>
      <c r="T14" s="3117"/>
      <c r="U14" s="3126"/>
      <c r="V14" s="3127"/>
      <c r="W14" s="3127"/>
      <c r="X14" s="3128"/>
      <c r="Y14" s="3144"/>
      <c r="Z14" s="3145"/>
      <c r="AA14" s="3146"/>
      <c r="AB14" s="3146"/>
      <c r="AC14" s="3120"/>
      <c r="AD14" s="3128"/>
      <c r="AE14" s="3142"/>
      <c r="AF14" s="1426"/>
      <c r="AG14" s="1881"/>
      <c r="AH14" s="3142"/>
      <c r="AI14" s="1409"/>
      <c r="AJ14" s="1425"/>
      <c r="AK14" s="3165"/>
      <c r="AL14" s="3166"/>
      <c r="AM14" s="3167"/>
      <c r="AN14" s="2436"/>
      <c r="AO14" s="3020"/>
      <c r="AP14" s="3020"/>
      <c r="AQ14" s="3020"/>
      <c r="AR14" s="3020"/>
      <c r="AS14" s="2903"/>
      <c r="AT14" s="2903"/>
      <c r="AU14" s="2903"/>
      <c r="AV14" s="2903"/>
      <c r="AW14" s="2903"/>
      <c r="AX14" s="2903"/>
      <c r="AY14" s="2903"/>
      <c r="AZ14" s="2903"/>
      <c r="BA14" s="2903"/>
      <c r="BB14" s="2903"/>
      <c r="BC14" s="2903"/>
      <c r="BD14" s="2903"/>
      <c r="BE14" s="2903"/>
      <c r="BF14" s="2903"/>
      <c r="BG14" s="2903"/>
      <c r="BH14" s="2903"/>
      <c r="BI14" s="2903"/>
      <c r="BJ14" s="2903"/>
      <c r="BK14" s="2903"/>
      <c r="BL14" s="2903"/>
      <c r="BM14" s="2903"/>
      <c r="BN14" s="2903"/>
      <c r="BO14" s="2903"/>
    </row>
    <row r="15" s="2974" customFormat="1" ht="28.8" spans="1:67">
      <c r="A15" s="3008" t="s">
        <v>605</v>
      </c>
      <c r="B15" s="3000" t="s">
        <v>603</v>
      </c>
      <c r="C15" s="3009" t="s">
        <v>652</v>
      </c>
      <c r="D15" s="3002"/>
      <c r="E15" s="3003"/>
      <c r="F15" s="3004"/>
      <c r="G15" s="3005"/>
      <c r="H15" s="3010"/>
      <c r="I15" s="3010"/>
      <c r="J15" s="3010"/>
      <c r="K15" s="3094">
        <f>SUMIF('数据-汇总表'!C$19:C$33,A15,'数据-汇总表'!E$19:E$33)</f>
        <v>0</v>
      </c>
      <c r="L15" s="3101"/>
      <c r="M15" s="3096"/>
      <c r="N15" s="3102"/>
      <c r="O15" s="3096"/>
      <c r="P15" s="3098"/>
      <c r="Q15" s="3125"/>
      <c r="R15" s="3115"/>
      <c r="S15" s="3116"/>
      <c r="T15" s="3117"/>
      <c r="U15" s="3126"/>
      <c r="V15" s="3127"/>
      <c r="W15" s="3127"/>
      <c r="X15" s="3128"/>
      <c r="Y15" s="3144"/>
      <c r="Z15" s="3145"/>
      <c r="AA15" s="3146"/>
      <c r="AB15" s="3146"/>
      <c r="AC15" s="3120"/>
      <c r="AD15" s="3128"/>
      <c r="AE15" s="3142"/>
      <c r="AF15" s="1426"/>
      <c r="AG15" s="1881"/>
      <c r="AH15" s="3142"/>
      <c r="AI15" s="1409"/>
      <c r="AJ15" s="1425"/>
      <c r="AK15" s="3165"/>
      <c r="AL15" s="3166"/>
      <c r="AM15" s="3167"/>
      <c r="AN15" s="2436"/>
      <c r="AO15" s="3020"/>
      <c r="AP15" s="3020"/>
      <c r="AQ15" s="3020"/>
      <c r="AR15" s="3020"/>
      <c r="AS15" s="2903"/>
      <c r="AT15" s="2903"/>
      <c r="AU15" s="2903"/>
      <c r="AV15" s="2903"/>
      <c r="AW15" s="2903"/>
      <c r="AX15" s="2903"/>
      <c r="AY15" s="2903"/>
      <c r="AZ15" s="2903"/>
      <c r="BA15" s="2903"/>
      <c r="BB15" s="2903"/>
      <c r="BC15" s="2903"/>
      <c r="BD15" s="2903"/>
      <c r="BE15" s="2903"/>
      <c r="BF15" s="2903"/>
      <c r="BG15" s="2903"/>
      <c r="BH15" s="2903"/>
      <c r="BI15" s="2903"/>
      <c r="BJ15" s="2903"/>
      <c r="BK15" s="2903"/>
      <c r="BL15" s="2903"/>
      <c r="BM15" s="2903"/>
      <c r="BN15" s="2903"/>
      <c r="BO15" s="2903"/>
    </row>
    <row r="16" s="2974" customFormat="1" ht="15.15" spans="1:67">
      <c r="A16" s="3011" t="s">
        <v>606</v>
      </c>
      <c r="B16" s="3012"/>
      <c r="C16" s="2493"/>
      <c r="D16" s="3013"/>
      <c r="E16" s="3012"/>
      <c r="F16" s="3012"/>
      <c r="G16" s="3014">
        <f>ROUND(SUMPRODUCT(G6:G13,K6:K13)/SUMPRODUCT((G6:G13&gt;0)*(K6:K13)),3)</f>
        <v>0.719</v>
      </c>
      <c r="H16" s="3015">
        <f>ROUND(SUMPRODUCT(H6:H13,K6:K13)/SUMPRODUCT((H6:H13&gt;0)*(K6:K13)),3)</f>
        <v>0.055</v>
      </c>
      <c r="I16" s="3103"/>
      <c r="J16" s="3103"/>
      <c r="K16" s="3104">
        <f>SUM(K6:K15)</f>
        <v>10109.15</v>
      </c>
      <c r="L16" s="3105">
        <f>ROUND(M16*10000/SUM(K6:K14),0)</f>
        <v>5000</v>
      </c>
      <c r="M16" s="3105">
        <f>SUM(M6:M14)</f>
        <v>5055</v>
      </c>
      <c r="N16" s="3106">
        <f>ROUND(SUMPRODUCT(M6:M14,N6:N14)/M16,3)</f>
        <v>0.8</v>
      </c>
      <c r="O16" s="3105">
        <f>SUM(O6:O14)</f>
        <v>0</v>
      </c>
      <c r="P16" s="3105">
        <f>SUM(P6:P14)</f>
        <v>0</v>
      </c>
      <c r="Q16" s="3129">
        <f>ROUND(SUMPRODUCT(Q6:Q13,K6:K13)/SUMPRODUCT((Q6:Q13&gt;0)*(K6:K13)),2)</f>
        <v>0.2</v>
      </c>
      <c r="R16" s="3130">
        <f ca="1">SUM(R6:R13)</f>
        <v>3208.2</v>
      </c>
      <c r="S16" s="3131">
        <f>SUM(S6:S13)</f>
        <v>0</v>
      </c>
      <c r="T16" s="3132">
        <f>IF(SUMIF(T6:T13,"&lt;9E307")=M14,SUMIF(T6:T13,"&lt;9E307"),"有误，请检查")</f>
        <v>0</v>
      </c>
      <c r="U16" s="3133"/>
      <c r="V16" s="3134"/>
      <c r="W16" s="3134"/>
      <c r="X16" s="3135"/>
      <c r="Y16" s="3147"/>
      <c r="Z16" s="3148"/>
      <c r="AA16" s="3134"/>
      <c r="AB16" s="3134"/>
      <c r="AC16" s="3135"/>
      <c r="AD16" s="3135"/>
      <c r="AE16" s="3133"/>
      <c r="AF16" s="3134"/>
      <c r="AG16" s="3147"/>
      <c r="AH16" s="3133"/>
      <c r="AI16" s="3148"/>
      <c r="AJ16" s="3148"/>
      <c r="AK16" s="3134"/>
      <c r="AL16" s="3134"/>
      <c r="AM16" s="3147"/>
      <c r="AN16" s="2436"/>
      <c r="AO16" s="3020"/>
      <c r="AP16" s="3020"/>
      <c r="AQ16" s="3020"/>
      <c r="AR16" s="3020"/>
      <c r="AS16" s="2903"/>
      <c r="AT16" s="2903"/>
      <c r="AU16" s="2903"/>
      <c r="AV16" s="2903"/>
      <c r="AW16" s="2903"/>
      <c r="AX16" s="2903"/>
      <c r="AY16" s="2903"/>
      <c r="AZ16" s="2903"/>
      <c r="BA16" s="2903"/>
      <c r="BB16" s="2903"/>
      <c r="BC16" s="2903"/>
      <c r="BD16" s="2903"/>
      <c r="BE16" s="2903"/>
      <c r="BF16" s="2903"/>
      <c r="BG16" s="2903"/>
      <c r="BH16" s="2903"/>
      <c r="BI16" s="2903"/>
      <c r="BJ16" s="2903"/>
      <c r="BK16" s="2903"/>
      <c r="BL16" s="2903"/>
      <c r="BM16" s="2903"/>
      <c r="BN16" s="2903"/>
      <c r="BO16" s="2903"/>
    </row>
    <row r="17" spans="1:44">
      <c r="A17" s="3016"/>
      <c r="B17" s="3017"/>
      <c r="C17" s="2436"/>
      <c r="D17" s="3018"/>
      <c r="E17" s="3018"/>
      <c r="F17" s="2436"/>
      <c r="G17" s="2436"/>
      <c r="H17" s="2436"/>
      <c r="I17" s="2436"/>
      <c r="J17" s="2436"/>
      <c r="K17" s="3107"/>
      <c r="L17" s="3107"/>
      <c r="M17" s="2436"/>
      <c r="N17" s="2436">
        <f>ROUND(1-(2023-1997)*(1-2%)/50,2)</f>
        <v>0.49</v>
      </c>
      <c r="O17" s="2436"/>
      <c r="P17" s="2436"/>
      <c r="Q17" s="2436"/>
      <c r="R17" s="2436"/>
      <c r="S17" s="2436"/>
      <c r="T17" s="2436"/>
      <c r="U17" s="2436"/>
      <c r="V17" s="2436"/>
      <c r="W17" s="2436"/>
      <c r="X17" s="2436"/>
      <c r="Y17" s="2436"/>
      <c r="Z17" s="2436"/>
      <c r="AA17" s="2436"/>
      <c r="AB17" s="2436"/>
      <c r="AC17" s="2436"/>
      <c r="AD17" s="2436"/>
      <c r="AE17" s="2436"/>
      <c r="AF17" s="2436"/>
      <c r="AG17" s="2436"/>
      <c r="AH17" s="2436"/>
      <c r="AI17" s="2436"/>
      <c r="AJ17" s="2436"/>
      <c r="AK17" s="2436"/>
      <c r="AL17" s="2436"/>
      <c r="AM17" s="2436"/>
      <c r="AN17" s="2436"/>
      <c r="AO17" s="2436"/>
      <c r="AP17" s="2436"/>
      <c r="AQ17" s="2436"/>
      <c r="AR17" s="2436"/>
    </row>
    <row r="18" ht="15.15" spans="1:44">
      <c r="A18" s="1666" t="s">
        <v>653</v>
      </c>
      <c r="B18" s="3019"/>
      <c r="C18" s="3020"/>
      <c r="D18" s="3021"/>
      <c r="E18" s="3020"/>
      <c r="F18" s="3020"/>
      <c r="G18" s="3020"/>
      <c r="H18" s="3020"/>
      <c r="I18" s="3020"/>
      <c r="J18" s="3020"/>
      <c r="K18" s="3107"/>
      <c r="L18" s="3107"/>
      <c r="M18" s="2436"/>
      <c r="N18" s="2436">
        <v>0.85</v>
      </c>
      <c r="O18" s="2436"/>
      <c r="P18" s="2436"/>
      <c r="Q18" s="2436"/>
      <c r="R18" s="2436"/>
      <c r="S18" s="2436"/>
      <c r="T18" s="2436"/>
      <c r="U18" s="2436"/>
      <c r="V18" s="2436"/>
      <c r="W18" s="2436"/>
      <c r="X18" s="2436"/>
      <c r="Y18" s="2436"/>
      <c r="Z18" s="2436"/>
      <c r="AA18" s="2436"/>
      <c r="AB18" s="2436"/>
      <c r="AC18" s="2436"/>
      <c r="AD18" s="2436"/>
      <c r="AE18" s="2436"/>
      <c r="AF18" s="2436"/>
      <c r="AG18" s="2436"/>
      <c r="AH18" s="2436"/>
      <c r="AI18" s="2436"/>
      <c r="AJ18" s="2436"/>
      <c r="AK18" s="2436"/>
      <c r="AL18" s="2436"/>
      <c r="AM18" s="2436"/>
      <c r="AN18" s="2436"/>
      <c r="AO18" s="2436"/>
      <c r="AP18" s="2436"/>
      <c r="AQ18" s="2436"/>
      <c r="AR18" s="2436"/>
    </row>
    <row r="19" ht="14.4" spans="1:44">
      <c r="A19" s="3022" t="s">
        <v>654</v>
      </c>
      <c r="B19" s="3023">
        <v>0</v>
      </c>
      <c r="C19" s="3024" t="s">
        <v>655</v>
      </c>
      <c r="D19" s="3021"/>
      <c r="E19" s="3020"/>
      <c r="F19" s="3020"/>
      <c r="G19" s="3020"/>
      <c r="H19" s="3020"/>
      <c r="I19" s="3020"/>
      <c r="J19" s="3020"/>
      <c r="K19" s="3107"/>
      <c r="L19" s="3107"/>
      <c r="M19" s="2436"/>
      <c r="N19" s="2436">
        <f>N17*0.5+N18*0.5</f>
        <v>0.67</v>
      </c>
      <c r="O19" s="2436"/>
      <c r="P19" s="2436"/>
      <c r="Q19" s="2436"/>
      <c r="R19" s="2436"/>
      <c r="S19" s="2436"/>
      <c r="T19" s="2436"/>
      <c r="U19" s="2436"/>
      <c r="V19" s="2436"/>
      <c r="W19" s="2436"/>
      <c r="X19" s="2436"/>
      <c r="Y19" s="2436"/>
      <c r="Z19" s="2436"/>
      <c r="AA19" s="2436"/>
      <c r="AB19" s="2436"/>
      <c r="AC19" s="2436"/>
      <c r="AD19" s="2436"/>
      <c r="AE19" s="2436"/>
      <c r="AF19" s="2436"/>
      <c r="AG19" s="2436"/>
      <c r="AH19" s="2436"/>
      <c r="AI19" s="2436"/>
      <c r="AJ19" s="2436"/>
      <c r="AK19" s="2436"/>
      <c r="AL19" s="2436"/>
      <c r="AM19" s="2436"/>
      <c r="AN19" s="2436"/>
      <c r="AO19" s="2436"/>
      <c r="AP19" s="2436"/>
      <c r="AQ19" s="2436"/>
      <c r="AR19" s="2436"/>
    </row>
    <row r="20" ht="14.4" spans="1:44">
      <c r="A20" s="3025" t="s">
        <v>656</v>
      </c>
      <c r="B20" s="3026">
        <v>1.5</v>
      </c>
      <c r="C20" s="3027" t="s">
        <v>657</v>
      </c>
      <c r="D20" s="3021"/>
      <c r="E20" s="3020"/>
      <c r="F20" s="3020"/>
      <c r="G20" s="3020"/>
      <c r="H20" s="3020"/>
      <c r="I20" s="3020"/>
      <c r="J20" s="3020"/>
      <c r="K20" s="3107"/>
      <c r="L20" s="3107"/>
      <c r="M20" s="2436"/>
      <c r="N20" s="2436"/>
      <c r="O20" s="2436"/>
      <c r="P20" s="2436"/>
      <c r="Q20" s="2436"/>
      <c r="R20" s="2436"/>
      <c r="S20" s="2436"/>
      <c r="T20" s="2436"/>
      <c r="U20" s="2436"/>
      <c r="V20" s="2436"/>
      <c r="W20" s="2436"/>
      <c r="X20" s="2436"/>
      <c r="Y20" s="2436"/>
      <c r="Z20" s="2436"/>
      <c r="AA20" s="2436"/>
      <c r="AB20" s="2436"/>
      <c r="AC20" s="2436"/>
      <c r="AD20" s="2436"/>
      <c r="AE20" s="2436"/>
      <c r="AF20" s="2436"/>
      <c r="AG20" s="2436"/>
      <c r="AH20" s="2436"/>
      <c r="AI20" s="2436"/>
      <c r="AJ20" s="2436"/>
      <c r="AK20" s="2436"/>
      <c r="AL20" s="2436"/>
      <c r="AM20" s="2436"/>
      <c r="AN20" s="2436"/>
      <c r="AO20" s="2436"/>
      <c r="AP20" s="2436"/>
      <c r="AQ20" s="2436"/>
      <c r="AR20" s="2436"/>
    </row>
    <row r="21" ht="14.4" spans="1:44">
      <c r="A21" s="3028" t="s">
        <v>658</v>
      </c>
      <c r="B21" s="3026">
        <v>1.5</v>
      </c>
      <c r="C21" s="3020"/>
      <c r="D21" s="3021"/>
      <c r="E21" s="3020"/>
      <c r="F21" s="3020"/>
      <c r="G21" s="3020"/>
      <c r="H21" s="3020"/>
      <c r="I21" s="3020"/>
      <c r="J21" s="3020"/>
      <c r="K21" s="3107"/>
      <c r="L21" s="3107"/>
      <c r="M21" s="2436"/>
      <c r="N21" s="2436"/>
      <c r="O21" s="2436"/>
      <c r="P21" s="2436"/>
      <c r="Q21" s="2436"/>
      <c r="R21" s="2436"/>
      <c r="S21" s="2436"/>
      <c r="T21" s="2436"/>
      <c r="U21" s="2436"/>
      <c r="V21" s="2436"/>
      <c r="W21" s="2436"/>
      <c r="X21" s="2436"/>
      <c r="Y21" s="2436"/>
      <c r="Z21" s="2436"/>
      <c r="AA21" s="2436"/>
      <c r="AB21" s="2436"/>
      <c r="AC21" s="2436"/>
      <c r="AD21" s="2436"/>
      <c r="AE21" s="2436"/>
      <c r="AF21" s="2436"/>
      <c r="AG21" s="2436"/>
      <c r="AH21" s="2436"/>
      <c r="AI21" s="2436"/>
      <c r="AJ21" s="2436"/>
      <c r="AK21" s="2436"/>
      <c r="AL21" s="2436"/>
      <c r="AM21" s="2436"/>
      <c r="AN21" s="2436"/>
      <c r="AO21" s="2436"/>
      <c r="AP21" s="2436"/>
      <c r="AQ21" s="2436"/>
      <c r="AR21" s="2436"/>
    </row>
    <row r="22" ht="14.4" spans="1:44">
      <c r="A22" s="3025" t="s">
        <v>659</v>
      </c>
      <c r="B22" s="3029">
        <f>B19+B20</f>
        <v>1.5</v>
      </c>
      <c r="C22" s="3020"/>
      <c r="D22" s="3021"/>
      <c r="E22" s="3020"/>
      <c r="F22" s="3020"/>
      <c r="G22" s="3020"/>
      <c r="H22" s="3020"/>
      <c r="I22" s="3020"/>
      <c r="J22" s="3020"/>
      <c r="K22" s="3107"/>
      <c r="L22" s="3107"/>
      <c r="M22" s="2436"/>
      <c r="N22" s="2436"/>
      <c r="O22" s="2436"/>
      <c r="P22" s="2436"/>
      <c r="Q22" s="2436"/>
      <c r="R22" s="2436"/>
      <c r="S22" s="2436"/>
      <c r="T22" s="2436"/>
      <c r="U22" s="2436"/>
      <c r="V22" s="2436"/>
      <c r="W22" s="2436"/>
      <c r="X22" s="2436"/>
      <c r="Y22" s="2436"/>
      <c r="Z22" s="2436"/>
      <c r="AA22" s="2436"/>
      <c r="AB22" s="2436"/>
      <c r="AC22" s="2436"/>
      <c r="AD22" s="2436"/>
      <c r="AE22" s="2436"/>
      <c r="AF22" s="2436"/>
      <c r="AG22" s="2436"/>
      <c r="AH22" s="2436"/>
      <c r="AI22" s="2436"/>
      <c r="AJ22" s="2436"/>
      <c r="AK22" s="2436"/>
      <c r="AL22" s="2436"/>
      <c r="AM22" s="2436"/>
      <c r="AN22" s="2436"/>
      <c r="AO22" s="2436"/>
      <c r="AP22" s="2436"/>
      <c r="AQ22" s="2436"/>
      <c r="AR22" s="2436"/>
    </row>
    <row r="23" ht="14.4" spans="1:44">
      <c r="A23" s="3028" t="s">
        <v>660</v>
      </c>
      <c r="B23" s="3029">
        <f>B19+B21</f>
        <v>1.5</v>
      </c>
      <c r="C23" s="3020"/>
      <c r="D23" s="3021"/>
      <c r="E23" s="3020"/>
      <c r="F23" s="3020"/>
      <c r="G23" s="3020"/>
      <c r="H23" s="3020"/>
      <c r="I23" s="3020"/>
      <c r="J23" s="3020"/>
      <c r="K23" s="3107"/>
      <c r="L23" s="3107"/>
      <c r="M23" s="2436"/>
      <c r="N23" s="2436"/>
      <c r="O23" s="2436"/>
      <c r="P23" s="2436"/>
      <c r="Q23" s="2436"/>
      <c r="R23" s="2436"/>
      <c r="S23" s="2436"/>
      <c r="T23" s="2436"/>
      <c r="U23" s="2436"/>
      <c r="V23" s="2436"/>
      <c r="W23" s="2436"/>
      <c r="X23" s="2436"/>
      <c r="Y23" s="2436"/>
      <c r="Z23" s="2436"/>
      <c r="AA23" s="2436"/>
      <c r="AB23" s="2436"/>
      <c r="AC23" s="2436"/>
      <c r="AD23" s="2436"/>
      <c r="AE23" s="2436"/>
      <c r="AF23" s="2436"/>
      <c r="AG23" s="2436"/>
      <c r="AH23" s="2436"/>
      <c r="AI23" s="2436"/>
      <c r="AJ23" s="2436"/>
      <c r="AK23" s="2436"/>
      <c r="AL23" s="2436"/>
      <c r="AM23" s="2436"/>
      <c r="AN23" s="2436"/>
      <c r="AO23" s="2436"/>
      <c r="AP23" s="2436"/>
      <c r="AQ23" s="2436"/>
      <c r="AR23" s="2436"/>
    </row>
    <row r="24" ht="15.15" spans="1:44">
      <c r="A24" s="3030" t="s">
        <v>661</v>
      </c>
      <c r="B24" s="3031">
        <f>B20-B21</f>
        <v>0</v>
      </c>
      <c r="C24" s="3020"/>
      <c r="D24" s="3021"/>
      <c r="E24" s="3020"/>
      <c r="F24" s="3020"/>
      <c r="G24" s="3020"/>
      <c r="H24" s="3020"/>
      <c r="I24" s="3020"/>
      <c r="J24" s="3020"/>
      <c r="K24" s="3107"/>
      <c r="L24" s="3107"/>
      <c r="M24" s="2436"/>
      <c r="N24" s="2436"/>
      <c r="O24" s="2436"/>
      <c r="P24" s="2436"/>
      <c r="Q24" s="2436"/>
      <c r="R24" s="2436"/>
      <c r="S24" s="2436"/>
      <c r="T24" s="2436"/>
      <c r="U24" s="2436"/>
      <c r="V24" s="2436"/>
      <c r="W24" s="2436"/>
      <c r="X24" s="2436"/>
      <c r="Y24" s="2436"/>
      <c r="Z24" s="2436"/>
      <c r="AA24" s="2436"/>
      <c r="AB24" s="2436"/>
      <c r="AC24" s="2436"/>
      <c r="AD24" s="2436"/>
      <c r="AE24" s="2436"/>
      <c r="AF24" s="2436"/>
      <c r="AG24" s="2436"/>
      <c r="AH24" s="2436"/>
      <c r="AI24" s="2436"/>
      <c r="AJ24" s="2436"/>
      <c r="AK24" s="2436"/>
      <c r="AL24" s="2436"/>
      <c r="AM24" s="2436"/>
      <c r="AN24" s="2436"/>
      <c r="AO24" s="2436"/>
      <c r="AP24" s="2436"/>
      <c r="AQ24" s="2436"/>
      <c r="AR24" s="2436"/>
    </row>
    <row r="25" ht="14.55" spans="1:44">
      <c r="A25" s="2989"/>
      <c r="B25" s="2990"/>
      <c r="C25" s="3020"/>
      <c r="D25" s="3021"/>
      <c r="E25" s="3020"/>
      <c r="F25" s="3020"/>
      <c r="G25" s="3020"/>
      <c r="H25" s="3020"/>
      <c r="I25" s="3020"/>
      <c r="J25" s="3020"/>
      <c r="K25" s="3107"/>
      <c r="L25" s="3107"/>
      <c r="M25" s="2436"/>
      <c r="N25" s="2436"/>
      <c r="O25" s="2436"/>
      <c r="P25" s="2436"/>
      <c r="Q25" s="2436"/>
      <c r="R25" s="2436"/>
      <c r="S25" s="2436"/>
      <c r="T25" s="2436"/>
      <c r="U25" s="2436"/>
      <c r="V25" s="2436"/>
      <c r="W25" s="2436"/>
      <c r="X25" s="2436"/>
      <c r="Y25" s="2436"/>
      <c r="Z25" s="2436"/>
      <c r="AA25" s="2436"/>
      <c r="AB25" s="2436"/>
      <c r="AC25" s="2436"/>
      <c r="AD25" s="2436"/>
      <c r="AE25" s="2436"/>
      <c r="AF25" s="2436"/>
      <c r="AG25" s="2436"/>
      <c r="AH25" s="2436"/>
      <c r="AI25" s="2436"/>
      <c r="AJ25" s="2436"/>
      <c r="AK25" s="2436"/>
      <c r="AL25" s="2436"/>
      <c r="AM25" s="2436"/>
      <c r="AN25" s="2436"/>
      <c r="AO25" s="2436"/>
      <c r="AP25" s="2436"/>
      <c r="AQ25" s="2436"/>
      <c r="AR25" s="2436"/>
    </row>
    <row r="26" ht="15.15" spans="1:44">
      <c r="A26" s="2985" t="s">
        <v>662</v>
      </c>
      <c r="B26" s="3032" t="s">
        <v>663</v>
      </c>
      <c r="C26" s="3033" t="s">
        <v>664</v>
      </c>
      <c r="D26" s="3021"/>
      <c r="E26" s="3020"/>
      <c r="F26" s="3020"/>
      <c r="G26" s="3020"/>
      <c r="H26" s="3020"/>
      <c r="I26" s="3020"/>
      <c r="J26" s="3020"/>
      <c r="K26" s="3107"/>
      <c r="L26" s="3107"/>
      <c r="M26" s="2436"/>
      <c r="N26" s="2436"/>
      <c r="O26" s="2436"/>
      <c r="P26" s="2436"/>
      <c r="Q26" s="2436"/>
      <c r="R26" s="2436"/>
      <c r="S26" s="2436"/>
      <c r="T26" s="2436"/>
      <c r="U26" s="2436"/>
      <c r="V26" s="2436"/>
      <c r="W26" s="2436"/>
      <c r="X26" s="2436"/>
      <c r="Y26" s="2436"/>
      <c r="Z26" s="2436"/>
      <c r="AA26" s="2436"/>
      <c r="AB26" s="2436"/>
      <c r="AC26" s="2436"/>
      <c r="AD26" s="2436"/>
      <c r="AE26" s="2436"/>
      <c r="AF26" s="2436"/>
      <c r="AG26" s="2436"/>
      <c r="AH26" s="2436"/>
      <c r="AI26" s="2436"/>
      <c r="AJ26" s="2436"/>
      <c r="AK26" s="2436"/>
      <c r="AL26" s="2436"/>
      <c r="AM26" s="2436"/>
      <c r="AN26" s="2436"/>
      <c r="AO26" s="2436"/>
      <c r="AP26" s="2436"/>
      <c r="AQ26" s="2436"/>
      <c r="AR26" s="2436"/>
    </row>
    <row r="27" s="2976" customFormat="1" ht="28.8" spans="1:67">
      <c r="A27" s="3034" t="s">
        <v>665</v>
      </c>
      <c r="B27" s="3035"/>
      <c r="C27" s="3036" t="s">
        <v>666</v>
      </c>
      <c r="D27" s="3037"/>
      <c r="E27" s="1541"/>
      <c r="F27" s="1541"/>
      <c r="G27" s="3020"/>
      <c r="H27" s="3020"/>
      <c r="I27" s="3020"/>
      <c r="J27" s="3020"/>
      <c r="K27" s="3107"/>
      <c r="L27" s="3107"/>
      <c r="M27" s="2436"/>
      <c r="N27" s="2436"/>
      <c r="O27" s="2436"/>
      <c r="P27" s="2436"/>
      <c r="Q27" s="2436"/>
      <c r="R27" s="2436"/>
      <c r="S27" s="2436"/>
      <c r="T27" s="2436"/>
      <c r="U27" s="2436"/>
      <c r="V27" s="2436"/>
      <c r="W27" s="2436"/>
      <c r="X27" s="2436"/>
      <c r="Y27" s="2436"/>
      <c r="Z27" s="2436"/>
      <c r="AA27" s="2436"/>
      <c r="AB27" s="2436"/>
      <c r="AC27" s="2436"/>
      <c r="AD27" s="2436"/>
      <c r="AE27" s="2436"/>
      <c r="AF27" s="2436"/>
      <c r="AG27" s="2436"/>
      <c r="AH27" s="2436"/>
      <c r="AI27" s="2436"/>
      <c r="AJ27" s="2436"/>
      <c r="AK27" s="2436"/>
      <c r="AL27" s="2436"/>
      <c r="AM27" s="2436"/>
      <c r="AN27" s="2436"/>
      <c r="AO27" s="2436"/>
      <c r="AP27" s="2436"/>
      <c r="AQ27" s="2436"/>
      <c r="AR27" s="2436"/>
      <c r="AS27" s="2424"/>
      <c r="AT27" s="2424"/>
      <c r="AU27" s="2424"/>
      <c r="AV27" s="2424"/>
      <c r="AW27" s="2424"/>
      <c r="AX27" s="2424"/>
      <c r="AY27" s="2424"/>
      <c r="AZ27" s="2424"/>
      <c r="BA27" s="2424"/>
      <c r="BB27" s="2424"/>
      <c r="BC27" s="2424"/>
      <c r="BD27" s="2424"/>
      <c r="BE27" s="2424"/>
      <c r="BF27" s="2424"/>
      <c r="BG27" s="2424"/>
      <c r="BH27" s="2424"/>
      <c r="BI27" s="2424"/>
      <c r="BJ27" s="2424"/>
      <c r="BK27" s="2424"/>
      <c r="BL27" s="2424"/>
      <c r="BM27" s="2424"/>
      <c r="BN27" s="2424"/>
      <c r="BO27" s="2424"/>
    </row>
    <row r="28" s="2976" customFormat="1" ht="28.8" spans="1:67">
      <c r="A28" s="3038" t="s">
        <v>667</v>
      </c>
      <c r="B28" s="3039">
        <v>200</v>
      </c>
      <c r="C28" s="3040"/>
      <c r="D28" s="3037"/>
      <c r="E28" s="1541"/>
      <c r="F28" s="1541"/>
      <c r="G28" s="3020"/>
      <c r="H28" s="3020"/>
      <c r="I28" s="3020"/>
      <c r="J28" s="3020"/>
      <c r="K28" s="3107"/>
      <c r="L28" s="3107"/>
      <c r="M28" s="2436"/>
      <c r="N28" s="2436"/>
      <c r="O28" s="2436"/>
      <c r="P28" s="2436"/>
      <c r="Q28" s="2436"/>
      <c r="R28" s="2436"/>
      <c r="S28" s="2436"/>
      <c r="T28" s="2436"/>
      <c r="U28" s="2436"/>
      <c r="V28" s="2436"/>
      <c r="W28" s="2436"/>
      <c r="X28" s="2436"/>
      <c r="Y28" s="2436"/>
      <c r="Z28" s="2436"/>
      <c r="AA28" s="2436"/>
      <c r="AB28" s="2436"/>
      <c r="AC28" s="2436"/>
      <c r="AD28" s="2436"/>
      <c r="AE28" s="2436"/>
      <c r="AF28" s="2436"/>
      <c r="AG28" s="2436"/>
      <c r="AH28" s="2436"/>
      <c r="AI28" s="2436"/>
      <c r="AJ28" s="2436"/>
      <c r="AK28" s="2436"/>
      <c r="AL28" s="2436"/>
      <c r="AM28" s="2436"/>
      <c r="AN28" s="2436"/>
      <c r="AO28" s="2436"/>
      <c r="AP28" s="2436"/>
      <c r="AQ28" s="2436"/>
      <c r="AR28" s="2436"/>
      <c r="AS28" s="2424"/>
      <c r="AT28" s="2424"/>
      <c r="AU28" s="2424"/>
      <c r="AV28" s="2424"/>
      <c r="AW28" s="2424"/>
      <c r="AX28" s="2424"/>
      <c r="AY28" s="2424"/>
      <c r="AZ28" s="2424"/>
      <c r="BA28" s="2424"/>
      <c r="BB28" s="2424"/>
      <c r="BC28" s="2424"/>
      <c r="BD28" s="2424"/>
      <c r="BE28" s="2424"/>
      <c r="BF28" s="2424"/>
      <c r="BG28" s="2424"/>
      <c r="BH28" s="2424"/>
      <c r="BI28" s="2424"/>
      <c r="BJ28" s="2424"/>
      <c r="BK28" s="2424"/>
      <c r="BL28" s="2424"/>
      <c r="BM28" s="2424"/>
      <c r="BN28" s="2424"/>
      <c r="BO28" s="2424"/>
    </row>
    <row r="29" s="2976" customFormat="1" ht="29.55" spans="1:67">
      <c r="A29" s="3041" t="s">
        <v>668</v>
      </c>
      <c r="B29" s="3042">
        <f ca="1">成本法!C10</f>
        <v>202</v>
      </c>
      <c r="C29" s="3043" t="s">
        <v>669</v>
      </c>
      <c r="D29" s="3037"/>
      <c r="E29" s="1541"/>
      <c r="F29" s="1541"/>
      <c r="G29" s="3020"/>
      <c r="H29" s="3020"/>
      <c r="I29" s="3020"/>
      <c r="J29" s="3020"/>
      <c r="K29" s="3107"/>
      <c r="L29" s="3107"/>
      <c r="M29" s="2436"/>
      <c r="N29" s="2436"/>
      <c r="O29" s="2436"/>
      <c r="P29" s="2436"/>
      <c r="Q29" s="2436"/>
      <c r="R29" s="2436"/>
      <c r="S29" s="2436"/>
      <c r="T29" s="2436"/>
      <c r="U29" s="2436"/>
      <c r="V29" s="2436"/>
      <c r="W29" s="2436"/>
      <c r="X29" s="2436"/>
      <c r="Y29" s="2436"/>
      <c r="Z29" s="2436"/>
      <c r="AA29" s="2436"/>
      <c r="AB29" s="2436"/>
      <c r="AC29" s="2436"/>
      <c r="AD29" s="2436"/>
      <c r="AE29" s="2436"/>
      <c r="AF29" s="2436"/>
      <c r="AG29" s="2436"/>
      <c r="AH29" s="2436"/>
      <c r="AI29" s="2436"/>
      <c r="AJ29" s="2436"/>
      <c r="AK29" s="2436"/>
      <c r="AL29" s="2436"/>
      <c r="AM29" s="2436"/>
      <c r="AN29" s="2436"/>
      <c r="AO29" s="2436"/>
      <c r="AP29" s="2436"/>
      <c r="AQ29" s="2436"/>
      <c r="AR29" s="2436"/>
      <c r="AS29" s="2424"/>
      <c r="AT29" s="2424"/>
      <c r="AU29" s="2424"/>
      <c r="AV29" s="2424"/>
      <c r="AW29" s="2424"/>
      <c r="AX29" s="2424"/>
      <c r="AY29" s="2424"/>
      <c r="AZ29" s="2424"/>
      <c r="BA29" s="2424"/>
      <c r="BB29" s="2424"/>
      <c r="BC29" s="2424"/>
      <c r="BD29" s="2424"/>
      <c r="BE29" s="2424"/>
      <c r="BF29" s="2424"/>
      <c r="BG29" s="2424"/>
      <c r="BH29" s="2424"/>
      <c r="BI29" s="2424"/>
      <c r="BJ29" s="2424"/>
      <c r="BK29" s="2424"/>
      <c r="BL29" s="2424"/>
      <c r="BM29" s="2424"/>
      <c r="BN29" s="2424"/>
      <c r="BO29" s="2424"/>
    </row>
    <row r="30" s="2976" customFormat="1" ht="28.8" spans="1:67">
      <c r="A30" s="3044" t="s">
        <v>670</v>
      </c>
      <c r="B30" s="3045">
        <v>200</v>
      </c>
      <c r="C30" s="3040"/>
      <c r="D30" s="3037"/>
      <c r="E30" s="1541"/>
      <c r="F30" s="1541"/>
      <c r="G30" s="3020"/>
      <c r="H30" s="3020"/>
      <c r="I30" s="3020"/>
      <c r="J30" s="3020"/>
      <c r="K30" s="3107"/>
      <c r="L30" s="3107"/>
      <c r="M30" s="2436"/>
      <c r="N30" s="2436"/>
      <c r="O30" s="2436"/>
      <c r="P30" s="2436"/>
      <c r="Q30" s="2436"/>
      <c r="R30" s="2436"/>
      <c r="S30" s="2436"/>
      <c r="T30" s="2436"/>
      <c r="U30" s="2436"/>
      <c r="V30" s="2436"/>
      <c r="W30" s="2436"/>
      <c r="X30" s="2436"/>
      <c r="Y30" s="2436"/>
      <c r="Z30" s="2436"/>
      <c r="AA30" s="2436"/>
      <c r="AB30" s="2436"/>
      <c r="AC30" s="2436"/>
      <c r="AD30" s="2436"/>
      <c r="AE30" s="2436"/>
      <c r="AF30" s="2436"/>
      <c r="AG30" s="2436"/>
      <c r="AH30" s="2436"/>
      <c r="AI30" s="2436"/>
      <c r="AJ30" s="2436"/>
      <c r="AK30" s="2436"/>
      <c r="AL30" s="2436"/>
      <c r="AM30" s="2436"/>
      <c r="AN30" s="2436"/>
      <c r="AO30" s="2436"/>
      <c r="AP30" s="2436"/>
      <c r="AQ30" s="2436"/>
      <c r="AR30" s="2436"/>
      <c r="AS30" s="2424"/>
      <c r="AT30" s="2424"/>
      <c r="AU30" s="2424"/>
      <c r="AV30" s="2424"/>
      <c r="AW30" s="2424"/>
      <c r="AX30" s="2424"/>
      <c r="AY30" s="2424"/>
      <c r="AZ30" s="2424"/>
      <c r="BA30" s="2424"/>
      <c r="BB30" s="2424"/>
      <c r="BC30" s="2424"/>
      <c r="BD30" s="2424"/>
      <c r="BE30" s="2424"/>
      <c r="BF30" s="2424"/>
      <c r="BG30" s="2424"/>
      <c r="BH30" s="2424"/>
      <c r="BI30" s="2424"/>
      <c r="BJ30" s="2424"/>
      <c r="BK30" s="2424"/>
      <c r="BL30" s="2424"/>
      <c r="BM30" s="2424"/>
      <c r="BN30" s="2424"/>
      <c r="BO30" s="2424"/>
    </row>
    <row r="31" s="2976" customFormat="1" ht="28.8" spans="1:67">
      <c r="A31" s="3038" t="s">
        <v>671</v>
      </c>
      <c r="B31" s="3046">
        <f>B30-B32</f>
        <v>200</v>
      </c>
      <c r="C31" s="3047"/>
      <c r="D31" s="3037"/>
      <c r="E31" s="1541"/>
      <c r="F31" s="1541"/>
      <c r="G31" s="3020"/>
      <c r="H31" s="3020"/>
      <c r="I31" s="3020"/>
      <c r="J31" s="3020"/>
      <c r="K31" s="3107"/>
      <c r="L31" s="3107"/>
      <c r="M31" s="2436"/>
      <c r="N31" s="2436"/>
      <c r="O31" s="2436"/>
      <c r="P31" s="2436"/>
      <c r="Q31" s="2436"/>
      <c r="R31" s="2436"/>
      <c r="S31" s="2436"/>
      <c r="T31" s="2436"/>
      <c r="U31" s="2436"/>
      <c r="V31" s="2436"/>
      <c r="W31" s="2436"/>
      <c r="X31" s="2436"/>
      <c r="Y31" s="2436"/>
      <c r="Z31" s="2436"/>
      <c r="AA31" s="2436"/>
      <c r="AB31" s="2436"/>
      <c r="AC31" s="2436"/>
      <c r="AD31" s="2436"/>
      <c r="AE31" s="2436"/>
      <c r="AF31" s="2436"/>
      <c r="AG31" s="2436"/>
      <c r="AH31" s="2436"/>
      <c r="AI31" s="2436"/>
      <c r="AJ31" s="2436"/>
      <c r="AK31" s="2436"/>
      <c r="AL31" s="2436"/>
      <c r="AM31" s="2436"/>
      <c r="AN31" s="2436"/>
      <c r="AO31" s="2436"/>
      <c r="AP31" s="2436"/>
      <c r="AQ31" s="2436"/>
      <c r="AR31" s="2436"/>
      <c r="AS31" s="2424"/>
      <c r="AT31" s="2424"/>
      <c r="AU31" s="2424"/>
      <c r="AV31" s="2424"/>
      <c r="AW31" s="2424"/>
      <c r="AX31" s="2424"/>
      <c r="AY31" s="2424"/>
      <c r="AZ31" s="2424"/>
      <c r="BA31" s="2424"/>
      <c r="BB31" s="2424"/>
      <c r="BC31" s="2424"/>
      <c r="BD31" s="2424"/>
      <c r="BE31" s="2424"/>
      <c r="BF31" s="2424"/>
      <c r="BG31" s="2424"/>
      <c r="BH31" s="2424"/>
      <c r="BI31" s="2424"/>
      <c r="BJ31" s="2424"/>
      <c r="BK31" s="2424"/>
      <c r="BL31" s="2424"/>
      <c r="BM31" s="2424"/>
      <c r="BN31" s="2424"/>
      <c r="BO31" s="2424"/>
    </row>
    <row r="32" s="2976" customFormat="1" ht="29.55" spans="1:67">
      <c r="A32" s="3048" t="s">
        <v>672</v>
      </c>
      <c r="B32" s="3049">
        <v>0</v>
      </c>
      <c r="C32" s="3040"/>
      <c r="D32" s="3021"/>
      <c r="E32" s="3020"/>
      <c r="F32" s="3020"/>
      <c r="G32" s="3020"/>
      <c r="H32" s="3020"/>
      <c r="I32" s="3020"/>
      <c r="J32" s="3020"/>
      <c r="K32" s="3107"/>
      <c r="L32" s="3107"/>
      <c r="M32" s="2436"/>
      <c r="N32" s="2436"/>
      <c r="O32" s="2436"/>
      <c r="P32" s="2436"/>
      <c r="Q32" s="2436"/>
      <c r="R32" s="2436"/>
      <c r="S32" s="2436"/>
      <c r="T32" s="2436"/>
      <c r="U32" s="2436"/>
      <c r="V32" s="2436"/>
      <c r="W32" s="2436"/>
      <c r="X32" s="2436"/>
      <c r="Y32" s="2436"/>
      <c r="Z32" s="2436"/>
      <c r="AA32" s="2436"/>
      <c r="AB32" s="2436"/>
      <c r="AC32" s="2436"/>
      <c r="AD32" s="2436"/>
      <c r="AE32" s="2436"/>
      <c r="AF32" s="2436"/>
      <c r="AG32" s="2436"/>
      <c r="AH32" s="2436"/>
      <c r="AI32" s="2436"/>
      <c r="AJ32" s="2436"/>
      <c r="AK32" s="2436"/>
      <c r="AL32" s="2436"/>
      <c r="AM32" s="2436"/>
      <c r="AN32" s="2436"/>
      <c r="AO32" s="2436"/>
      <c r="AP32" s="2436"/>
      <c r="AQ32" s="2436"/>
      <c r="AR32" s="2436"/>
      <c r="AS32" s="2424"/>
      <c r="AT32" s="2424"/>
      <c r="AU32" s="2424"/>
      <c r="AV32" s="2424"/>
      <c r="AW32" s="2424"/>
      <c r="AX32" s="2424"/>
      <c r="AY32" s="2424"/>
      <c r="AZ32" s="2424"/>
      <c r="BA32" s="2424"/>
      <c r="BB32" s="2424"/>
      <c r="BC32" s="2424"/>
      <c r="BD32" s="2424"/>
      <c r="BE32" s="2424"/>
      <c r="BF32" s="2424"/>
      <c r="BG32" s="2424"/>
      <c r="BH32" s="2424"/>
      <c r="BI32" s="2424"/>
      <c r="BJ32" s="2424"/>
      <c r="BK32" s="2424"/>
      <c r="BL32" s="2424"/>
      <c r="BM32" s="2424"/>
      <c r="BN32" s="2424"/>
      <c r="BO32" s="2424"/>
    </row>
    <row r="33" s="2976" customFormat="1" ht="14.4" spans="1:67">
      <c r="A33" s="3034" t="s">
        <v>673</v>
      </c>
      <c r="B33" s="3050">
        <v>0.03</v>
      </c>
      <c r="C33" s="3051" t="s">
        <v>674</v>
      </c>
      <c r="D33" s="3021"/>
      <c r="E33" s="3020"/>
      <c r="F33" s="3020"/>
      <c r="G33" s="3020"/>
      <c r="H33" s="3020"/>
      <c r="I33" s="3020"/>
      <c r="J33" s="3020"/>
      <c r="K33" s="3107"/>
      <c r="L33" s="3107"/>
      <c r="M33" s="2436"/>
      <c r="N33" s="2436"/>
      <c r="O33" s="2436"/>
      <c r="P33" s="2436"/>
      <c r="Q33" s="2436"/>
      <c r="R33" s="2436"/>
      <c r="S33" s="2436"/>
      <c r="T33" s="2436"/>
      <c r="U33" s="2436"/>
      <c r="V33" s="2436"/>
      <c r="W33" s="2436"/>
      <c r="X33" s="2436"/>
      <c r="Y33" s="2436"/>
      <c r="Z33" s="2436"/>
      <c r="AA33" s="2436"/>
      <c r="AB33" s="2436"/>
      <c r="AC33" s="2436"/>
      <c r="AD33" s="2436"/>
      <c r="AE33" s="2436"/>
      <c r="AF33" s="2436"/>
      <c r="AG33" s="2436"/>
      <c r="AH33" s="2436"/>
      <c r="AI33" s="2436"/>
      <c r="AJ33" s="2436"/>
      <c r="AK33" s="2436"/>
      <c r="AL33" s="2436"/>
      <c r="AM33" s="2436"/>
      <c r="AN33" s="2436"/>
      <c r="AO33" s="2436"/>
      <c r="AP33" s="2436"/>
      <c r="AQ33" s="2436"/>
      <c r="AR33" s="2436"/>
      <c r="AS33" s="2424"/>
      <c r="AT33" s="2424"/>
      <c r="AU33" s="2424"/>
      <c r="AV33" s="2424"/>
      <c r="AW33" s="2424"/>
      <c r="AX33" s="2424"/>
      <c r="AY33" s="2424"/>
      <c r="AZ33" s="2424"/>
      <c r="BA33" s="2424"/>
      <c r="BB33" s="2424"/>
      <c r="BC33" s="2424"/>
      <c r="BD33" s="2424"/>
      <c r="BE33" s="2424"/>
      <c r="BF33" s="2424"/>
      <c r="BG33" s="2424"/>
      <c r="BH33" s="2424"/>
      <c r="BI33" s="2424"/>
      <c r="BJ33" s="2424"/>
      <c r="BK33" s="2424"/>
      <c r="BL33" s="2424"/>
      <c r="BM33" s="2424"/>
      <c r="BN33" s="2424"/>
      <c r="BO33" s="2424"/>
    </row>
    <row r="34" s="2976" customFormat="1" ht="14.4" spans="1:67">
      <c r="A34" s="3038" t="s">
        <v>675</v>
      </c>
      <c r="B34" s="3052">
        <v>0</v>
      </c>
      <c r="C34" s="3051" t="s">
        <v>676</v>
      </c>
      <c r="D34" s="3053" t="s">
        <v>677</v>
      </c>
      <c r="E34" s="3017"/>
      <c r="F34" s="3020"/>
      <c r="G34" s="3020"/>
      <c r="H34" s="3020"/>
      <c r="I34" s="3020"/>
      <c r="J34" s="3020"/>
      <c r="K34" s="3107"/>
      <c r="L34" s="3107"/>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6"/>
      <c r="AK34" s="2436"/>
      <c r="AL34" s="2436"/>
      <c r="AM34" s="2436"/>
      <c r="AN34" s="2436"/>
      <c r="AO34" s="2436"/>
      <c r="AP34" s="2436"/>
      <c r="AQ34" s="2436"/>
      <c r="AR34" s="2436"/>
      <c r="AS34" s="2424"/>
      <c r="AT34" s="2424"/>
      <c r="AU34" s="2424"/>
      <c r="AV34" s="2424"/>
      <c r="AW34" s="2424"/>
      <c r="AX34" s="2424"/>
      <c r="AY34" s="2424"/>
      <c r="AZ34" s="2424"/>
      <c r="BA34" s="2424"/>
      <c r="BB34" s="2424"/>
      <c r="BC34" s="2424"/>
      <c r="BD34" s="2424"/>
      <c r="BE34" s="2424"/>
      <c r="BF34" s="2424"/>
      <c r="BG34" s="2424"/>
      <c r="BH34" s="2424"/>
      <c r="BI34" s="2424"/>
      <c r="BJ34" s="2424"/>
      <c r="BK34" s="2424"/>
      <c r="BL34" s="2424"/>
      <c r="BM34" s="2424"/>
      <c r="BN34" s="2424"/>
      <c r="BO34" s="2424"/>
    </row>
    <row r="35" s="2976" customFormat="1" ht="14.4" spans="1:67">
      <c r="A35" s="3038" t="s">
        <v>678</v>
      </c>
      <c r="B35" s="3039">
        <v>200</v>
      </c>
      <c r="C35" s="3051" t="s">
        <v>679</v>
      </c>
      <c r="D35" s="3037"/>
      <c r="E35" s="1541"/>
      <c r="F35" s="1541"/>
      <c r="G35" s="3020"/>
      <c r="H35" s="3020"/>
      <c r="I35" s="3020"/>
      <c r="J35" s="3020"/>
      <c r="K35" s="3107"/>
      <c r="L35" s="3107"/>
      <c r="M35" s="2436"/>
      <c r="N35" s="2436"/>
      <c r="O35" s="2436"/>
      <c r="P35" s="2436"/>
      <c r="Q35" s="2436"/>
      <c r="R35" s="2436"/>
      <c r="S35" s="2436"/>
      <c r="T35" s="2436"/>
      <c r="U35" s="2436"/>
      <c r="V35" s="2436"/>
      <c r="W35" s="2436"/>
      <c r="X35" s="2436"/>
      <c r="Y35" s="2436"/>
      <c r="Z35" s="2436"/>
      <c r="AA35" s="2436"/>
      <c r="AB35" s="2436"/>
      <c r="AC35" s="2436"/>
      <c r="AD35" s="2436"/>
      <c r="AE35" s="2436"/>
      <c r="AF35" s="2436"/>
      <c r="AG35" s="2436"/>
      <c r="AH35" s="2436"/>
      <c r="AI35" s="2436"/>
      <c r="AJ35" s="2436"/>
      <c r="AK35" s="2436"/>
      <c r="AL35" s="2436"/>
      <c r="AM35" s="2436"/>
      <c r="AN35" s="2436"/>
      <c r="AO35" s="2436"/>
      <c r="AP35" s="2436"/>
      <c r="AQ35" s="2436"/>
      <c r="AR35" s="2436"/>
      <c r="AS35" s="2424"/>
      <c r="AT35" s="2424"/>
      <c r="AU35" s="2424"/>
      <c r="AV35" s="2424"/>
      <c r="AW35" s="2424"/>
      <c r="AX35" s="2424"/>
      <c r="AY35" s="2424"/>
      <c r="AZ35" s="2424"/>
      <c r="BA35" s="2424"/>
      <c r="BB35" s="2424"/>
      <c r="BC35" s="2424"/>
      <c r="BD35" s="2424"/>
      <c r="BE35" s="2424"/>
      <c r="BF35" s="2424"/>
      <c r="BG35" s="2424"/>
      <c r="BH35" s="2424"/>
      <c r="BI35" s="2424"/>
      <c r="BJ35" s="2424"/>
      <c r="BK35" s="2424"/>
      <c r="BL35" s="2424"/>
      <c r="BM35" s="2424"/>
      <c r="BN35" s="2424"/>
      <c r="BO35" s="2424"/>
    </row>
    <row r="36" ht="15.15" spans="1:44">
      <c r="A36" s="3041" t="s">
        <v>680</v>
      </c>
      <c r="B36" s="3054">
        <v>0.015</v>
      </c>
      <c r="C36" s="3051" t="s">
        <v>681</v>
      </c>
      <c r="D36" s="3021"/>
      <c r="E36" s="3020"/>
      <c r="F36" s="3020"/>
      <c r="G36" s="3020"/>
      <c r="H36" s="3020"/>
      <c r="I36" s="3020"/>
      <c r="J36" s="3020"/>
      <c r="K36" s="3107"/>
      <c r="L36" s="3107"/>
      <c r="M36" s="2436"/>
      <c r="N36" s="2436"/>
      <c r="O36" s="2436"/>
      <c r="P36" s="2436"/>
      <c r="Q36" s="2436"/>
      <c r="R36" s="2436"/>
      <c r="S36" s="2436"/>
      <c r="T36" s="2436"/>
      <c r="U36" s="2436"/>
      <c r="V36" s="2436"/>
      <c r="W36" s="2436"/>
      <c r="X36" s="2436"/>
      <c r="Y36" s="2436"/>
      <c r="Z36" s="2436"/>
      <c r="AA36" s="2436"/>
      <c r="AB36" s="2436"/>
      <c r="AC36" s="2436"/>
      <c r="AD36" s="2436"/>
      <c r="AE36" s="2436"/>
      <c r="AF36" s="2436"/>
      <c r="AG36" s="2436"/>
      <c r="AH36" s="2436"/>
      <c r="AI36" s="2436"/>
      <c r="AJ36" s="2436"/>
      <c r="AK36" s="2436"/>
      <c r="AL36" s="2436"/>
      <c r="AM36" s="2436"/>
      <c r="AN36" s="2436"/>
      <c r="AO36" s="2436"/>
      <c r="AP36" s="2436"/>
      <c r="AQ36" s="2436"/>
      <c r="AR36" s="2436"/>
    </row>
    <row r="37" ht="14.4" spans="1:44">
      <c r="A37" s="3044" t="s">
        <v>682</v>
      </c>
      <c r="B37" s="3055">
        <v>0.02</v>
      </c>
      <c r="C37" s="3051" t="s">
        <v>683</v>
      </c>
      <c r="D37" s="3021"/>
      <c r="E37" s="3020"/>
      <c r="F37" s="3020"/>
      <c r="G37" s="3020"/>
      <c r="H37" s="3020"/>
      <c r="I37" s="3020"/>
      <c r="J37" s="3020"/>
      <c r="K37" s="3107"/>
      <c r="L37" s="3107"/>
      <c r="M37" s="2436"/>
      <c r="N37" s="2436"/>
      <c r="O37" s="2436"/>
      <c r="P37" s="2436"/>
      <c r="Q37" s="2436"/>
      <c r="R37" s="2436"/>
      <c r="S37" s="2436"/>
      <c r="T37" s="2436"/>
      <c r="U37" s="2436"/>
      <c r="V37" s="2436"/>
      <c r="W37" s="2436"/>
      <c r="X37" s="2436"/>
      <c r="Y37" s="2436"/>
      <c r="Z37" s="2436"/>
      <c r="AA37" s="2436"/>
      <c r="AB37" s="2436"/>
      <c r="AC37" s="2436"/>
      <c r="AD37" s="2436"/>
      <c r="AE37" s="2436"/>
      <c r="AF37" s="2436"/>
      <c r="AG37" s="2436"/>
      <c r="AH37" s="2436"/>
      <c r="AI37" s="2436"/>
      <c r="AJ37" s="2436"/>
      <c r="AK37" s="2436"/>
      <c r="AL37" s="2436"/>
      <c r="AM37" s="2436"/>
      <c r="AN37" s="2436"/>
      <c r="AO37" s="2436"/>
      <c r="AP37" s="2436"/>
      <c r="AQ37" s="2436"/>
      <c r="AR37" s="2436"/>
    </row>
    <row r="38" ht="14.4" spans="1:44">
      <c r="A38" s="3038" t="s">
        <v>684</v>
      </c>
      <c r="B38" s="3052">
        <v>0.02</v>
      </c>
      <c r="C38" s="3051" t="s">
        <v>683</v>
      </c>
      <c r="D38" s="3021"/>
      <c r="E38" s="3020"/>
      <c r="F38" s="3020"/>
      <c r="G38" s="3020"/>
      <c r="H38" s="3020"/>
      <c r="I38" s="3020"/>
      <c r="J38" s="3020"/>
      <c r="K38" s="3107"/>
      <c r="L38" s="3107"/>
      <c r="M38" s="2436"/>
      <c r="N38" s="2436"/>
      <c r="O38" s="2436"/>
      <c r="P38" s="2436"/>
      <c r="Q38" s="2436"/>
      <c r="R38" s="2436"/>
      <c r="S38" s="2436"/>
      <c r="T38" s="2436"/>
      <c r="U38" s="2436"/>
      <c r="V38" s="2436"/>
      <c r="W38" s="2436"/>
      <c r="X38" s="2436"/>
      <c r="Y38" s="2436"/>
      <c r="Z38" s="2436"/>
      <c r="AA38" s="2436"/>
      <c r="AB38" s="2436"/>
      <c r="AC38" s="2436"/>
      <c r="AD38" s="2436"/>
      <c r="AE38" s="2436"/>
      <c r="AF38" s="2436"/>
      <c r="AG38" s="2436"/>
      <c r="AH38" s="2436"/>
      <c r="AI38" s="2436"/>
      <c r="AJ38" s="2436"/>
      <c r="AK38" s="2436"/>
      <c r="AL38" s="2436"/>
      <c r="AM38" s="2436"/>
      <c r="AN38" s="2436"/>
      <c r="AO38" s="2436"/>
      <c r="AP38" s="2436"/>
      <c r="AQ38" s="2436"/>
      <c r="AR38" s="2436"/>
    </row>
    <row r="39" ht="14.4" spans="1:44">
      <c r="A39" s="3048" t="s">
        <v>685</v>
      </c>
      <c r="B39" s="3056">
        <f ca="1">存贷款利率!I1</f>
        <v>0.015</v>
      </c>
      <c r="C39" s="3057"/>
      <c r="D39" s="3021"/>
      <c r="E39" s="3020"/>
      <c r="F39" s="3020"/>
      <c r="G39" s="3020"/>
      <c r="H39" s="3020"/>
      <c r="I39" s="3020"/>
      <c r="J39" s="3020"/>
      <c r="K39" s="3107"/>
      <c r="L39" s="3107"/>
      <c r="M39" s="2436"/>
      <c r="N39" s="2436"/>
      <c r="O39" s="2436"/>
      <c r="P39" s="2436"/>
      <c r="Q39" s="2436"/>
      <c r="R39" s="2436"/>
      <c r="S39" s="2436"/>
      <c r="T39" s="2436"/>
      <c r="U39" s="2436"/>
      <c r="V39" s="2436"/>
      <c r="W39" s="2436"/>
      <c r="X39" s="2436"/>
      <c r="Y39" s="2436"/>
      <c r="Z39" s="2436"/>
      <c r="AA39" s="2436"/>
      <c r="AB39" s="2436"/>
      <c r="AC39" s="2436"/>
      <c r="AD39" s="2436"/>
      <c r="AE39" s="2436"/>
      <c r="AF39" s="2436"/>
      <c r="AG39" s="2436"/>
      <c r="AH39" s="2436"/>
      <c r="AI39" s="2436"/>
      <c r="AJ39" s="2436"/>
      <c r="AK39" s="2436"/>
      <c r="AL39" s="2436"/>
      <c r="AM39" s="2436"/>
      <c r="AN39" s="2436"/>
      <c r="AO39" s="2436"/>
      <c r="AP39" s="2436"/>
      <c r="AQ39" s="2436"/>
      <c r="AR39" s="2436"/>
    </row>
    <row r="40" ht="29.55" spans="1:44">
      <c r="A40" s="3058" t="s">
        <v>686</v>
      </c>
      <c r="B40" s="3059">
        <f ca="1">IF(A40="利息：取LPR",存贷款利率!G1,存贷款利率!G1+C40)</f>
        <v>0.0415</v>
      </c>
      <c r="C40" s="3060">
        <v>0.005</v>
      </c>
      <c r="D40" s="2436"/>
      <c r="E40" s="3021"/>
      <c r="F40" s="3020"/>
      <c r="G40" s="3020"/>
      <c r="H40" s="3020"/>
      <c r="I40" s="3020"/>
      <c r="J40" s="3020"/>
      <c r="K40" s="3107"/>
      <c r="L40" s="3107"/>
      <c r="M40" s="2436"/>
      <c r="N40" s="2436"/>
      <c r="O40" s="2436"/>
      <c r="P40" s="2436"/>
      <c r="Q40" s="2436"/>
      <c r="R40" s="2436"/>
      <c r="S40" s="2436"/>
      <c r="T40" s="2436"/>
      <c r="U40" s="2436"/>
      <c r="V40" s="2436"/>
      <c r="W40" s="2436"/>
      <c r="X40" s="2436"/>
      <c r="Y40" s="2436"/>
      <c r="Z40" s="2436"/>
      <c r="AA40" s="2436"/>
      <c r="AB40" s="2436"/>
      <c r="AC40" s="2436"/>
      <c r="AD40" s="2436"/>
      <c r="AE40" s="2436"/>
      <c r="AF40" s="2436"/>
      <c r="AG40" s="2436"/>
      <c r="AH40" s="2436"/>
      <c r="AI40" s="2436"/>
      <c r="AJ40" s="2436"/>
      <c r="AK40" s="2436"/>
      <c r="AL40" s="2436"/>
      <c r="AM40" s="2436"/>
      <c r="AN40" s="2436"/>
      <c r="AO40" s="2436"/>
      <c r="AP40" s="2436"/>
      <c r="AQ40" s="2436"/>
      <c r="AR40" s="2436"/>
    </row>
    <row r="41" ht="14.4" spans="1:44">
      <c r="A41" s="3034" t="s">
        <v>687</v>
      </c>
      <c r="B41" s="3061">
        <f>B42+B43</f>
        <v>0.056</v>
      </c>
      <c r="C41" s="3047"/>
      <c r="D41" s="2436"/>
      <c r="E41" s="3021"/>
      <c r="F41" s="3020"/>
      <c r="G41" s="3020"/>
      <c r="H41" s="3020"/>
      <c r="I41" s="3020"/>
      <c r="J41" s="3020"/>
      <c r="K41" s="3107"/>
      <c r="L41" s="3107"/>
      <c r="M41" s="2436"/>
      <c r="N41" s="2436"/>
      <c r="O41" s="2436"/>
      <c r="P41" s="2436"/>
      <c r="Q41" s="2436"/>
      <c r="R41" s="2436"/>
      <c r="S41" s="2436"/>
      <c r="T41" s="2436"/>
      <c r="U41" s="2436"/>
      <c r="V41" s="2436"/>
      <c r="W41" s="2436"/>
      <c r="X41" s="2436"/>
      <c r="Y41" s="2436"/>
      <c r="Z41" s="2436"/>
      <c r="AA41" s="2436"/>
      <c r="AB41" s="2436"/>
      <c r="AC41" s="2436"/>
      <c r="AD41" s="2436"/>
      <c r="AE41" s="2436"/>
      <c r="AF41" s="2436"/>
      <c r="AG41" s="2436"/>
      <c r="AH41" s="2436"/>
      <c r="AI41" s="2436"/>
      <c r="AJ41" s="2436"/>
      <c r="AK41" s="2436"/>
      <c r="AL41" s="2436"/>
      <c r="AM41" s="2436"/>
      <c r="AN41" s="2436"/>
      <c r="AO41" s="2436"/>
      <c r="AP41" s="2436"/>
      <c r="AQ41" s="2436"/>
      <c r="AR41" s="2436"/>
    </row>
    <row r="42" ht="14.4" spans="1:44">
      <c r="A42" s="3062" t="s">
        <v>688</v>
      </c>
      <c r="B42" s="3063">
        <v>0.05</v>
      </c>
      <c r="C42" s="3064">
        <f>IF(B2&lt;DATE(2016,5,1),0,B42)</f>
        <v>0.05</v>
      </c>
      <c r="D42" s="3021"/>
      <c r="E42" s="3020"/>
      <c r="F42" s="3020"/>
      <c r="G42" s="3020"/>
      <c r="H42" s="3020"/>
      <c r="I42" s="3020"/>
      <c r="J42" s="3020"/>
      <c r="K42" s="3107"/>
      <c r="L42" s="3107"/>
      <c r="M42" s="2436"/>
      <c r="N42" s="2436"/>
      <c r="O42" s="2436"/>
      <c r="P42" s="2436"/>
      <c r="Q42" s="2436"/>
      <c r="R42" s="2436"/>
      <c r="S42" s="2436"/>
      <c r="T42" s="2436"/>
      <c r="U42" s="2436"/>
      <c r="V42" s="2436"/>
      <c r="W42" s="2436"/>
      <c r="X42" s="2436"/>
      <c r="Y42" s="2436"/>
      <c r="Z42" s="2436"/>
      <c r="AA42" s="2436"/>
      <c r="AB42" s="2436"/>
      <c r="AC42" s="2436"/>
      <c r="AD42" s="2436"/>
      <c r="AE42" s="2436"/>
      <c r="AF42" s="2436"/>
      <c r="AG42" s="2436"/>
      <c r="AH42" s="2436"/>
      <c r="AI42" s="2436"/>
      <c r="AJ42" s="2436"/>
      <c r="AK42" s="2436"/>
      <c r="AL42" s="2436"/>
      <c r="AM42" s="2436"/>
      <c r="AN42" s="2436"/>
      <c r="AO42" s="2436"/>
      <c r="AP42" s="2436"/>
      <c r="AQ42" s="2436"/>
      <c r="AR42" s="2436"/>
    </row>
    <row r="43" ht="14.4" spans="1:44">
      <c r="A43" s="3062" t="s">
        <v>689</v>
      </c>
      <c r="B43" s="3065">
        <f>B42*(B44+B45+B46)+B47</f>
        <v>0.006</v>
      </c>
      <c r="C43" s="3047"/>
      <c r="D43" s="3021"/>
      <c r="E43" s="3020"/>
      <c r="F43" s="3020"/>
      <c r="G43" s="3020"/>
      <c r="H43" s="3020"/>
      <c r="I43" s="3020"/>
      <c r="J43" s="3020"/>
      <c r="K43" s="3107"/>
      <c r="L43" s="3107"/>
      <c r="M43" s="2436"/>
      <c r="N43" s="2436"/>
      <c r="O43" s="2436"/>
      <c r="P43" s="2436"/>
      <c r="Q43" s="2436"/>
      <c r="R43" s="2436"/>
      <c r="S43" s="2436"/>
      <c r="T43" s="2436"/>
      <c r="U43" s="2436"/>
      <c r="V43" s="2436"/>
      <c r="W43" s="2436"/>
      <c r="X43" s="2436"/>
      <c r="Y43" s="2436"/>
      <c r="Z43" s="2436"/>
      <c r="AA43" s="2436"/>
      <c r="AB43" s="2436"/>
      <c r="AC43" s="2436"/>
      <c r="AD43" s="2436"/>
      <c r="AE43" s="2436"/>
      <c r="AF43" s="2436"/>
      <c r="AG43" s="2436"/>
      <c r="AH43" s="2436"/>
      <c r="AI43" s="2436"/>
      <c r="AJ43" s="2436"/>
      <c r="AK43" s="2436"/>
      <c r="AL43" s="2436"/>
      <c r="AM43" s="2436"/>
      <c r="AN43" s="2436"/>
      <c r="AO43" s="2436"/>
      <c r="AP43" s="2436"/>
      <c r="AQ43" s="2436"/>
      <c r="AR43" s="2436"/>
    </row>
    <row r="44" ht="14.4" spans="1:44">
      <c r="A44" s="3066" t="s">
        <v>690</v>
      </c>
      <c r="B44" s="3067">
        <v>0.07</v>
      </c>
      <c r="C44" s="3051" t="s">
        <v>691</v>
      </c>
      <c r="D44" s="3021"/>
      <c r="E44" s="3020"/>
      <c r="F44" s="3020"/>
      <c r="G44" s="3020"/>
      <c r="H44" s="3020"/>
      <c r="I44" s="3020"/>
      <c r="J44" s="3020"/>
      <c r="K44" s="3107"/>
      <c r="L44" s="3107"/>
      <c r="M44" s="2436"/>
      <c r="N44" s="2436"/>
      <c r="O44" s="2436"/>
      <c r="P44" s="2436"/>
      <c r="Q44" s="2436"/>
      <c r="R44" s="2436"/>
      <c r="S44" s="2436"/>
      <c r="T44" s="2436"/>
      <c r="U44" s="2436"/>
      <c r="V44" s="2436"/>
      <c r="W44" s="2436"/>
      <c r="X44" s="2436"/>
      <c r="Y44" s="2436"/>
      <c r="Z44" s="2436"/>
      <c r="AA44" s="2436"/>
      <c r="AB44" s="2436"/>
      <c r="AC44" s="2436"/>
      <c r="AD44" s="2436"/>
      <c r="AE44" s="2436"/>
      <c r="AF44" s="2436"/>
      <c r="AG44" s="2436"/>
      <c r="AH44" s="2436"/>
      <c r="AI44" s="2436"/>
      <c r="AJ44" s="2436"/>
      <c r="AK44" s="2436"/>
      <c r="AL44" s="2436"/>
      <c r="AM44" s="2436"/>
      <c r="AN44" s="2436"/>
      <c r="AO44" s="2436"/>
      <c r="AP44" s="2436"/>
      <c r="AQ44" s="2436"/>
      <c r="AR44" s="2436"/>
    </row>
    <row r="45" ht="14.4" spans="1:44">
      <c r="A45" s="3066" t="s">
        <v>692</v>
      </c>
      <c r="B45" s="3063">
        <v>0.03</v>
      </c>
      <c r="C45" s="3043" t="s">
        <v>693</v>
      </c>
      <c r="D45" s="3021"/>
      <c r="E45" s="3020"/>
      <c r="F45" s="3020"/>
      <c r="G45" s="3020"/>
      <c r="H45" s="3020"/>
      <c r="I45" s="3020"/>
      <c r="J45" s="3020"/>
      <c r="K45" s="3107"/>
      <c r="L45" s="3107"/>
      <c r="M45" s="2436"/>
      <c r="N45" s="2436"/>
      <c r="O45" s="2436"/>
      <c r="P45" s="2436"/>
      <c r="Q45" s="2436"/>
      <c r="R45" s="2436"/>
      <c r="S45" s="2436"/>
      <c r="T45" s="2436"/>
      <c r="U45" s="2436"/>
      <c r="V45" s="2436"/>
      <c r="W45" s="2436"/>
      <c r="X45" s="2436"/>
      <c r="Y45" s="2436"/>
      <c r="Z45" s="2436"/>
      <c r="AA45" s="2436"/>
      <c r="AB45" s="2436"/>
      <c r="AC45" s="2436"/>
      <c r="AD45" s="2436"/>
      <c r="AE45" s="2436"/>
      <c r="AF45" s="2436"/>
      <c r="AG45" s="2436"/>
      <c r="AH45" s="2436"/>
      <c r="AI45" s="2436"/>
      <c r="AJ45" s="2436"/>
      <c r="AK45" s="2436"/>
      <c r="AL45" s="2436"/>
      <c r="AM45" s="2436"/>
      <c r="AN45" s="2436"/>
      <c r="AO45" s="2436"/>
      <c r="AP45" s="2436"/>
      <c r="AQ45" s="2436"/>
      <c r="AR45" s="2436"/>
    </row>
    <row r="46" ht="14.4" spans="1:44">
      <c r="A46" s="3066" t="s">
        <v>694</v>
      </c>
      <c r="B46" s="3063">
        <v>0.02</v>
      </c>
      <c r="C46" s="3043" t="s">
        <v>695</v>
      </c>
      <c r="D46" s="3021"/>
      <c r="E46" s="3020"/>
      <c r="F46" s="3020"/>
      <c r="G46" s="3020"/>
      <c r="H46" s="3020"/>
      <c r="I46" s="3020"/>
      <c r="J46" s="3020"/>
      <c r="K46" s="3107"/>
      <c r="L46" s="3107"/>
      <c r="M46" s="2436"/>
      <c r="N46" s="2436"/>
      <c r="O46" s="2436"/>
      <c r="P46" s="2436"/>
      <c r="Q46" s="2436"/>
      <c r="R46" s="2436"/>
      <c r="S46" s="2436"/>
      <c r="T46" s="2436"/>
      <c r="U46" s="2436"/>
      <c r="V46" s="2436"/>
      <c r="W46" s="2436"/>
      <c r="X46" s="2436"/>
      <c r="Y46" s="2436"/>
      <c r="Z46" s="2436"/>
      <c r="AA46" s="2436"/>
      <c r="AB46" s="2436"/>
      <c r="AC46" s="2436"/>
      <c r="AD46" s="2436"/>
      <c r="AE46" s="2436"/>
      <c r="AF46" s="2436"/>
      <c r="AG46" s="2436"/>
      <c r="AH46" s="2436"/>
      <c r="AI46" s="2436"/>
      <c r="AJ46" s="2436"/>
      <c r="AK46" s="2436"/>
      <c r="AL46" s="2436"/>
      <c r="AM46" s="2436"/>
      <c r="AN46" s="2436"/>
      <c r="AO46" s="2436"/>
      <c r="AP46" s="2436"/>
      <c r="AQ46" s="2436"/>
      <c r="AR46" s="2436"/>
    </row>
    <row r="47" ht="15.15" spans="1:44">
      <c r="A47" s="3068" t="s">
        <v>696</v>
      </c>
      <c r="B47" s="3069"/>
      <c r="C47" s="3070" t="s">
        <v>697</v>
      </c>
      <c r="D47" s="3021"/>
      <c r="E47" s="3020"/>
      <c r="F47" s="3020"/>
      <c r="G47" s="3020"/>
      <c r="H47" s="3020"/>
      <c r="I47" s="3020"/>
      <c r="J47" s="3020"/>
      <c r="K47" s="3107"/>
      <c r="L47" s="3107"/>
      <c r="M47" s="2436"/>
      <c r="N47" s="2436"/>
      <c r="O47" s="2436"/>
      <c r="P47" s="2436"/>
      <c r="Q47" s="2436"/>
      <c r="R47" s="2436"/>
      <c r="S47" s="2436"/>
      <c r="T47" s="2436"/>
      <c r="U47" s="2436"/>
      <c r="V47" s="2436"/>
      <c r="W47" s="2436"/>
      <c r="X47" s="2436"/>
      <c r="Y47" s="2436"/>
      <c r="Z47" s="2436"/>
      <c r="AA47" s="2436"/>
      <c r="AB47" s="2436"/>
      <c r="AC47" s="2436"/>
      <c r="AD47" s="2436"/>
      <c r="AE47" s="2436"/>
      <c r="AF47" s="2436"/>
      <c r="AG47" s="2436"/>
      <c r="AH47" s="2436"/>
      <c r="AI47" s="2436"/>
      <c r="AJ47" s="2436"/>
      <c r="AK47" s="2436"/>
      <c r="AL47" s="2436"/>
      <c r="AM47" s="2436"/>
      <c r="AN47" s="2436"/>
      <c r="AO47" s="2436"/>
      <c r="AP47" s="2436"/>
      <c r="AQ47" s="2436"/>
      <c r="AR47" s="2436"/>
    </row>
    <row r="48" ht="14.4" spans="1:44">
      <c r="A48" s="3071" t="s">
        <v>698</v>
      </c>
      <c r="B48" s="3072">
        <v>0.03</v>
      </c>
      <c r="C48" s="3043" t="s">
        <v>693</v>
      </c>
      <c r="D48" s="3021"/>
      <c r="E48" s="3020"/>
      <c r="F48" s="3020"/>
      <c r="G48" s="3020"/>
      <c r="H48" s="3020"/>
      <c r="I48" s="3020"/>
      <c r="J48" s="3020"/>
      <c r="K48" s="3107"/>
      <c r="L48" s="3107"/>
      <c r="M48" s="2436"/>
      <c r="N48" s="2436"/>
      <c r="O48" s="2436"/>
      <c r="P48" s="2436"/>
      <c r="Q48" s="2436"/>
      <c r="R48" s="2436"/>
      <c r="S48" s="2436"/>
      <c r="T48" s="2436"/>
      <c r="U48" s="2436"/>
      <c r="V48" s="2436"/>
      <c r="W48" s="2436"/>
      <c r="X48" s="2436"/>
      <c r="Y48" s="2436"/>
      <c r="Z48" s="2436"/>
      <c r="AA48" s="2436"/>
      <c r="AB48" s="2436"/>
      <c r="AC48" s="2436"/>
      <c r="AD48" s="2436"/>
      <c r="AE48" s="2436"/>
      <c r="AF48" s="2436"/>
      <c r="AG48" s="2436"/>
      <c r="AH48" s="2436"/>
      <c r="AI48" s="2436"/>
      <c r="AJ48" s="2436"/>
      <c r="AK48" s="2436"/>
      <c r="AL48" s="2436"/>
      <c r="AM48" s="2436"/>
      <c r="AN48" s="2436"/>
      <c r="AO48" s="2436"/>
      <c r="AP48" s="2436"/>
      <c r="AQ48" s="2436"/>
      <c r="AR48" s="2436"/>
    </row>
    <row r="49" ht="15.15" spans="1:44">
      <c r="A49" s="3048" t="s">
        <v>699</v>
      </c>
      <c r="B49" s="3063">
        <v>0.0005</v>
      </c>
      <c r="C49" s="3043" t="s">
        <v>700</v>
      </c>
      <c r="D49" s="3021"/>
      <c r="E49" s="3020"/>
      <c r="F49" s="3020"/>
      <c r="G49" s="3020"/>
      <c r="H49" s="3020"/>
      <c r="I49" s="3020"/>
      <c r="J49" s="3020"/>
      <c r="K49" s="3107"/>
      <c r="L49" s="3107"/>
      <c r="M49" s="2436"/>
      <c r="N49" s="2436"/>
      <c r="O49" s="2436"/>
      <c r="P49" s="2436"/>
      <c r="Q49" s="2436"/>
      <c r="R49" s="2436"/>
      <c r="S49" s="2436"/>
      <c r="T49" s="2436"/>
      <c r="U49" s="2436"/>
      <c r="V49" s="2436"/>
      <c r="W49" s="2436"/>
      <c r="X49" s="2436"/>
      <c r="Y49" s="2436"/>
      <c r="Z49" s="2436"/>
      <c r="AA49" s="2436"/>
      <c r="AB49" s="2436"/>
      <c r="AC49" s="2436"/>
      <c r="AD49" s="2436"/>
      <c r="AE49" s="2436"/>
      <c r="AF49" s="2436"/>
      <c r="AG49" s="2436"/>
      <c r="AH49" s="2436"/>
      <c r="AI49" s="2436"/>
      <c r="AJ49" s="2436"/>
      <c r="AK49" s="2436"/>
      <c r="AL49" s="2436"/>
      <c r="AM49" s="2436"/>
      <c r="AN49" s="2436"/>
      <c r="AO49" s="2436"/>
      <c r="AP49" s="2436"/>
      <c r="AQ49" s="2436"/>
      <c r="AR49" s="2436"/>
    </row>
    <row r="50" ht="14.4" spans="1:44">
      <c r="A50" s="3073" t="s">
        <v>701</v>
      </c>
      <c r="B50" s="3074">
        <v>0.012</v>
      </c>
      <c r="C50" s="1541"/>
      <c r="D50" s="3021"/>
      <c r="E50" s="3020"/>
      <c r="F50" s="3020"/>
      <c r="G50" s="3020"/>
      <c r="H50" s="3020"/>
      <c r="I50" s="3020"/>
      <c r="J50" s="3020"/>
      <c r="K50" s="3107"/>
      <c r="L50" s="3107"/>
      <c r="M50" s="2436"/>
      <c r="N50" s="2436"/>
      <c r="O50" s="2436"/>
      <c r="P50" s="2436"/>
      <c r="Q50" s="2436"/>
      <c r="R50" s="2436"/>
      <c r="S50" s="2436"/>
      <c r="T50" s="2436"/>
      <c r="U50" s="2436"/>
      <c r="V50" s="2436"/>
      <c r="W50" s="2436"/>
      <c r="X50" s="2436"/>
      <c r="Y50" s="2436"/>
      <c r="Z50" s="2436"/>
      <c r="AA50" s="2436"/>
      <c r="AB50" s="2436"/>
      <c r="AC50" s="2436"/>
      <c r="AD50" s="2436"/>
      <c r="AE50" s="2436"/>
      <c r="AF50" s="2436"/>
      <c r="AG50" s="2436"/>
      <c r="AH50" s="2436"/>
      <c r="AI50" s="2436"/>
      <c r="AJ50" s="2436"/>
      <c r="AK50" s="2436"/>
      <c r="AL50" s="2436"/>
      <c r="AM50" s="2436"/>
      <c r="AN50" s="2436"/>
      <c r="AO50" s="2436"/>
      <c r="AP50" s="2436"/>
      <c r="AQ50" s="2436"/>
      <c r="AR50" s="2436"/>
    </row>
    <row r="51" ht="15.15" spans="1:44">
      <c r="A51" s="3041" t="s">
        <v>702</v>
      </c>
      <c r="B51" s="3075">
        <v>0.12</v>
      </c>
      <c r="C51" s="1541"/>
      <c r="D51" s="3021"/>
      <c r="E51" s="3020"/>
      <c r="F51" s="3020"/>
      <c r="G51" s="3020"/>
      <c r="H51" s="3020"/>
      <c r="I51" s="3020"/>
      <c r="J51" s="3020"/>
      <c r="K51" s="3107"/>
      <c r="L51" s="3107"/>
      <c r="M51" s="2436"/>
      <c r="N51" s="2436"/>
      <c r="O51" s="2436"/>
      <c r="P51" s="2436"/>
      <c r="Q51" s="2436"/>
      <c r="R51" s="2436"/>
      <c r="S51" s="2436"/>
      <c r="T51" s="2436"/>
      <c r="U51" s="2436"/>
      <c r="V51" s="2436"/>
      <c r="W51" s="2436"/>
      <c r="X51" s="2436"/>
      <c r="Y51" s="2436"/>
      <c r="Z51" s="2436"/>
      <c r="AA51" s="2436"/>
      <c r="AB51" s="2436"/>
      <c r="AC51" s="2436"/>
      <c r="AD51" s="2436"/>
      <c r="AE51" s="2436"/>
      <c r="AF51" s="2436"/>
      <c r="AG51" s="2436"/>
      <c r="AH51" s="2436"/>
      <c r="AI51" s="2436"/>
      <c r="AJ51" s="2436"/>
      <c r="AK51" s="2436"/>
      <c r="AL51" s="2436"/>
      <c r="AM51" s="2436"/>
      <c r="AN51" s="2436"/>
      <c r="AO51" s="2436"/>
      <c r="AP51" s="2436"/>
      <c r="AQ51" s="2436"/>
      <c r="AR51" s="2436"/>
    </row>
    <row r="52" ht="14.4" spans="1:44">
      <c r="A52" s="3073" t="s">
        <v>703</v>
      </c>
      <c r="B52" s="3076">
        <f>SUMIF(A54:A63,B53,B54:B63)</f>
        <v>3</v>
      </c>
      <c r="C52" s="1541"/>
      <c r="D52" s="3021"/>
      <c r="E52" s="3020"/>
      <c r="F52" s="3020"/>
      <c r="G52" s="3020"/>
      <c r="H52" s="3020"/>
      <c r="I52" s="3020"/>
      <c r="J52" s="3020"/>
      <c r="K52" s="3107"/>
      <c r="L52" s="3107"/>
      <c r="M52" s="2436"/>
      <c r="N52" s="2436"/>
      <c r="O52" s="2436"/>
      <c r="P52" s="2436"/>
      <c r="Q52" s="2436"/>
      <c r="R52" s="2436"/>
      <c r="S52" s="2436"/>
      <c r="T52" s="2436"/>
      <c r="U52" s="2436"/>
      <c r="V52" s="2436"/>
      <c r="W52" s="2436"/>
      <c r="X52" s="2436"/>
      <c r="Y52" s="2436"/>
      <c r="Z52" s="2436"/>
      <c r="AA52" s="2436"/>
      <c r="AB52" s="2436"/>
      <c r="AC52" s="2436"/>
      <c r="AD52" s="2436"/>
      <c r="AE52" s="2436"/>
      <c r="AF52" s="2436"/>
      <c r="AG52" s="2436"/>
      <c r="AH52" s="2436"/>
      <c r="AI52" s="2436"/>
      <c r="AJ52" s="2436"/>
      <c r="AK52" s="2436"/>
      <c r="AL52" s="2436"/>
      <c r="AM52" s="2436"/>
      <c r="AN52" s="2436"/>
      <c r="AO52" s="2436"/>
      <c r="AP52" s="2436"/>
      <c r="AQ52" s="2436"/>
      <c r="AR52" s="2436"/>
    </row>
    <row r="53" ht="28.8" spans="1:44">
      <c r="A53" s="3038" t="s">
        <v>704</v>
      </c>
      <c r="B53" s="3077" t="s">
        <v>267</v>
      </c>
      <c r="C53" s="1541" t="s">
        <v>705</v>
      </c>
      <c r="D53" s="3078" t="s">
        <v>706</v>
      </c>
      <c r="E53" s="3020"/>
      <c r="F53" s="3020"/>
      <c r="G53" s="3020"/>
      <c r="H53" s="3020"/>
      <c r="I53" s="3020"/>
      <c r="J53" s="3020"/>
      <c r="K53" s="3107"/>
      <c r="L53" s="3107"/>
      <c r="M53" s="2436"/>
      <c r="N53" s="2436"/>
      <c r="O53" s="2436"/>
      <c r="P53" s="2436"/>
      <c r="Q53" s="2436"/>
      <c r="R53" s="2436"/>
      <c r="S53" s="2436"/>
      <c r="T53" s="2436"/>
      <c r="U53" s="2436"/>
      <c r="V53" s="2436"/>
      <c r="W53" s="2436"/>
      <c r="X53" s="2436"/>
      <c r="Y53" s="2436"/>
      <c r="Z53" s="2436"/>
      <c r="AA53" s="2436"/>
      <c r="AB53" s="2436"/>
      <c r="AC53" s="2436"/>
      <c r="AD53" s="2436"/>
      <c r="AE53" s="2436"/>
      <c r="AF53" s="2436"/>
      <c r="AG53" s="2436"/>
      <c r="AH53" s="2436"/>
      <c r="AI53" s="2436"/>
      <c r="AJ53" s="2436"/>
      <c r="AK53" s="2436"/>
      <c r="AL53" s="2436"/>
      <c r="AM53" s="2436"/>
      <c r="AN53" s="2436"/>
      <c r="AO53" s="2436"/>
      <c r="AP53" s="2436"/>
      <c r="AQ53" s="2436"/>
      <c r="AR53" s="2436"/>
    </row>
    <row r="54" ht="14.4" spans="1:44">
      <c r="A54" s="3079" t="s">
        <v>707</v>
      </c>
      <c r="B54" s="3080"/>
      <c r="C54" s="1541">
        <v>30</v>
      </c>
      <c r="D54" s="3021"/>
      <c r="E54" s="3020"/>
      <c r="F54" s="3020"/>
      <c r="G54" s="3020"/>
      <c r="H54" s="3020"/>
      <c r="I54" s="3020"/>
      <c r="J54" s="3020"/>
      <c r="K54" s="3107"/>
      <c r="L54" s="3107"/>
      <c r="M54" s="2436"/>
      <c r="N54" s="2436"/>
      <c r="O54" s="2436"/>
      <c r="P54" s="2436"/>
      <c r="Q54" s="2436"/>
      <c r="R54" s="2436"/>
      <c r="S54" s="2436"/>
      <c r="T54" s="2436"/>
      <c r="U54" s="2436"/>
      <c r="V54" s="2436"/>
      <c r="W54" s="2436"/>
      <c r="X54" s="2436"/>
      <c r="Y54" s="2436"/>
      <c r="Z54" s="2436"/>
      <c r="AA54" s="2436"/>
      <c r="AB54" s="2436"/>
      <c r="AC54" s="2436"/>
      <c r="AD54" s="2436"/>
      <c r="AE54" s="2436"/>
      <c r="AF54" s="2436"/>
      <c r="AG54" s="2436"/>
      <c r="AH54" s="2436"/>
      <c r="AI54" s="2436"/>
      <c r="AJ54" s="2436"/>
      <c r="AK54" s="2436"/>
      <c r="AL54" s="2436"/>
      <c r="AM54" s="2436"/>
      <c r="AN54" s="2436"/>
      <c r="AO54" s="2436"/>
      <c r="AP54" s="2436"/>
      <c r="AQ54" s="2436"/>
      <c r="AR54" s="2436"/>
    </row>
    <row r="55" ht="14.4" spans="1:44">
      <c r="A55" s="3079" t="s">
        <v>708</v>
      </c>
      <c r="B55" s="3080"/>
      <c r="C55" s="1541">
        <v>24</v>
      </c>
      <c r="D55" s="3021"/>
      <c r="E55" s="3020"/>
      <c r="F55" s="3020"/>
      <c r="G55" s="3020"/>
      <c r="H55" s="3020"/>
      <c r="I55" s="3108"/>
      <c r="J55" s="3020"/>
      <c r="K55" s="3107"/>
      <c r="L55" s="3107"/>
      <c r="M55" s="2436"/>
      <c r="N55" s="2436"/>
      <c r="O55" s="2436"/>
      <c r="P55" s="2436"/>
      <c r="Q55" s="2436"/>
      <c r="R55" s="2436"/>
      <c r="S55" s="2436"/>
      <c r="T55" s="2436"/>
      <c r="U55" s="2436"/>
      <c r="V55" s="2436"/>
      <c r="W55" s="2436"/>
      <c r="X55" s="2436"/>
      <c r="Y55" s="2436"/>
      <c r="Z55" s="2436"/>
      <c r="AA55" s="2436"/>
      <c r="AB55" s="2436"/>
      <c r="AC55" s="2436"/>
      <c r="AD55" s="2436"/>
      <c r="AE55" s="2436"/>
      <c r="AF55" s="2436"/>
      <c r="AG55" s="2436"/>
      <c r="AH55" s="2436"/>
      <c r="AI55" s="2436"/>
      <c r="AJ55" s="2436"/>
      <c r="AK55" s="2436"/>
      <c r="AL55" s="2436"/>
      <c r="AM55" s="2436"/>
      <c r="AN55" s="2436"/>
      <c r="AO55" s="2436"/>
      <c r="AP55" s="2436"/>
      <c r="AQ55" s="2436"/>
      <c r="AR55" s="2436"/>
    </row>
    <row r="56" ht="14.4" spans="1:44">
      <c r="A56" s="3079" t="s">
        <v>709</v>
      </c>
      <c r="B56" s="3080"/>
      <c r="C56" s="1541">
        <v>18</v>
      </c>
      <c r="D56" s="3021"/>
      <c r="E56" s="3020"/>
      <c r="F56" s="3020"/>
      <c r="G56" s="3020"/>
      <c r="H56" s="3020"/>
      <c r="I56" s="3020"/>
      <c r="J56" s="3020"/>
      <c r="K56" s="3107"/>
      <c r="L56" s="3107"/>
      <c r="M56" s="2436"/>
      <c r="N56" s="2436"/>
      <c r="O56" s="2436"/>
      <c r="P56" s="2436"/>
      <c r="Q56" s="2436"/>
      <c r="R56" s="2436"/>
      <c r="S56" s="2436"/>
      <c r="T56" s="2436"/>
      <c r="U56" s="2436"/>
      <c r="V56" s="2436"/>
      <c r="W56" s="2436"/>
      <c r="X56" s="2436"/>
      <c r="Y56" s="2436"/>
      <c r="Z56" s="2436"/>
      <c r="AA56" s="2436"/>
      <c r="AB56" s="2436"/>
      <c r="AC56" s="2436"/>
      <c r="AD56" s="2436"/>
      <c r="AE56" s="2436"/>
      <c r="AF56" s="2436"/>
      <c r="AG56" s="2436"/>
      <c r="AH56" s="2436"/>
      <c r="AI56" s="2436"/>
      <c r="AJ56" s="2436"/>
      <c r="AK56" s="2436"/>
      <c r="AL56" s="2436"/>
      <c r="AM56" s="2436"/>
      <c r="AN56" s="2436"/>
      <c r="AO56" s="2436"/>
      <c r="AP56" s="2436"/>
      <c r="AQ56" s="2436"/>
      <c r="AR56" s="2436"/>
    </row>
    <row r="57" ht="14.4" spans="1:44">
      <c r="A57" s="3079" t="s">
        <v>710</v>
      </c>
      <c r="B57" s="3080"/>
      <c r="C57" s="1541">
        <v>12</v>
      </c>
      <c r="D57" s="3021"/>
      <c r="E57" s="3020"/>
      <c r="F57" s="3020"/>
      <c r="G57" s="3020"/>
      <c r="H57" s="3020"/>
      <c r="I57" s="3020"/>
      <c r="J57" s="3020"/>
      <c r="K57" s="3107"/>
      <c r="L57" s="3107"/>
      <c r="M57" s="2436"/>
      <c r="N57" s="2436"/>
      <c r="O57" s="2436"/>
      <c r="P57" s="2436"/>
      <c r="Q57" s="2436"/>
      <c r="R57" s="2436"/>
      <c r="S57" s="2436"/>
      <c r="T57" s="2436"/>
      <c r="U57" s="2436"/>
      <c r="V57" s="2436"/>
      <c r="W57" s="2436"/>
      <c r="X57" s="2436"/>
      <c r="Y57" s="2436"/>
      <c r="Z57" s="2436"/>
      <c r="AA57" s="2436"/>
      <c r="AB57" s="2436"/>
      <c r="AC57" s="2436"/>
      <c r="AD57" s="2436"/>
      <c r="AE57" s="2436"/>
      <c r="AF57" s="2436"/>
      <c r="AG57" s="2436"/>
      <c r="AH57" s="2436"/>
      <c r="AI57" s="2436"/>
      <c r="AJ57" s="2436"/>
      <c r="AK57" s="2436"/>
      <c r="AL57" s="2436"/>
      <c r="AM57" s="2436"/>
      <c r="AN57" s="2436"/>
      <c r="AO57" s="2436"/>
      <c r="AP57" s="2436"/>
      <c r="AQ57" s="2436"/>
      <c r="AR57" s="2436"/>
    </row>
    <row r="58" ht="14.4" spans="1:44">
      <c r="A58" s="3079" t="s">
        <v>711</v>
      </c>
      <c r="B58" s="3080">
        <v>3</v>
      </c>
      <c r="C58" s="1541">
        <v>3</v>
      </c>
      <c r="D58" s="3021"/>
      <c r="E58" s="3020"/>
      <c r="F58" s="3020"/>
      <c r="G58" s="3020"/>
      <c r="H58" s="3020"/>
      <c r="I58" s="3020"/>
      <c r="J58" s="3020"/>
      <c r="K58" s="3107"/>
      <c r="L58" s="3107"/>
      <c r="M58" s="2436"/>
      <c r="N58" s="2436"/>
      <c r="O58" s="2436"/>
      <c r="P58" s="2436"/>
      <c r="Q58" s="2436"/>
      <c r="R58" s="2436"/>
      <c r="S58" s="2436"/>
      <c r="T58" s="2436"/>
      <c r="U58" s="2436"/>
      <c r="V58" s="2436"/>
      <c r="W58" s="2436"/>
      <c r="X58" s="2436"/>
      <c r="Y58" s="2436"/>
      <c r="Z58" s="2436"/>
      <c r="AA58" s="2436"/>
      <c r="AB58" s="2436"/>
      <c r="AC58" s="2436"/>
      <c r="AD58" s="2436"/>
      <c r="AE58" s="2436"/>
      <c r="AF58" s="2436"/>
      <c r="AG58" s="2436"/>
      <c r="AH58" s="2436"/>
      <c r="AI58" s="2436"/>
      <c r="AJ58" s="2436"/>
      <c r="AK58" s="2436"/>
      <c r="AL58" s="2436"/>
      <c r="AM58" s="2436"/>
      <c r="AN58" s="2436"/>
      <c r="AO58" s="2436"/>
      <c r="AP58" s="2436"/>
      <c r="AQ58" s="2436"/>
      <c r="AR58" s="2436"/>
    </row>
    <row r="59" ht="14.4" spans="1:44">
      <c r="A59" s="3079" t="s">
        <v>712</v>
      </c>
      <c r="B59" s="3080"/>
      <c r="C59" s="1541">
        <v>1.5</v>
      </c>
      <c r="D59" s="3021"/>
      <c r="E59" s="3020"/>
      <c r="F59" s="3020"/>
      <c r="G59" s="3020"/>
      <c r="H59" s="3020"/>
      <c r="I59" s="3020"/>
      <c r="J59" s="3020"/>
      <c r="K59" s="3107"/>
      <c r="L59" s="3107"/>
      <c r="M59" s="2436"/>
      <c r="N59" s="2436"/>
      <c r="O59" s="2436"/>
      <c r="P59" s="2436"/>
      <c r="Q59" s="2436"/>
      <c r="R59" s="2436"/>
      <c r="S59" s="2436"/>
      <c r="T59" s="2436"/>
      <c r="U59" s="2436"/>
      <c r="V59" s="2436"/>
      <c r="W59" s="2436"/>
      <c r="X59" s="2436"/>
      <c r="Y59" s="2436"/>
      <c r="Z59" s="2436"/>
      <c r="AA59" s="2436"/>
      <c r="AB59" s="2436"/>
      <c r="AC59" s="2436"/>
      <c r="AD59" s="2436"/>
      <c r="AE59" s="2436"/>
      <c r="AF59" s="2436"/>
      <c r="AG59" s="2436"/>
      <c r="AH59" s="2436"/>
      <c r="AI59" s="2436"/>
      <c r="AJ59" s="2436"/>
      <c r="AK59" s="2436"/>
      <c r="AL59" s="2436"/>
      <c r="AM59" s="2436"/>
      <c r="AN59" s="2436"/>
      <c r="AO59" s="2436"/>
      <c r="AP59" s="2436"/>
      <c r="AQ59" s="2436"/>
      <c r="AR59" s="2436"/>
    </row>
    <row r="60" ht="14.4" spans="1:44">
      <c r="A60" s="3079" t="s">
        <v>713</v>
      </c>
      <c r="B60" s="3080"/>
      <c r="C60" s="3020"/>
      <c r="D60" s="3021"/>
      <c r="E60" s="3020"/>
      <c r="F60" s="3020"/>
      <c r="G60" s="3020"/>
      <c r="H60" s="3020"/>
      <c r="I60" s="3020"/>
      <c r="J60" s="3020"/>
      <c r="K60" s="3107"/>
      <c r="L60" s="3107"/>
      <c r="M60" s="2436"/>
      <c r="N60" s="2436"/>
      <c r="O60" s="2436"/>
      <c r="P60" s="2436"/>
      <c r="Q60" s="2436"/>
      <c r="R60" s="2436"/>
      <c r="S60" s="2436"/>
      <c r="T60" s="2436"/>
      <c r="U60" s="2436"/>
      <c r="V60" s="2436"/>
      <c r="W60" s="2436"/>
      <c r="X60" s="2436"/>
      <c r="Y60" s="2436"/>
      <c r="Z60" s="2436"/>
      <c r="AA60" s="2436"/>
      <c r="AB60" s="2436"/>
      <c r="AC60" s="2436"/>
      <c r="AD60" s="2436"/>
      <c r="AE60" s="2436"/>
      <c r="AF60" s="2436"/>
      <c r="AG60" s="2436"/>
      <c r="AH60" s="2436"/>
      <c r="AI60" s="2436"/>
      <c r="AJ60" s="2436"/>
      <c r="AK60" s="2436"/>
      <c r="AL60" s="2436"/>
      <c r="AM60" s="2436"/>
      <c r="AN60" s="2436"/>
      <c r="AO60" s="2436"/>
      <c r="AP60" s="2436"/>
      <c r="AQ60" s="2436"/>
      <c r="AR60" s="2436"/>
    </row>
    <row r="61" ht="14.4" spans="1:44">
      <c r="A61" s="3079" t="s">
        <v>714</v>
      </c>
      <c r="B61" s="3080"/>
      <c r="C61" s="3020"/>
      <c r="D61" s="3021"/>
      <c r="E61" s="3020"/>
      <c r="F61" s="3020"/>
      <c r="G61" s="3020"/>
      <c r="H61" s="3020"/>
      <c r="I61" s="3020"/>
      <c r="J61" s="3020"/>
      <c r="K61" s="3107"/>
      <c r="L61" s="3107"/>
      <c r="M61" s="2436"/>
      <c r="N61" s="2436"/>
      <c r="O61" s="2436"/>
      <c r="P61" s="2436"/>
      <c r="Q61" s="2436"/>
      <c r="R61" s="2436"/>
      <c r="S61" s="2436"/>
      <c r="T61" s="2436"/>
      <c r="U61" s="2436"/>
      <c r="V61" s="2436"/>
      <c r="W61" s="2436"/>
      <c r="X61" s="2436"/>
      <c r="Y61" s="2436"/>
      <c r="Z61" s="2436"/>
      <c r="AA61" s="2436"/>
      <c r="AB61" s="2436"/>
      <c r="AC61" s="2436"/>
      <c r="AD61" s="2436"/>
      <c r="AE61" s="2436"/>
      <c r="AF61" s="2436"/>
      <c r="AG61" s="2436"/>
      <c r="AH61" s="2436"/>
      <c r="AI61" s="2436"/>
      <c r="AJ61" s="2436"/>
      <c r="AK61" s="2436"/>
      <c r="AL61" s="2436"/>
      <c r="AM61" s="2436"/>
      <c r="AN61" s="2436"/>
      <c r="AO61" s="2436"/>
      <c r="AP61" s="2436"/>
      <c r="AQ61" s="2436"/>
      <c r="AR61" s="2436"/>
    </row>
    <row r="62" ht="14.4" spans="1:44">
      <c r="A62" s="3079" t="s">
        <v>715</v>
      </c>
      <c r="B62" s="3080"/>
      <c r="C62" s="3020"/>
      <c r="D62" s="3021"/>
      <c r="E62" s="3020"/>
      <c r="F62" s="3020"/>
      <c r="G62" s="3020"/>
      <c r="H62" s="3020"/>
      <c r="I62" s="3020"/>
      <c r="J62" s="3020"/>
      <c r="K62" s="3107"/>
      <c r="L62" s="3107"/>
      <c r="M62" s="2436"/>
      <c r="N62" s="2436"/>
      <c r="O62" s="2436"/>
      <c r="P62" s="2436"/>
      <c r="Q62" s="2436"/>
      <c r="R62" s="2436"/>
      <c r="S62" s="2436"/>
      <c r="T62" s="2436"/>
      <c r="U62" s="2436"/>
      <c r="V62" s="2436"/>
      <c r="W62" s="2436"/>
      <c r="X62" s="2436"/>
      <c r="Y62" s="2436"/>
      <c r="Z62" s="2436"/>
      <c r="AA62" s="2436"/>
      <c r="AB62" s="2436"/>
      <c r="AC62" s="2436"/>
      <c r="AD62" s="2436"/>
      <c r="AE62" s="2436"/>
      <c r="AF62" s="2436"/>
      <c r="AG62" s="2436"/>
      <c r="AH62" s="2436"/>
      <c r="AI62" s="2436"/>
      <c r="AJ62" s="2436"/>
      <c r="AK62" s="2436"/>
      <c r="AL62" s="2436"/>
      <c r="AM62" s="2436"/>
      <c r="AN62" s="2436"/>
      <c r="AO62" s="2436"/>
      <c r="AP62" s="2436"/>
      <c r="AQ62" s="2436"/>
      <c r="AR62" s="2436"/>
    </row>
    <row r="63" ht="15.15" spans="1:44">
      <c r="A63" s="3081" t="s">
        <v>716</v>
      </c>
      <c r="B63" s="3082"/>
      <c r="C63" s="3020"/>
      <c r="D63" s="3021"/>
      <c r="E63" s="3020"/>
      <c r="F63" s="3020"/>
      <c r="G63" s="3020"/>
      <c r="H63" s="3020"/>
      <c r="I63" s="3020"/>
      <c r="J63" s="3020"/>
      <c r="K63" s="3107"/>
      <c r="L63" s="3107"/>
      <c r="M63" s="2436"/>
      <c r="N63" s="2436"/>
      <c r="O63" s="2436"/>
      <c r="P63" s="2436"/>
      <c r="Q63" s="2436"/>
      <c r="R63" s="2436"/>
      <c r="S63" s="2436"/>
      <c r="T63" s="2436"/>
      <c r="U63" s="2436"/>
      <c r="V63" s="2436"/>
      <c r="W63" s="2436"/>
      <c r="X63" s="2436"/>
      <c r="Y63" s="2436"/>
      <c r="Z63" s="2436"/>
      <c r="AA63" s="2436"/>
      <c r="AB63" s="2436"/>
      <c r="AC63" s="2436"/>
      <c r="AD63" s="2436"/>
      <c r="AE63" s="2436"/>
      <c r="AF63" s="2436"/>
      <c r="AG63" s="2436"/>
      <c r="AH63" s="2436"/>
      <c r="AI63" s="2436"/>
      <c r="AJ63" s="2436"/>
      <c r="AK63" s="2436"/>
      <c r="AL63" s="2436"/>
      <c r="AM63" s="2436"/>
      <c r="AN63" s="2436"/>
      <c r="AO63" s="2436"/>
      <c r="AP63" s="2436"/>
      <c r="AQ63" s="2436"/>
      <c r="AR63" s="2436"/>
    </row>
    <row r="64" s="2508" customFormat="1" spans="1:44">
      <c r="A64" s="3083"/>
      <c r="B64" s="2436"/>
      <c r="C64" s="2436"/>
      <c r="D64" s="3018"/>
      <c r="E64" s="2436"/>
      <c r="F64" s="2436"/>
      <c r="G64" s="2436"/>
      <c r="H64" s="2436"/>
      <c r="I64" s="2436"/>
      <c r="J64" s="2436"/>
      <c r="K64" s="3107"/>
      <c r="L64" s="3107"/>
      <c r="M64" s="2436"/>
      <c r="N64" s="2436"/>
      <c r="O64" s="2436"/>
      <c r="P64" s="2436"/>
      <c r="Q64" s="2436"/>
      <c r="R64" s="2436"/>
      <c r="S64" s="2436"/>
      <c r="T64" s="2436"/>
      <c r="U64" s="2436"/>
      <c r="V64" s="2436"/>
      <c r="W64" s="2436"/>
      <c r="X64" s="2436"/>
      <c r="Y64" s="2436"/>
      <c r="Z64" s="2436"/>
      <c r="AA64" s="2436"/>
      <c r="AB64" s="2436"/>
      <c r="AC64" s="2436"/>
      <c r="AD64" s="2436"/>
      <c r="AE64" s="2436"/>
      <c r="AF64" s="2436"/>
      <c r="AG64" s="2436"/>
      <c r="AH64" s="2436"/>
      <c r="AI64" s="2436"/>
      <c r="AJ64" s="2436"/>
      <c r="AK64" s="2436"/>
      <c r="AL64" s="2436"/>
      <c r="AM64" s="2436"/>
      <c r="AN64" s="2436"/>
      <c r="AO64" s="2436"/>
      <c r="AP64" s="2436"/>
      <c r="AQ64" s="2436"/>
      <c r="AR64" s="2436"/>
    </row>
    <row r="65" s="2508" customFormat="1" spans="1:44">
      <c r="A65" s="3083"/>
      <c r="B65" s="2436"/>
      <c r="C65" s="2436"/>
      <c r="D65" s="3018"/>
      <c r="E65" s="2436"/>
      <c r="F65" s="2436"/>
      <c r="G65" s="2436"/>
      <c r="H65" s="2436"/>
      <c r="I65" s="2436"/>
      <c r="J65" s="2436"/>
      <c r="K65" s="3107"/>
      <c r="L65" s="3107"/>
      <c r="M65" s="2436"/>
      <c r="N65" s="2436"/>
      <c r="O65" s="2436"/>
      <c r="P65" s="2436"/>
      <c r="Q65" s="2436"/>
      <c r="R65" s="2436"/>
      <c r="S65" s="2436"/>
      <c r="T65" s="2436"/>
      <c r="U65" s="2436"/>
      <c r="V65" s="2436"/>
      <c r="W65" s="2436"/>
      <c r="X65" s="2436"/>
      <c r="Y65" s="2436"/>
      <c r="Z65" s="2436"/>
      <c r="AA65" s="2436"/>
      <c r="AB65" s="2436"/>
      <c r="AC65" s="2436"/>
      <c r="AD65" s="2436"/>
      <c r="AE65" s="2436"/>
      <c r="AF65" s="2436"/>
      <c r="AG65" s="2436"/>
      <c r="AH65" s="2436"/>
      <c r="AI65" s="2436"/>
      <c r="AJ65" s="2436"/>
      <c r="AK65" s="2436"/>
      <c r="AL65" s="2436"/>
      <c r="AM65" s="2436"/>
      <c r="AN65" s="2436"/>
      <c r="AO65" s="2436"/>
      <c r="AP65" s="2436"/>
      <c r="AQ65" s="2436"/>
      <c r="AR65" s="2436"/>
    </row>
    <row r="66" s="2508" customFormat="1" spans="1:44">
      <c r="A66" s="3083"/>
      <c r="B66" s="2436"/>
      <c r="C66" s="2436"/>
      <c r="D66" s="3018"/>
      <c r="E66" s="2436"/>
      <c r="F66" s="2436"/>
      <c r="G66" s="2436"/>
      <c r="H66" s="2436"/>
      <c r="I66" s="2436"/>
      <c r="J66" s="2436"/>
      <c r="K66" s="3107"/>
      <c r="L66" s="3107"/>
      <c r="M66" s="2436"/>
      <c r="N66" s="2436"/>
      <c r="O66" s="2436"/>
      <c r="P66" s="2436"/>
      <c r="Q66" s="2436"/>
      <c r="R66" s="2436"/>
      <c r="S66" s="2436"/>
      <c r="T66" s="2436"/>
      <c r="U66" s="2436"/>
      <c r="V66" s="2436"/>
      <c r="W66" s="2436"/>
      <c r="X66" s="2436"/>
      <c r="Y66" s="2436"/>
      <c r="Z66" s="2436"/>
      <c r="AA66" s="2436"/>
      <c r="AB66" s="2436"/>
      <c r="AC66" s="2436"/>
      <c r="AD66" s="2436"/>
      <c r="AE66" s="2436"/>
      <c r="AF66" s="2436"/>
      <c r="AG66" s="2436"/>
      <c r="AH66" s="2436"/>
      <c r="AI66" s="2436"/>
      <c r="AJ66" s="2436"/>
      <c r="AK66" s="2436"/>
      <c r="AL66" s="2436"/>
      <c r="AM66" s="2436"/>
      <c r="AN66" s="2436"/>
      <c r="AO66" s="2436"/>
      <c r="AP66" s="2436"/>
      <c r="AQ66" s="2436"/>
      <c r="AR66" s="2436"/>
    </row>
    <row r="67" s="2508" customFormat="1" spans="1:44">
      <c r="A67" s="3083"/>
      <c r="B67" s="2436"/>
      <c r="C67" s="2436"/>
      <c r="D67" s="3018"/>
      <c r="E67" s="2436"/>
      <c r="F67" s="2436"/>
      <c r="G67" s="2436"/>
      <c r="H67" s="2436"/>
      <c r="I67" s="2436"/>
      <c r="J67" s="2436"/>
      <c r="K67" s="3107"/>
      <c r="L67" s="3107"/>
      <c r="M67" s="2436"/>
      <c r="N67" s="2436"/>
      <c r="O67" s="2436"/>
      <c r="P67" s="2436"/>
      <c r="Q67" s="2436"/>
      <c r="R67" s="2436"/>
      <c r="S67" s="2436"/>
      <c r="T67" s="2436"/>
      <c r="U67" s="2436"/>
      <c r="V67" s="2436"/>
      <c r="W67" s="2436"/>
      <c r="X67" s="2436"/>
      <c r="Y67" s="2436"/>
      <c r="Z67" s="2436"/>
      <c r="AA67" s="2436"/>
      <c r="AB67" s="2436"/>
      <c r="AC67" s="2436"/>
      <c r="AD67" s="2436"/>
      <c r="AE67" s="2436"/>
      <c r="AF67" s="2436"/>
      <c r="AG67" s="2436"/>
      <c r="AH67" s="2436"/>
      <c r="AI67" s="2436"/>
      <c r="AJ67" s="2436"/>
      <c r="AK67" s="2436"/>
      <c r="AL67" s="2436"/>
      <c r="AM67" s="2436"/>
      <c r="AN67" s="2436"/>
      <c r="AO67" s="2436"/>
      <c r="AP67" s="2436"/>
      <c r="AQ67" s="2436"/>
      <c r="AR67" s="2436"/>
    </row>
    <row r="68" s="2508" customFormat="1" spans="1:44">
      <c r="A68" s="3083"/>
      <c r="B68" s="2436"/>
      <c r="C68" s="2436"/>
      <c r="D68" s="3018"/>
      <c r="E68" s="2436"/>
      <c r="F68" s="2436"/>
      <c r="G68" s="2436"/>
      <c r="H68" s="2436"/>
      <c r="I68" s="2436"/>
      <c r="J68" s="2436"/>
      <c r="K68" s="3107"/>
      <c r="L68" s="3107"/>
      <c r="M68" s="2436"/>
      <c r="N68" s="2436"/>
      <c r="O68" s="2436"/>
      <c r="P68" s="2436"/>
      <c r="Q68" s="2436"/>
      <c r="R68" s="2436"/>
      <c r="S68" s="2436"/>
      <c r="T68" s="2436"/>
      <c r="U68" s="2436"/>
      <c r="V68" s="2436"/>
      <c r="W68" s="2436"/>
      <c r="X68" s="2436"/>
      <c r="Y68" s="2436"/>
      <c r="Z68" s="2436"/>
      <c r="AA68" s="2436"/>
      <c r="AB68" s="2436"/>
      <c r="AC68" s="2436"/>
      <c r="AD68" s="2436"/>
      <c r="AE68" s="2436"/>
      <c r="AF68" s="2436"/>
      <c r="AG68" s="2436"/>
      <c r="AH68" s="2436"/>
      <c r="AI68" s="2436"/>
      <c r="AJ68" s="2436"/>
      <c r="AK68" s="2436"/>
      <c r="AL68" s="2436"/>
      <c r="AM68" s="2436"/>
      <c r="AN68" s="2436"/>
      <c r="AO68" s="2436"/>
      <c r="AP68" s="2436"/>
      <c r="AQ68" s="2436"/>
      <c r="AR68" s="2436"/>
    </row>
    <row r="69" s="2508" customFormat="1" spans="1:12">
      <c r="A69" s="2880"/>
      <c r="D69" s="3172"/>
      <c r="K69" s="1139"/>
      <c r="L69" s="1139"/>
    </row>
    <row r="70" s="2508" customFormat="1" spans="1:12">
      <c r="A70" s="2880"/>
      <c r="D70" s="3172"/>
      <c r="K70" s="1139"/>
      <c r="L70" s="1139"/>
    </row>
    <row r="71" s="2508" customFormat="1" spans="1:12">
      <c r="A71" s="2880"/>
      <c r="D71" s="3172"/>
      <c r="K71" s="1139"/>
      <c r="L71" s="1139"/>
    </row>
    <row r="72" s="2508" customFormat="1" spans="1:12">
      <c r="A72" s="2880"/>
      <c r="D72" s="3172"/>
      <c r="K72" s="1139"/>
      <c r="L72" s="1139"/>
    </row>
    <row r="73" s="2508" customFormat="1" spans="1:12">
      <c r="A73" s="2880"/>
      <c r="D73" s="3172"/>
      <c r="K73" s="1139"/>
      <c r="L73" s="1139"/>
    </row>
    <row r="74" s="2508" customFormat="1" spans="1:12">
      <c r="A74" s="2880"/>
      <c r="D74" s="3172"/>
      <c r="K74" s="1139"/>
      <c r="L74" s="1139"/>
    </row>
    <row r="75" s="2508" customFormat="1" spans="1:12">
      <c r="A75" s="2880"/>
      <c r="D75" s="3172"/>
      <c r="K75" s="1139"/>
      <c r="L75" s="1139"/>
    </row>
    <row r="76" s="2508" customFormat="1" spans="1:12">
      <c r="A76" s="2880"/>
      <c r="D76" s="3172"/>
      <c r="K76" s="1139"/>
      <c r="L76" s="1139"/>
    </row>
    <row r="77" s="2508" customFormat="1" spans="1:12">
      <c r="A77" s="2880"/>
      <c r="D77" s="3172"/>
      <c r="K77" s="1139"/>
      <c r="L77" s="1139"/>
    </row>
    <row r="78" s="2508" customFormat="1" spans="1:12">
      <c r="A78" s="2880"/>
      <c r="D78" s="3172"/>
      <c r="K78" s="1139"/>
      <c r="L78" s="1139"/>
    </row>
    <row r="79" s="2508" customFormat="1" spans="1:12">
      <c r="A79" s="2880"/>
      <c r="D79" s="3172"/>
      <c r="K79" s="1139"/>
      <c r="L79" s="1139"/>
    </row>
    <row r="80" s="2508" customFormat="1" spans="1:12">
      <c r="A80" s="2880"/>
      <c r="D80" s="3172"/>
      <c r="K80" s="1139"/>
      <c r="L80" s="1139"/>
    </row>
    <row r="81" s="2508" customFormat="1" spans="1:12">
      <c r="A81" s="2880"/>
      <c r="D81" s="3172"/>
      <c r="K81" s="1139"/>
      <c r="L81" s="1139"/>
    </row>
    <row r="82" s="2508" customFormat="1" spans="1:12">
      <c r="A82" s="2880"/>
      <c r="D82" s="3172"/>
      <c r="K82" s="1139"/>
      <c r="L82" s="1139"/>
    </row>
    <row r="83" s="2508" customFormat="1" spans="1:12">
      <c r="A83" s="2880"/>
      <c r="D83" s="3172"/>
      <c r="K83" s="1139"/>
      <c r="L83" s="1139"/>
    </row>
    <row r="84" s="2508" customFormat="1" spans="1:12">
      <c r="A84" s="2880"/>
      <c r="D84" s="3172"/>
      <c r="K84" s="1139"/>
      <c r="L84" s="1139"/>
    </row>
    <row r="85" s="2508" customFormat="1" spans="1:12">
      <c r="A85" s="2880"/>
      <c r="D85" s="3172"/>
      <c r="K85" s="1139"/>
      <c r="L85" s="1139"/>
    </row>
    <row r="86" s="2508" customFormat="1" spans="1:12">
      <c r="A86" s="2880"/>
      <c r="D86" s="3172"/>
      <c r="K86" s="1139"/>
      <c r="L86" s="1139"/>
    </row>
    <row r="87" s="2508" customFormat="1" spans="1:12">
      <c r="A87" s="2880"/>
      <c r="D87" s="3172"/>
      <c r="K87" s="1139"/>
      <c r="L87" s="1139"/>
    </row>
    <row r="88" s="2508" customFormat="1" spans="1:12">
      <c r="A88" s="2880"/>
      <c r="D88" s="3172"/>
      <c r="K88" s="1139"/>
      <c r="L88" s="1139"/>
    </row>
    <row r="89" s="2508" customFormat="1" spans="1:12">
      <c r="A89" s="2880"/>
      <c r="D89" s="3172"/>
      <c r="K89" s="1139"/>
      <c r="L89" s="1139"/>
    </row>
    <row r="90" s="2508" customFormat="1" spans="1:12">
      <c r="A90" s="2880"/>
      <c r="D90" s="3172"/>
      <c r="K90" s="1139"/>
      <c r="L90" s="1139"/>
    </row>
    <row r="91" s="2508" customFormat="1" spans="1:12">
      <c r="A91" s="2880"/>
      <c r="D91" s="3172"/>
      <c r="K91" s="1139"/>
      <c r="L91" s="1139"/>
    </row>
    <row r="92" s="2508" customFormat="1" spans="1:12">
      <c r="A92" s="2880"/>
      <c r="D92" s="3172"/>
      <c r="K92" s="1139"/>
      <c r="L92" s="1139"/>
    </row>
    <row r="93" s="2508" customFormat="1" spans="1:12">
      <c r="A93" s="2880"/>
      <c r="D93" s="3172"/>
      <c r="K93" s="1139"/>
      <c r="L93" s="1139"/>
    </row>
    <row r="94" s="2508" customFormat="1" spans="1:12">
      <c r="A94" s="2880"/>
      <c r="D94" s="3172"/>
      <c r="K94" s="1139"/>
      <c r="L94" s="1139"/>
    </row>
    <row r="95" s="2508" customFormat="1" spans="1:12">
      <c r="A95" s="2880"/>
      <c r="D95" s="3172"/>
      <c r="K95" s="1139"/>
      <c r="L95" s="1139"/>
    </row>
    <row r="96" s="2508" customFormat="1" spans="1:12">
      <c r="A96" s="2880"/>
      <c r="D96" s="3172"/>
      <c r="K96" s="1139"/>
      <c r="L96" s="1139"/>
    </row>
    <row r="97" s="2508" customFormat="1" spans="1:12">
      <c r="A97" s="2880"/>
      <c r="D97" s="3172"/>
      <c r="K97" s="1139"/>
      <c r="L97" s="1139"/>
    </row>
    <row r="98" s="2508" customFormat="1" spans="1:12">
      <c r="A98" s="2880"/>
      <c r="D98" s="3172"/>
      <c r="K98" s="1139"/>
      <c r="L98" s="1139"/>
    </row>
    <row r="99" s="2508" customFormat="1" spans="1:12">
      <c r="A99" s="2880"/>
      <c r="D99" s="3172"/>
      <c r="K99" s="1139"/>
      <c r="L99" s="1139"/>
    </row>
    <row r="100" s="2508" customFormat="1" spans="1:12">
      <c r="A100" s="2880"/>
      <c r="D100" s="3172"/>
      <c r="K100" s="1139"/>
      <c r="L100" s="1139"/>
    </row>
    <row r="101" s="2508" customFormat="1" spans="1:12">
      <c r="A101" s="2880"/>
      <c r="D101" s="3172"/>
      <c r="K101" s="1139"/>
      <c r="L101" s="1139"/>
    </row>
    <row r="102" s="2508" customFormat="1" spans="1:12">
      <c r="A102" s="2880"/>
      <c r="D102" s="3172"/>
      <c r="K102" s="1139"/>
      <c r="L102" s="1139"/>
    </row>
    <row r="103" s="2508" customFormat="1" spans="1:12">
      <c r="A103" s="2880"/>
      <c r="D103" s="3172"/>
      <c r="K103" s="1139"/>
      <c r="L103" s="1139"/>
    </row>
    <row r="104" s="2508" customFormat="1" spans="1:12">
      <c r="A104" s="2880"/>
      <c r="D104" s="3172"/>
      <c r="K104" s="1139"/>
      <c r="L104" s="1139"/>
    </row>
    <row r="105" s="2508" customFormat="1" spans="1:12">
      <c r="A105" s="2880"/>
      <c r="D105" s="3172"/>
      <c r="K105" s="1139"/>
      <c r="L105" s="1139"/>
    </row>
    <row r="106" s="2508" customFormat="1" spans="1:12">
      <c r="A106" s="2880"/>
      <c r="D106" s="3172"/>
      <c r="K106" s="1139"/>
      <c r="L106" s="1139"/>
    </row>
    <row r="107" s="2508" customFormat="1" spans="1:12">
      <c r="A107" s="2880"/>
      <c r="D107" s="3172"/>
      <c r="K107" s="1139"/>
      <c r="L107" s="1139"/>
    </row>
    <row r="108" s="2508" customFormat="1" spans="1:12">
      <c r="A108" s="2880"/>
      <c r="D108" s="3172"/>
      <c r="K108" s="1139"/>
      <c r="L108" s="1139"/>
    </row>
    <row r="109" s="2508" customFormat="1" spans="1:12">
      <c r="A109" s="2880"/>
      <c r="D109" s="3172"/>
      <c r="K109" s="1139"/>
      <c r="L109" s="1139"/>
    </row>
    <row r="110" s="2508" customFormat="1" spans="1:12">
      <c r="A110" s="2880"/>
      <c r="D110" s="3172"/>
      <c r="K110" s="1139"/>
      <c r="L110" s="1139"/>
    </row>
    <row r="111" s="2508" customFormat="1" spans="1:12">
      <c r="A111" s="2880"/>
      <c r="D111" s="3172"/>
      <c r="K111" s="1139"/>
      <c r="L111" s="1139"/>
    </row>
    <row r="112" s="2508" customFormat="1" spans="1:12">
      <c r="A112" s="2880"/>
      <c r="D112" s="3172"/>
      <c r="K112" s="1139"/>
      <c r="L112" s="1139"/>
    </row>
    <row r="113" s="2508" customFormat="1" spans="1:12">
      <c r="A113" s="2880"/>
      <c r="D113" s="3172"/>
      <c r="K113" s="1139"/>
      <c r="L113" s="1139"/>
    </row>
    <row r="114" s="2508" customFormat="1" spans="1:12">
      <c r="A114" s="2880"/>
      <c r="D114" s="3172"/>
      <c r="K114" s="1139"/>
      <c r="L114" s="1139"/>
    </row>
    <row r="115" s="2508" customFormat="1" spans="1:12">
      <c r="A115" s="2880"/>
      <c r="D115" s="3172"/>
      <c r="K115" s="1139"/>
      <c r="L115" s="1139"/>
    </row>
    <row r="116" s="2508" customFormat="1" spans="1:12">
      <c r="A116" s="2880"/>
      <c r="D116" s="3172"/>
      <c r="K116" s="1139"/>
      <c r="L116" s="1139"/>
    </row>
    <row r="117" s="2508" customFormat="1" spans="1:12">
      <c r="A117" s="2880"/>
      <c r="D117" s="3172"/>
      <c r="K117" s="1139"/>
      <c r="L117" s="1139"/>
    </row>
    <row r="118" s="2508" customFormat="1" spans="1:12">
      <c r="A118" s="2880"/>
      <c r="D118" s="3172"/>
      <c r="K118" s="1139"/>
      <c r="L118" s="1139"/>
    </row>
    <row r="119" s="2508" customFormat="1" spans="1:12">
      <c r="A119" s="2880"/>
      <c r="D119" s="3172"/>
      <c r="K119" s="1139"/>
      <c r="L119" s="1139"/>
    </row>
    <row r="120" s="2508" customFormat="1" spans="1:12">
      <c r="A120" s="2880"/>
      <c r="D120" s="3172"/>
      <c r="K120" s="1139"/>
      <c r="L120" s="1139"/>
    </row>
    <row r="121" s="2508" customFormat="1" spans="1:12">
      <c r="A121" s="2880"/>
      <c r="D121" s="3172"/>
      <c r="K121" s="1139"/>
      <c r="L121" s="1139"/>
    </row>
    <row r="122" s="2508" customFormat="1" spans="1:12">
      <c r="A122" s="2880"/>
      <c r="D122" s="3172"/>
      <c r="K122" s="1139"/>
      <c r="L122" s="1139"/>
    </row>
    <row r="123" s="2508" customFormat="1" spans="1:12">
      <c r="A123" s="2880"/>
      <c r="D123" s="3172"/>
      <c r="K123" s="1139"/>
      <c r="L123" s="1139"/>
    </row>
    <row r="124" s="2508" customFormat="1" spans="1:12">
      <c r="A124" s="2880"/>
      <c r="D124" s="3172"/>
      <c r="K124" s="1139"/>
      <c r="L124" s="1139"/>
    </row>
    <row r="125" s="2508" customFormat="1" spans="1:12">
      <c r="A125" s="2880"/>
      <c r="D125" s="3172"/>
      <c r="K125" s="1139"/>
      <c r="L125" s="1139"/>
    </row>
    <row r="126" s="2508" customFormat="1" spans="1:12">
      <c r="A126" s="2880"/>
      <c r="D126" s="3172"/>
      <c r="K126" s="1139"/>
      <c r="L126" s="1139"/>
    </row>
    <row r="127" s="2508" customFormat="1" spans="1:12">
      <c r="A127" s="2880"/>
      <c r="D127" s="3172"/>
      <c r="K127" s="1139"/>
      <c r="L127" s="1139"/>
    </row>
    <row r="128" s="2508" customFormat="1" spans="1:12">
      <c r="A128" s="2880"/>
      <c r="D128" s="3172"/>
      <c r="K128" s="1139"/>
      <c r="L128" s="1139"/>
    </row>
    <row r="129" s="2508" customFormat="1" spans="1:12">
      <c r="A129" s="2880"/>
      <c r="D129" s="3172"/>
      <c r="K129" s="1139"/>
      <c r="L129" s="1139"/>
    </row>
    <row r="130" s="2508" customFormat="1" spans="1:12">
      <c r="A130" s="2880"/>
      <c r="D130" s="3172"/>
      <c r="K130" s="1139"/>
      <c r="L130" s="1139"/>
    </row>
    <row r="131" s="2508" customFormat="1" spans="1:12">
      <c r="A131" s="2880"/>
      <c r="D131" s="3172"/>
      <c r="K131" s="1139"/>
      <c r="L131" s="1139"/>
    </row>
    <row r="132" s="2508" customFormat="1" spans="1:12">
      <c r="A132" s="2880"/>
      <c r="D132" s="3172"/>
      <c r="K132" s="1139"/>
      <c r="L132" s="1139"/>
    </row>
    <row r="133" s="2508" customFormat="1" spans="1:12">
      <c r="A133" s="2880"/>
      <c r="D133" s="3172"/>
      <c r="K133" s="1139"/>
      <c r="L133" s="1139"/>
    </row>
    <row r="134" s="2977" customFormat="1" spans="1:12">
      <c r="A134" s="3173"/>
      <c r="D134" s="3174"/>
      <c r="K134" s="1040"/>
      <c r="L134" s="1040"/>
    </row>
    <row r="135" s="2977" customFormat="1" spans="1:12">
      <c r="A135" s="3173"/>
      <c r="D135" s="3174"/>
      <c r="K135" s="1040"/>
      <c r="L135" s="1040"/>
    </row>
    <row r="136" s="2977" customFormat="1" spans="1:12">
      <c r="A136" s="3173"/>
      <c r="D136" s="3174"/>
      <c r="K136" s="1040"/>
      <c r="L136" s="1040"/>
    </row>
    <row r="137" s="2977" customFormat="1" spans="1:12">
      <c r="A137" s="3173"/>
      <c r="D137" s="3174"/>
      <c r="K137" s="1040"/>
      <c r="L137" s="1040"/>
    </row>
    <row r="138" s="2977" customFormat="1" spans="1:12">
      <c r="A138" s="3173"/>
      <c r="D138" s="3174"/>
      <c r="K138" s="1040"/>
      <c r="L138" s="1040"/>
    </row>
    <row r="139" s="2977" customFormat="1" spans="1:12">
      <c r="A139" s="3173"/>
      <c r="D139" s="3174"/>
      <c r="K139" s="1040"/>
      <c r="L139" s="1040"/>
    </row>
    <row r="140" s="2977" customFormat="1" spans="1:12">
      <c r="A140" s="3173"/>
      <c r="D140" s="3174"/>
      <c r="K140" s="1040"/>
      <c r="L140" s="1040"/>
    </row>
    <row r="141" s="2977" customFormat="1" spans="1:12">
      <c r="A141" s="3173"/>
      <c r="D141" s="3174"/>
      <c r="K141" s="1040"/>
      <c r="L141" s="1040"/>
    </row>
    <row r="142" s="2977" customFormat="1" spans="1:12">
      <c r="A142" s="3173"/>
      <c r="D142" s="3174"/>
      <c r="K142" s="1040"/>
      <c r="L142" s="1040"/>
    </row>
    <row r="143" s="2977" customFormat="1" spans="1:12">
      <c r="A143" s="3173"/>
      <c r="D143" s="3174"/>
      <c r="K143" s="1040"/>
      <c r="L143" s="1040"/>
    </row>
    <row r="144" s="2977" customFormat="1" spans="1:12">
      <c r="A144" s="3173"/>
      <c r="D144" s="3174"/>
      <c r="K144" s="1040"/>
      <c r="L144" s="1040"/>
    </row>
    <row r="145" s="2977" customFormat="1" spans="1:12">
      <c r="A145" s="3173"/>
      <c r="D145" s="3174"/>
      <c r="K145" s="1040"/>
      <c r="L145" s="1040"/>
    </row>
    <row r="146" s="2977" customFormat="1" spans="1:12">
      <c r="A146" s="3173"/>
      <c r="D146" s="3174"/>
      <c r="K146" s="1040"/>
      <c r="L146" s="1040"/>
    </row>
    <row r="147" s="2977" customFormat="1" spans="1:12">
      <c r="A147" s="3173"/>
      <c r="D147" s="3174"/>
      <c r="K147" s="1040"/>
      <c r="L147" s="1040"/>
    </row>
    <row r="148" s="2977" customFormat="1" spans="1:12">
      <c r="A148" s="3173"/>
      <c r="D148" s="3174"/>
      <c r="K148" s="1040"/>
      <c r="L148" s="1040"/>
    </row>
    <row r="149" s="2977" customFormat="1" spans="1:12">
      <c r="A149" s="3173"/>
      <c r="D149" s="3174"/>
      <c r="K149" s="1040"/>
      <c r="L149" s="1040"/>
    </row>
    <row r="150" s="2977" customFormat="1" spans="1:12">
      <c r="A150" s="3173"/>
      <c r="D150" s="3174"/>
      <c r="K150" s="1040"/>
      <c r="L150" s="1040"/>
    </row>
    <row r="151" s="2977" customFormat="1" spans="1:12">
      <c r="A151" s="3173"/>
      <c r="D151" s="3174"/>
      <c r="K151" s="1040"/>
      <c r="L151" s="1040"/>
    </row>
    <row r="152" s="2977" customFormat="1" spans="1:12">
      <c r="A152" s="3173"/>
      <c r="D152" s="3174"/>
      <c r="K152" s="1040"/>
      <c r="L152" s="1040"/>
    </row>
    <row r="153" s="2977" customFormat="1" spans="1:12">
      <c r="A153" s="3173"/>
      <c r="D153" s="3174"/>
      <c r="K153" s="1040"/>
      <c r="L153" s="1040"/>
    </row>
    <row r="154" s="2977" customFormat="1" spans="1:12">
      <c r="A154" s="3173"/>
      <c r="D154" s="3174"/>
      <c r="K154" s="1040"/>
      <c r="L154" s="1040"/>
    </row>
    <row r="155" s="2977" customFormat="1" spans="1:12">
      <c r="A155" s="3173"/>
      <c r="D155" s="3174"/>
      <c r="K155" s="1040"/>
      <c r="L155" s="1040"/>
    </row>
    <row r="156" s="2977" customFormat="1" spans="1:12">
      <c r="A156" s="3173"/>
      <c r="D156" s="3174"/>
      <c r="K156" s="1040"/>
      <c r="L156" s="1040"/>
    </row>
    <row r="157" s="2977" customFormat="1" spans="1:12">
      <c r="A157" s="3173"/>
      <c r="D157" s="3174"/>
      <c r="K157" s="1040"/>
      <c r="L157" s="1040"/>
    </row>
    <row r="158" s="2977" customFormat="1" spans="1:12">
      <c r="A158" s="3173"/>
      <c r="D158" s="3174"/>
      <c r="K158" s="1040"/>
      <c r="L158" s="1040"/>
    </row>
    <row r="159" s="2977" customFormat="1" spans="1:12">
      <c r="A159" s="3173"/>
      <c r="D159" s="3174"/>
      <c r="K159" s="1040"/>
      <c r="L159" s="1040"/>
    </row>
    <row r="160" s="2977" customFormat="1" spans="1:12">
      <c r="A160" s="3173"/>
      <c r="D160" s="3174"/>
      <c r="K160" s="1040"/>
      <c r="L160" s="1040"/>
    </row>
    <row r="161" s="2977" customFormat="1" spans="1:12">
      <c r="A161" s="3173"/>
      <c r="D161" s="3174"/>
      <c r="K161" s="1040"/>
      <c r="L161" s="1040"/>
    </row>
    <row r="162" s="2977" customFormat="1" spans="1:12">
      <c r="A162" s="3173"/>
      <c r="D162" s="3174"/>
      <c r="K162" s="1040"/>
      <c r="L162" s="1040"/>
    </row>
    <row r="163" s="2977" customFormat="1" spans="1:12">
      <c r="A163" s="3173"/>
      <c r="D163" s="3174"/>
      <c r="K163" s="1040"/>
      <c r="L163" s="1040"/>
    </row>
    <row r="164" s="2977" customFormat="1" spans="1:12">
      <c r="A164" s="3173"/>
      <c r="D164" s="3174"/>
      <c r="K164" s="1040"/>
      <c r="L164" s="1040"/>
    </row>
    <row r="165" s="2977" customFormat="1" spans="1:12">
      <c r="A165" s="3173"/>
      <c r="D165" s="3174"/>
      <c r="K165" s="1040"/>
      <c r="L165" s="1040"/>
    </row>
    <row r="166" s="2977" customFormat="1" spans="1:12">
      <c r="A166" s="3173"/>
      <c r="D166" s="3174"/>
      <c r="K166" s="1040"/>
      <c r="L166" s="1040"/>
    </row>
    <row r="167" s="2977" customFormat="1" spans="1:12">
      <c r="A167" s="3173"/>
      <c r="D167" s="3174"/>
      <c r="K167" s="1040"/>
      <c r="L167" s="1040"/>
    </row>
    <row r="168" s="2977" customFormat="1" spans="1:12">
      <c r="A168" s="3173"/>
      <c r="D168" s="3174"/>
      <c r="K168" s="1040"/>
      <c r="L168" s="1040"/>
    </row>
    <row r="169" s="2977" customFormat="1" spans="1:12">
      <c r="A169" s="3173"/>
      <c r="D169" s="3174"/>
      <c r="K169" s="1040"/>
      <c r="L169" s="1040"/>
    </row>
    <row r="170" s="2977" customFormat="1" spans="1:12">
      <c r="A170" s="3173"/>
      <c r="D170" s="3174"/>
      <c r="K170" s="1040"/>
      <c r="L170" s="1040"/>
    </row>
    <row r="171" s="2977" customFormat="1" spans="1:12">
      <c r="A171" s="3173"/>
      <c r="D171" s="3174"/>
      <c r="K171" s="1040"/>
      <c r="L171" s="1040"/>
    </row>
    <row r="172" s="2977" customFormat="1" spans="1:12">
      <c r="A172" s="3173"/>
      <c r="D172" s="3174"/>
      <c r="K172" s="1040"/>
      <c r="L172" s="1040"/>
    </row>
    <row r="173" s="2977" customFormat="1" spans="1:12">
      <c r="A173" s="3173"/>
      <c r="D173" s="3174"/>
      <c r="K173" s="1040"/>
      <c r="L173" s="1040"/>
    </row>
    <row r="174" s="2977" customFormat="1" spans="1:12">
      <c r="A174" s="3173"/>
      <c r="D174" s="3174"/>
      <c r="K174" s="1040"/>
      <c r="L174" s="1040"/>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903" customWidth="1"/>
    <col min="2" max="2" width="24.4444444444444" style="2904" customWidth="1"/>
    <col min="3" max="3" width="24.4444444444444" style="2905" customWidth="1"/>
    <col min="4" max="4" width="2.66666666666667" style="2905" customWidth="1"/>
    <col min="5" max="5" width="5.88888888888889" style="2905" customWidth="1"/>
    <col min="6" max="6" width="27" style="2904" customWidth="1"/>
    <col min="7" max="7" width="27" style="2906" customWidth="1"/>
    <col min="8" max="8" width="11.8888888888889" style="2907" customWidth="1"/>
    <col min="9" max="9" width="16.7777777777778" style="2908" customWidth="1"/>
    <col min="10" max="10" width="2.66666666666667" style="2907" customWidth="1"/>
    <col min="11" max="11" width="11.8888888888889" style="2907" customWidth="1"/>
    <col min="12" max="12" width="16.7777777777778" style="2908" customWidth="1"/>
    <col min="13" max="13" width="2.66666666666667" style="2907" customWidth="1"/>
    <col min="14" max="14" width="11.8888888888889" style="2907" customWidth="1"/>
    <col min="15" max="15" width="16.7777777777778" style="2908" customWidth="1"/>
    <col min="16" max="16" width="2.66666666666667" style="2907" customWidth="1"/>
    <col min="17" max="17" width="11.8888888888889" style="2907" customWidth="1"/>
    <col min="18" max="18" width="16.7777777777778" style="2909" customWidth="1"/>
    <col min="19" max="29" width="9" style="2425"/>
    <col min="30" max="16384" width="9" style="2903"/>
  </cols>
  <sheetData>
    <row r="1" s="2901" customFormat="1" ht="18.15" spans="1:29">
      <c r="A1" s="2910" t="s">
        <v>717</v>
      </c>
      <c r="B1" s="2911"/>
      <c r="C1" s="2911"/>
      <c r="D1" s="2911"/>
      <c r="E1" s="2911"/>
      <c r="F1" s="2911"/>
      <c r="G1" s="2911"/>
      <c r="H1" s="2912"/>
      <c r="I1" s="2964"/>
      <c r="J1" s="2912"/>
      <c r="K1" s="2912"/>
      <c r="L1" s="2964"/>
      <c r="M1" s="2912"/>
      <c r="N1" s="2912"/>
      <c r="O1" s="2964"/>
      <c r="P1" s="2912"/>
      <c r="Q1" s="2971"/>
      <c r="R1" s="2972"/>
      <c r="S1" s="2973"/>
      <c r="T1" s="2973"/>
      <c r="U1" s="2973"/>
      <c r="V1" s="2973"/>
      <c r="W1" s="2973"/>
      <c r="X1" s="2973"/>
      <c r="Y1" s="2973"/>
      <c r="Z1" s="2973"/>
      <c r="AA1" s="2973"/>
      <c r="AB1" s="2973"/>
      <c r="AC1" s="2973"/>
    </row>
    <row r="2" ht="14.55" spans="1:18">
      <c r="A2" s="2913"/>
      <c r="B2" s="2914"/>
      <c r="C2" s="2915" t="s">
        <v>718</v>
      </c>
      <c r="D2" s="2916"/>
      <c r="E2" s="2913"/>
      <c r="F2" s="2917"/>
      <c r="G2" s="2915" t="s">
        <v>719</v>
      </c>
      <c r="H2" s="2425"/>
      <c r="I2" s="2425"/>
      <c r="J2" s="2425"/>
      <c r="K2" s="2425"/>
      <c r="L2" s="2425"/>
      <c r="M2" s="2425"/>
      <c r="N2" s="2425"/>
      <c r="O2" s="2425"/>
      <c r="P2" s="2425"/>
      <c r="Q2" s="2425"/>
      <c r="R2" s="2425"/>
    </row>
    <row r="3" ht="48" spans="1:18">
      <c r="A3" s="2918" t="s">
        <v>720</v>
      </c>
      <c r="B3" s="2919" t="s">
        <v>721</v>
      </c>
      <c r="C3" s="2920" t="s">
        <v>722</v>
      </c>
      <c r="D3" s="2921"/>
      <c r="E3" s="2922" t="s">
        <v>720</v>
      </c>
      <c r="F3" s="2923" t="s">
        <v>723</v>
      </c>
      <c r="G3" s="2924" t="s">
        <v>724</v>
      </c>
      <c r="H3" s="2425"/>
      <c r="I3" s="2425"/>
      <c r="J3" s="2425"/>
      <c r="K3" s="2425"/>
      <c r="L3" s="2425"/>
      <c r="M3" s="2425"/>
      <c r="N3" s="2425"/>
      <c r="O3" s="2425"/>
      <c r="P3" s="2425"/>
      <c r="Q3" s="2425"/>
      <c r="R3" s="2425"/>
    </row>
    <row r="4" ht="37.2" spans="1:18">
      <c r="A4" s="2922"/>
      <c r="B4" s="2204" t="s">
        <v>725</v>
      </c>
      <c r="C4" s="2925" t="s">
        <v>726</v>
      </c>
      <c r="D4" s="2921"/>
      <c r="E4" s="2926"/>
      <c r="F4" s="2419" t="s">
        <v>727</v>
      </c>
      <c r="G4" s="2927" t="s">
        <v>728</v>
      </c>
      <c r="H4" s="2425"/>
      <c r="I4" s="2425"/>
      <c r="J4" s="2425"/>
      <c r="K4" s="2425"/>
      <c r="L4" s="2425"/>
      <c r="M4" s="2425"/>
      <c r="N4" s="2425"/>
      <c r="O4" s="2425"/>
      <c r="P4" s="2425"/>
      <c r="Q4" s="2425"/>
      <c r="R4" s="2425"/>
    </row>
    <row r="5" ht="37.2" spans="1:18">
      <c r="A5" s="2922"/>
      <c r="B5" s="2204" t="s">
        <v>729</v>
      </c>
      <c r="C5" s="2925" t="s">
        <v>730</v>
      </c>
      <c r="D5" s="2921"/>
      <c r="E5" s="2926"/>
      <c r="F5" s="2204" t="s">
        <v>550</v>
      </c>
      <c r="G5" s="2927" t="s">
        <v>731</v>
      </c>
      <c r="H5" s="2425"/>
      <c r="I5" s="2425"/>
      <c r="J5" s="2425"/>
      <c r="K5" s="2425"/>
      <c r="L5" s="2425"/>
      <c r="M5" s="2425"/>
      <c r="N5" s="2425"/>
      <c r="O5" s="2425"/>
      <c r="P5" s="2425"/>
      <c r="Q5" s="2425"/>
      <c r="R5" s="2425"/>
    </row>
    <row r="6" ht="48" spans="1:18">
      <c r="A6" s="2922"/>
      <c r="B6" s="2204" t="s">
        <v>727</v>
      </c>
      <c r="C6" s="2927" t="s">
        <v>728</v>
      </c>
      <c r="D6" s="2921"/>
      <c r="E6" s="2926"/>
      <c r="F6" s="2204" t="s">
        <v>732</v>
      </c>
      <c r="G6" s="2927" t="s">
        <v>733</v>
      </c>
      <c r="H6" s="2425"/>
      <c r="I6" s="2425"/>
      <c r="J6" s="2425"/>
      <c r="K6" s="2425"/>
      <c r="L6" s="2425"/>
      <c r="M6" s="2425"/>
      <c r="N6" s="2425"/>
      <c r="O6" s="2425"/>
      <c r="P6" s="2425"/>
      <c r="Q6" s="2425"/>
      <c r="R6" s="2425"/>
    </row>
    <row r="7" ht="36.75" spans="1:18">
      <c r="A7" s="2922"/>
      <c r="B7" s="2204" t="s">
        <v>550</v>
      </c>
      <c r="C7" s="2927" t="s">
        <v>731</v>
      </c>
      <c r="D7" s="2928"/>
      <c r="E7" s="2929"/>
      <c r="F7" s="2930" t="s">
        <v>734</v>
      </c>
      <c r="G7" s="2931" t="s">
        <v>735</v>
      </c>
      <c r="H7" s="2425"/>
      <c r="I7" s="2425"/>
      <c r="J7" s="2425"/>
      <c r="K7" s="2425"/>
      <c r="L7" s="2425"/>
      <c r="M7" s="2425"/>
      <c r="N7" s="2425"/>
      <c r="O7" s="2425"/>
      <c r="P7" s="2425"/>
      <c r="Q7" s="2425"/>
      <c r="R7" s="2425"/>
    </row>
    <row r="8" ht="24" spans="1:18">
      <c r="A8" s="2922"/>
      <c r="B8" s="2204" t="s">
        <v>732</v>
      </c>
      <c r="C8" s="2927" t="s">
        <v>733</v>
      </c>
      <c r="D8" s="2928"/>
      <c r="E8" s="2928"/>
      <c r="F8" s="2326"/>
      <c r="G8" s="2326"/>
      <c r="H8" s="2425"/>
      <c r="I8" s="2425"/>
      <c r="J8" s="2425"/>
      <c r="K8" s="2425"/>
      <c r="L8" s="2425"/>
      <c r="M8" s="2425"/>
      <c r="N8" s="2425"/>
      <c r="O8" s="2425"/>
      <c r="P8" s="2425"/>
      <c r="Q8" s="2425"/>
      <c r="R8" s="2425"/>
    </row>
    <row r="9" ht="24" spans="1:18">
      <c r="A9" s="2922"/>
      <c r="B9" s="2204" t="s">
        <v>736</v>
      </c>
      <c r="C9" s="2925" t="s">
        <v>737</v>
      </c>
      <c r="D9" s="2921"/>
      <c r="E9" s="2928"/>
      <c r="F9" s="2326"/>
      <c r="G9" s="2326"/>
      <c r="H9" s="2425"/>
      <c r="I9" s="2425"/>
      <c r="J9" s="2425"/>
      <c r="K9" s="2425"/>
      <c r="L9" s="2425"/>
      <c r="M9" s="2425"/>
      <c r="N9" s="2425"/>
      <c r="O9" s="2425"/>
      <c r="P9" s="2425"/>
      <c r="Q9" s="2425"/>
      <c r="R9" s="2425"/>
    </row>
    <row r="10" s="2902" customFormat="1" ht="14.55" spans="1:29">
      <c r="A10" s="2932"/>
      <c r="B10" s="2933" t="s">
        <v>738</v>
      </c>
      <c r="C10" s="2934"/>
      <c r="D10" s="2921"/>
      <c r="E10" s="2921"/>
      <c r="F10" s="2326"/>
      <c r="G10" s="2326"/>
      <c r="H10" s="2935"/>
      <c r="I10" s="2965"/>
      <c r="J10" s="2966"/>
      <c r="K10" s="2935"/>
      <c r="L10" s="2965"/>
      <c r="M10" s="2966"/>
      <c r="N10" s="2935"/>
      <c r="O10" s="2965"/>
      <c r="P10" s="2966"/>
      <c r="Q10" s="2935"/>
      <c r="R10" s="2965"/>
      <c r="S10" s="2425"/>
      <c r="T10" s="2425"/>
      <c r="U10" s="2425"/>
      <c r="V10" s="2425"/>
      <c r="W10" s="2425"/>
      <c r="X10" s="2425"/>
      <c r="Y10" s="2425"/>
      <c r="Z10" s="2425"/>
      <c r="AA10" s="2425"/>
      <c r="AB10" s="2425"/>
      <c r="AC10" s="2425"/>
    </row>
    <row r="11" s="2902" customFormat="1" spans="1:29">
      <c r="A11" s="2936"/>
      <c r="B11" s="2928"/>
      <c r="C11" s="2921"/>
      <c r="D11" s="2921"/>
      <c r="E11" s="2921"/>
      <c r="F11" s="2928"/>
      <c r="G11" s="2937"/>
      <c r="H11" s="2935"/>
      <c r="I11" s="2965"/>
      <c r="J11" s="2966"/>
      <c r="K11" s="2935"/>
      <c r="L11" s="2965"/>
      <c r="M11" s="2966"/>
      <c r="N11" s="2935"/>
      <c r="O11" s="2965"/>
      <c r="P11" s="2966"/>
      <c r="Q11" s="2935"/>
      <c r="R11" s="2965"/>
      <c r="S11" s="2425"/>
      <c r="T11" s="2425"/>
      <c r="U11" s="2425"/>
      <c r="V11" s="2425"/>
      <c r="W11" s="2425"/>
      <c r="X11" s="2425"/>
      <c r="Y11" s="2425"/>
      <c r="Z11" s="2425"/>
      <c r="AA11" s="2425"/>
      <c r="AB11" s="2425"/>
      <c r="AC11" s="2425"/>
    </row>
    <row r="12" s="2901" customFormat="1" ht="17.4" spans="1:29">
      <c r="A12" s="2936"/>
      <c r="B12" s="2928"/>
      <c r="C12" s="2921"/>
      <c r="D12" s="2938"/>
      <c r="E12" s="2921"/>
      <c r="F12" s="2928"/>
      <c r="G12" s="2937"/>
      <c r="H12" s="2939"/>
      <c r="I12" s="2967"/>
      <c r="J12" s="2939"/>
      <c r="K12" s="2939"/>
      <c r="L12" s="2968"/>
      <c r="M12" s="2939"/>
      <c r="N12" s="2969"/>
      <c r="O12" s="2970"/>
      <c r="P12" s="2969"/>
      <c r="Q12" s="2969"/>
      <c r="R12" s="2972"/>
      <c r="S12" s="2973"/>
      <c r="T12" s="2973"/>
      <c r="U12" s="2973"/>
      <c r="V12" s="2973"/>
      <c r="W12" s="2973"/>
      <c r="X12" s="2973"/>
      <c r="Y12" s="2973"/>
      <c r="Z12" s="2973"/>
      <c r="AA12" s="2973"/>
      <c r="AB12" s="2973"/>
      <c r="AC12" s="2973"/>
    </row>
    <row r="13" ht="15.15" spans="1:7">
      <c r="A13" s="2940" t="s">
        <v>739</v>
      </c>
      <c r="B13" s="2938"/>
      <c r="C13" s="2938"/>
      <c r="D13" s="2936"/>
      <c r="E13" s="2938"/>
      <c r="F13" s="2938"/>
      <c r="G13" s="2938"/>
    </row>
    <row r="14" ht="14.55" spans="1:7">
      <c r="A14" s="2941"/>
      <c r="B14" s="2941"/>
      <c r="C14" s="2942" t="s">
        <v>718</v>
      </c>
      <c r="D14" s="2921"/>
      <c r="E14" s="2943"/>
      <c r="F14" s="2943"/>
      <c r="G14" s="2915" t="s">
        <v>719</v>
      </c>
    </row>
    <row r="15" ht="48" spans="1:7">
      <c r="A15" s="2944" t="s">
        <v>720</v>
      </c>
      <c r="B15" s="2945" t="s">
        <v>721</v>
      </c>
      <c r="C15" s="2946" t="str">
        <f>C3</f>
        <v>估价对象周边居住用地比例、居住小区规模和社区发展完善程度，综合评价居住社区成熟度一般</v>
      </c>
      <c r="D15" s="2921"/>
      <c r="E15" s="2947" t="s">
        <v>720</v>
      </c>
      <c r="F15" s="2945" t="s">
        <v>723</v>
      </c>
      <c r="G15" s="2948" t="str">
        <f>G3</f>
        <v>估价对象位于XX开发区，园区建设成熟度XX，产业集聚程度XX</v>
      </c>
    </row>
    <row r="16" ht="37.2" spans="1:7">
      <c r="A16" s="2949"/>
      <c r="B16" s="2950" t="s">
        <v>725</v>
      </c>
      <c r="C16" s="2951" t="str">
        <f>C4</f>
        <v>估价对象位于XX商圈，周边商业氛围成熟，人流量大，商业繁华度好</v>
      </c>
      <c r="D16" s="2921"/>
      <c r="E16" s="2952"/>
      <c r="F16" s="2953" t="s">
        <v>727</v>
      </c>
      <c r="G16" s="2954" t="str">
        <f>G4</f>
        <v>估价对象周边道路状况、公共交通通达情况、停车便捷程度，综合评价交通便捷度较好</v>
      </c>
    </row>
    <row r="17" ht="37.2" spans="1:7">
      <c r="A17" s="2949"/>
      <c r="B17" s="2950" t="s">
        <v>729</v>
      </c>
      <c r="C17" s="2951" t="str">
        <f>C5</f>
        <v>估价对象位于XX商圈，周边办公楼项目较多，入驻率高，办公集聚程度较好</v>
      </c>
      <c r="D17" s="2928"/>
      <c r="E17" s="2952"/>
      <c r="F17" s="2953" t="s">
        <v>740</v>
      </c>
      <c r="G17" s="2955"/>
    </row>
    <row r="18" ht="48" spans="1:7">
      <c r="A18" s="2949"/>
      <c r="B18" s="2953" t="s">
        <v>727</v>
      </c>
      <c r="C18" s="2954" t="str">
        <f>C6</f>
        <v>估价对象周边道路状况、公共交通通达情况、停车便捷程度，综合评价交通便捷度较好</v>
      </c>
      <c r="D18" s="2928"/>
      <c r="E18" s="2952"/>
      <c r="F18" s="2953" t="s">
        <v>734</v>
      </c>
      <c r="G18" s="2954" t="str">
        <f>G7</f>
        <v>该园区内是否有污染型企业，绿化情况，卫生条件，整体环境状况判断</v>
      </c>
    </row>
    <row r="19" ht="24" spans="1:7">
      <c r="A19" s="2949"/>
      <c r="B19" s="2953" t="s">
        <v>740</v>
      </c>
      <c r="C19" s="2955"/>
      <c r="D19" s="2921"/>
      <c r="E19" s="2952"/>
      <c r="F19" s="2204" t="s">
        <v>550</v>
      </c>
      <c r="G19" s="2954" t="str">
        <f>G5</f>
        <v>估价对象所在区域公共配套设施齐备情况</v>
      </c>
    </row>
    <row r="20" ht="24" spans="1:7">
      <c r="A20" s="2949"/>
      <c r="B20" s="2953" t="s">
        <v>741</v>
      </c>
      <c r="C20" s="2951" t="str">
        <f>C9</f>
        <v>区域自然环境：；人文环境；综合评价环境状况一般</v>
      </c>
      <c r="D20" s="2928"/>
      <c r="E20" s="2952"/>
      <c r="F20" s="2204" t="s">
        <v>732</v>
      </c>
      <c r="G20" s="2954" t="str">
        <f>G6</f>
        <v>估价对象所在区域基础设施水平</v>
      </c>
    </row>
    <row r="21" ht="24" spans="1:7">
      <c r="A21" s="2949"/>
      <c r="B21" s="2204" t="s">
        <v>550</v>
      </c>
      <c r="C21" s="2954" t="str">
        <f>C7</f>
        <v>估价对象所在区域公共配套设施齐备情况</v>
      </c>
      <c r="D21" s="2921"/>
      <c r="E21" s="2952"/>
      <c r="F21" s="2953" t="s">
        <v>742</v>
      </c>
      <c r="G21" s="2956"/>
    </row>
    <row r="22" ht="13.5" customHeight="1" spans="1:7">
      <c r="A22" s="2949"/>
      <c r="B22" s="2204" t="s">
        <v>732</v>
      </c>
      <c r="C22" s="2954" t="str">
        <f>C8</f>
        <v>估价对象所在区域基础设施水平</v>
      </c>
      <c r="D22" s="2921"/>
      <c r="E22" s="2952"/>
      <c r="F22" s="2953" t="s">
        <v>738</v>
      </c>
      <c r="G22" s="2955"/>
    </row>
    <row r="23" s="2425" customFormat="1" ht="14.55" spans="1:18">
      <c r="A23" s="2949"/>
      <c r="B23" s="2953" t="s">
        <v>742</v>
      </c>
      <c r="C23" s="2956"/>
      <c r="D23" s="2880"/>
      <c r="E23" s="2957"/>
      <c r="F23" s="2958" t="s">
        <v>498</v>
      </c>
      <c r="G23" s="2959"/>
      <c r="H23" s="2907"/>
      <c r="I23" s="2908"/>
      <c r="J23" s="2907"/>
      <c r="K23" s="2907"/>
      <c r="L23" s="2908"/>
      <c r="M23" s="2907"/>
      <c r="N23" s="2907"/>
      <c r="O23" s="2908"/>
      <c r="P23" s="2907"/>
      <c r="Q23" s="2907"/>
      <c r="R23" s="2909"/>
    </row>
    <row r="24" s="2425" customFormat="1" ht="14.55" spans="1:18">
      <c r="A24" s="2960"/>
      <c r="B24" s="2958" t="s">
        <v>738</v>
      </c>
      <c r="C24" s="2961">
        <f>C10</f>
        <v>0</v>
      </c>
      <c r="D24" s="2880"/>
      <c r="E24" s="2962"/>
      <c r="F24" s="2962"/>
      <c r="G24" s="2963"/>
      <c r="H24" s="2907"/>
      <c r="I24" s="2908"/>
      <c r="J24" s="2907"/>
      <c r="K24" s="2907"/>
      <c r="L24" s="2908"/>
      <c r="M24" s="2907"/>
      <c r="N24" s="2907"/>
      <c r="O24" s="2908"/>
      <c r="P24" s="2907"/>
      <c r="Q24" s="2907"/>
      <c r="R24" s="2909"/>
    </row>
    <row r="25" s="2425" customFormat="1" spans="2:18">
      <c r="B25" s="2907"/>
      <c r="C25" s="2907"/>
      <c r="D25" s="2907"/>
      <c r="H25" s="2907"/>
      <c r="I25" s="2908"/>
      <c r="J25" s="2907"/>
      <c r="K25" s="2907"/>
      <c r="L25" s="2908"/>
      <c r="M25" s="2907"/>
      <c r="N25" s="2907"/>
      <c r="O25" s="2908"/>
      <c r="P25" s="2907"/>
      <c r="Q25" s="2907"/>
      <c r="R25" s="2909"/>
    </row>
    <row r="26" s="2425" customFormat="1" spans="2:18">
      <c r="B26" s="2907"/>
      <c r="C26" s="2907"/>
      <c r="D26" s="2907"/>
      <c r="H26" s="2907"/>
      <c r="I26" s="2908"/>
      <c r="J26" s="2907"/>
      <c r="K26" s="2907"/>
      <c r="L26" s="2908"/>
      <c r="M26" s="2907"/>
      <c r="N26" s="2907"/>
      <c r="O26" s="2908"/>
      <c r="P26" s="2907"/>
      <c r="Q26" s="2907"/>
      <c r="R26" s="2909"/>
    </row>
    <row r="27" s="2425" customFormat="1" spans="2:18">
      <c r="B27" s="2907"/>
      <c r="C27" s="2907"/>
      <c r="D27" s="2907"/>
      <c r="H27" s="2907"/>
      <c r="I27" s="2908"/>
      <c r="J27" s="2907"/>
      <c r="K27" s="2907"/>
      <c r="L27" s="2908"/>
      <c r="M27" s="2907"/>
      <c r="N27" s="2907"/>
      <c r="O27" s="2908"/>
      <c r="P27" s="2907"/>
      <c r="Q27" s="2907"/>
      <c r="R27" s="2909"/>
    </row>
    <row r="28" s="2425" customFormat="1" spans="2:18">
      <c r="B28" s="2907"/>
      <c r="C28" s="2907"/>
      <c r="D28" s="2907"/>
      <c r="H28" s="2907"/>
      <c r="I28" s="2908"/>
      <c r="J28" s="2907"/>
      <c r="K28" s="2907"/>
      <c r="L28" s="2908"/>
      <c r="M28" s="2907"/>
      <c r="N28" s="2907"/>
      <c r="O28" s="2908"/>
      <c r="P28" s="2907"/>
      <c r="Q28" s="2907"/>
      <c r="R28" s="2909"/>
    </row>
    <row r="29" s="2425" customFormat="1" spans="2:18">
      <c r="B29" s="2907"/>
      <c r="C29" s="2907"/>
      <c r="D29" s="2907"/>
      <c r="H29" s="2907"/>
      <c r="I29" s="2908"/>
      <c r="J29" s="2907"/>
      <c r="K29" s="2907"/>
      <c r="L29" s="2908"/>
      <c r="M29" s="2907"/>
      <c r="N29" s="2907"/>
      <c r="O29" s="2908"/>
      <c r="P29" s="2907"/>
      <c r="Q29" s="2907"/>
      <c r="R29" s="2909"/>
    </row>
    <row r="30" s="2425" customFormat="1" spans="2:18">
      <c r="B30" s="2907"/>
      <c r="C30" s="2907"/>
      <c r="D30" s="2907"/>
      <c r="H30" s="2907"/>
      <c r="I30" s="2908"/>
      <c r="J30" s="2907"/>
      <c r="K30" s="2907"/>
      <c r="L30" s="2908"/>
      <c r="M30" s="2907"/>
      <c r="N30" s="2907"/>
      <c r="O30" s="2908"/>
      <c r="P30" s="2907"/>
      <c r="Q30" s="2907"/>
      <c r="R30" s="2909"/>
    </row>
    <row r="31" s="2425" customFormat="1" spans="2:18">
      <c r="B31" s="2907"/>
      <c r="C31" s="2907"/>
      <c r="D31" s="2907"/>
      <c r="H31" s="2907"/>
      <c r="I31" s="2908"/>
      <c r="J31" s="2907"/>
      <c r="K31" s="2907"/>
      <c r="L31" s="2908"/>
      <c r="M31" s="2907"/>
      <c r="N31" s="2907"/>
      <c r="O31" s="2908"/>
      <c r="P31" s="2907"/>
      <c r="Q31" s="2907"/>
      <c r="R31" s="2909"/>
    </row>
    <row r="32" s="2425" customFormat="1" spans="2:18">
      <c r="B32" s="2907"/>
      <c r="C32" s="2907"/>
      <c r="D32" s="2907"/>
      <c r="H32" s="2907"/>
      <c r="I32" s="2908"/>
      <c r="J32" s="2907"/>
      <c r="K32" s="2907"/>
      <c r="L32" s="2908"/>
      <c r="M32" s="2907"/>
      <c r="N32" s="2907"/>
      <c r="O32" s="2908"/>
      <c r="P32" s="2907"/>
      <c r="Q32" s="2907"/>
      <c r="R32" s="2909"/>
    </row>
    <row r="33" s="2425" customFormat="1" spans="2:18">
      <c r="B33" s="2907"/>
      <c r="C33" s="2907"/>
      <c r="D33" s="2907"/>
      <c r="H33" s="2907"/>
      <c r="I33" s="2908"/>
      <c r="J33" s="2907"/>
      <c r="K33" s="2907"/>
      <c r="L33" s="2908"/>
      <c r="M33" s="2907"/>
      <c r="N33" s="2907"/>
      <c r="O33" s="2908"/>
      <c r="P33" s="2907"/>
      <c r="Q33" s="2907"/>
      <c r="R33" s="2909"/>
    </row>
    <row r="34" s="2425" customFormat="1" spans="2:18">
      <c r="B34" s="2907"/>
      <c r="C34" s="2907"/>
      <c r="D34" s="2907"/>
      <c r="H34" s="2907"/>
      <c r="I34" s="2908"/>
      <c r="J34" s="2907"/>
      <c r="K34" s="2907"/>
      <c r="L34" s="2908"/>
      <c r="M34" s="2907"/>
      <c r="N34" s="2907"/>
      <c r="O34" s="2908"/>
      <c r="P34" s="2907"/>
      <c r="Q34" s="2907"/>
      <c r="R34" s="2909"/>
    </row>
    <row r="35" s="2425" customFormat="1" spans="2:18">
      <c r="B35" s="2907"/>
      <c r="C35" s="2907"/>
      <c r="D35" s="2907"/>
      <c r="H35" s="2907"/>
      <c r="I35" s="2908"/>
      <c r="J35" s="2907"/>
      <c r="K35" s="2907"/>
      <c r="L35" s="2908"/>
      <c r="M35" s="2907"/>
      <c r="N35" s="2907"/>
      <c r="O35" s="2908"/>
      <c r="P35" s="2907"/>
      <c r="Q35" s="2907"/>
      <c r="R35" s="2909"/>
    </row>
    <row r="36" s="2425" customFormat="1" spans="2:18">
      <c r="B36" s="2907"/>
      <c r="C36" s="2907"/>
      <c r="D36" s="2907"/>
      <c r="H36" s="2907"/>
      <c r="I36" s="2908"/>
      <c r="J36" s="2907"/>
      <c r="K36" s="2907"/>
      <c r="L36" s="2908"/>
      <c r="M36" s="2907"/>
      <c r="N36" s="2907"/>
      <c r="O36" s="2908"/>
      <c r="P36" s="2907"/>
      <c r="Q36" s="2907"/>
      <c r="R36" s="2909"/>
    </row>
    <row r="37" s="2425" customFormat="1" spans="2:18">
      <c r="B37" s="2907"/>
      <c r="C37" s="2907"/>
      <c r="D37" s="2907"/>
      <c r="H37" s="2907"/>
      <c r="I37" s="2908"/>
      <c r="J37" s="2907"/>
      <c r="K37" s="2907"/>
      <c r="L37" s="2908"/>
      <c r="M37" s="2907"/>
      <c r="N37" s="2907"/>
      <c r="O37" s="2908"/>
      <c r="P37" s="2907"/>
      <c r="Q37" s="2907"/>
      <c r="R37" s="2909"/>
    </row>
    <row r="38" s="2425" customFormat="1" spans="2:18">
      <c r="B38" s="2907"/>
      <c r="C38" s="2907"/>
      <c r="D38" s="2907"/>
      <c r="E38" s="2907"/>
      <c r="F38" s="2907"/>
      <c r="G38" s="2908"/>
      <c r="H38" s="2907"/>
      <c r="I38" s="2908"/>
      <c r="J38" s="2907"/>
      <c r="K38" s="2907"/>
      <c r="L38" s="2908"/>
      <c r="M38" s="2907"/>
      <c r="N38" s="2907"/>
      <c r="O38" s="2908"/>
      <c r="P38" s="2907"/>
      <c r="Q38" s="2907"/>
      <c r="R38" s="2909"/>
    </row>
    <row r="39" s="2425" customFormat="1" spans="2:18">
      <c r="B39" s="2907"/>
      <c r="C39" s="2907"/>
      <c r="D39" s="2907"/>
      <c r="E39" s="2907"/>
      <c r="F39" s="2907"/>
      <c r="G39" s="2908"/>
      <c r="H39" s="2907"/>
      <c r="I39" s="2908"/>
      <c r="J39" s="2907"/>
      <c r="K39" s="2907"/>
      <c r="L39" s="2908"/>
      <c r="M39" s="2907"/>
      <c r="N39" s="2907"/>
      <c r="O39" s="2908"/>
      <c r="P39" s="2907"/>
      <c r="Q39" s="2907"/>
      <c r="R39" s="2909"/>
    </row>
    <row r="40" s="2425" customFormat="1" spans="2:18">
      <c r="B40" s="2907"/>
      <c r="C40" s="2907"/>
      <c r="D40" s="2907"/>
      <c r="E40" s="2907"/>
      <c r="F40" s="2907"/>
      <c r="G40" s="2908"/>
      <c r="H40" s="2907"/>
      <c r="I40" s="2908"/>
      <c r="J40" s="2907"/>
      <c r="K40" s="2907"/>
      <c r="L40" s="2908"/>
      <c r="M40" s="2907"/>
      <c r="N40" s="2907"/>
      <c r="O40" s="2908"/>
      <c r="P40" s="2907"/>
      <c r="Q40" s="2907"/>
      <c r="R40" s="2909"/>
    </row>
    <row r="41" s="2425" customFormat="1" spans="2:18">
      <c r="B41" s="2907"/>
      <c r="C41" s="2907"/>
      <c r="D41" s="2907"/>
      <c r="E41" s="2907"/>
      <c r="F41" s="2907"/>
      <c r="G41" s="2908"/>
      <c r="H41" s="2907"/>
      <c r="I41" s="2908"/>
      <c r="J41" s="2907"/>
      <c r="K41" s="2907"/>
      <c r="L41" s="2908"/>
      <c r="M41" s="2907"/>
      <c r="N41" s="2907"/>
      <c r="O41" s="2908"/>
      <c r="P41" s="2907"/>
      <c r="Q41" s="2907"/>
      <c r="R41" s="2909"/>
    </row>
    <row r="42" s="2425" customFormat="1" spans="2:18">
      <c r="B42" s="2907"/>
      <c r="C42" s="2907"/>
      <c r="D42" s="2907"/>
      <c r="E42" s="2907"/>
      <c r="F42" s="2907"/>
      <c r="G42" s="2908"/>
      <c r="H42" s="2907"/>
      <c r="I42" s="2908"/>
      <c r="J42" s="2907"/>
      <c r="K42" s="2907"/>
      <c r="L42" s="2908"/>
      <c r="M42" s="2907"/>
      <c r="N42" s="2907"/>
      <c r="O42" s="2908"/>
      <c r="P42" s="2907"/>
      <c r="Q42" s="2907"/>
      <c r="R42" s="2909"/>
    </row>
    <row r="43" s="2425" customFormat="1" spans="2:18">
      <c r="B43" s="2907"/>
      <c r="C43" s="2907"/>
      <c r="D43" s="2907"/>
      <c r="E43" s="2907"/>
      <c r="F43" s="2907"/>
      <c r="G43" s="2908"/>
      <c r="H43" s="2907"/>
      <c r="I43" s="2908"/>
      <c r="J43" s="2907"/>
      <c r="K43" s="2907"/>
      <c r="L43" s="2908"/>
      <c r="M43" s="2907"/>
      <c r="N43" s="2907"/>
      <c r="O43" s="2908"/>
      <c r="P43" s="2907"/>
      <c r="Q43" s="2907"/>
      <c r="R43" s="2909"/>
    </row>
    <row r="44" s="2425" customFormat="1" spans="2:18">
      <c r="B44" s="2907"/>
      <c r="C44" s="2907"/>
      <c r="D44" s="2907"/>
      <c r="E44" s="2907"/>
      <c r="F44" s="2907"/>
      <c r="G44" s="2908"/>
      <c r="H44" s="2907"/>
      <c r="I44" s="2908"/>
      <c r="J44" s="2907"/>
      <c r="K44" s="2907"/>
      <c r="L44" s="2908"/>
      <c r="M44" s="2907"/>
      <c r="N44" s="2907"/>
      <c r="O44" s="2908"/>
      <c r="P44" s="2907"/>
      <c r="Q44" s="2907"/>
      <c r="R44" s="2909"/>
    </row>
    <row r="45" s="2425" customFormat="1" spans="2:18">
      <c r="B45" s="2907"/>
      <c r="C45" s="2907"/>
      <c r="D45" s="2907"/>
      <c r="E45" s="2907"/>
      <c r="F45" s="2907"/>
      <c r="G45" s="2908"/>
      <c r="H45" s="2907"/>
      <c r="I45" s="2908"/>
      <c r="J45" s="2907"/>
      <c r="K45" s="2907"/>
      <c r="L45" s="2908"/>
      <c r="M45" s="2907"/>
      <c r="N45" s="2907"/>
      <c r="O45" s="2908"/>
      <c r="P45" s="2907"/>
      <c r="Q45" s="2907"/>
      <c r="R45" s="2909"/>
    </row>
    <row r="46" s="2425" customFormat="1" spans="2:18">
      <c r="B46" s="2907"/>
      <c r="C46" s="2907"/>
      <c r="D46" s="2907"/>
      <c r="E46" s="2907"/>
      <c r="F46" s="2907"/>
      <c r="G46" s="2908"/>
      <c r="H46" s="2907"/>
      <c r="I46" s="2908"/>
      <c r="J46" s="2907"/>
      <c r="K46" s="2907"/>
      <c r="L46" s="2908"/>
      <c r="M46" s="2907"/>
      <c r="N46" s="2907"/>
      <c r="O46" s="2908"/>
      <c r="P46" s="2907"/>
      <c r="Q46" s="2907"/>
      <c r="R46" s="2909"/>
    </row>
    <row r="47" s="2425" customFormat="1" spans="2:18">
      <c r="B47" s="2907"/>
      <c r="C47" s="2907"/>
      <c r="D47" s="2907"/>
      <c r="E47" s="2907"/>
      <c r="F47" s="2907"/>
      <c r="G47" s="2908"/>
      <c r="H47" s="2907"/>
      <c r="I47" s="2908"/>
      <c r="J47" s="2907"/>
      <c r="K47" s="2907"/>
      <c r="L47" s="2908"/>
      <c r="M47" s="2907"/>
      <c r="N47" s="2907"/>
      <c r="O47" s="2908"/>
      <c r="P47" s="2907"/>
      <c r="Q47" s="2907"/>
      <c r="R47" s="2909"/>
    </row>
    <row r="48" s="2425" customFormat="1" spans="2:18">
      <c r="B48" s="2907"/>
      <c r="C48" s="2907"/>
      <c r="D48" s="2907"/>
      <c r="E48" s="2907"/>
      <c r="F48" s="2907"/>
      <c r="G48" s="2908"/>
      <c r="H48" s="2907"/>
      <c r="I48" s="2908"/>
      <c r="J48" s="2907"/>
      <c r="K48" s="2907"/>
      <c r="L48" s="2908"/>
      <c r="M48" s="2907"/>
      <c r="N48" s="2907"/>
      <c r="O48" s="2908"/>
      <c r="P48" s="2907"/>
      <c r="Q48" s="2907"/>
      <c r="R48" s="2909"/>
    </row>
    <row r="49" s="2425" customFormat="1" spans="2:18">
      <c r="B49" s="2907"/>
      <c r="C49" s="2907"/>
      <c r="D49" s="2907"/>
      <c r="E49" s="2907"/>
      <c r="F49" s="2907"/>
      <c r="G49" s="2908"/>
      <c r="H49" s="2907"/>
      <c r="I49" s="2908"/>
      <c r="J49" s="2907"/>
      <c r="K49" s="2907"/>
      <c r="L49" s="2908"/>
      <c r="M49" s="2907"/>
      <c r="N49" s="2907"/>
      <c r="O49" s="2908"/>
      <c r="P49" s="2907"/>
      <c r="Q49" s="2907"/>
      <c r="R49" s="2909"/>
    </row>
    <row r="50" s="2425" customFormat="1" spans="2:18">
      <c r="B50" s="2907"/>
      <c r="C50" s="2907"/>
      <c r="D50" s="2907"/>
      <c r="E50" s="2907"/>
      <c r="F50" s="2907"/>
      <c r="G50" s="2908"/>
      <c r="H50" s="2907"/>
      <c r="I50" s="2908"/>
      <c r="J50" s="2907"/>
      <c r="K50" s="2907"/>
      <c r="L50" s="2908"/>
      <c r="M50" s="2907"/>
      <c r="N50" s="2907"/>
      <c r="O50" s="2908"/>
      <c r="P50" s="2907"/>
      <c r="Q50" s="2907"/>
      <c r="R50" s="2909"/>
    </row>
    <row r="51" s="2425" customFormat="1" spans="2:18">
      <c r="B51" s="2907"/>
      <c r="C51" s="2907"/>
      <c r="D51" s="2907"/>
      <c r="E51" s="2907"/>
      <c r="F51" s="2907"/>
      <c r="G51" s="2908"/>
      <c r="H51" s="2907"/>
      <c r="I51" s="2908"/>
      <c r="J51" s="2907"/>
      <c r="K51" s="2907"/>
      <c r="L51" s="2908"/>
      <c r="M51" s="2907"/>
      <c r="N51" s="2907"/>
      <c r="O51" s="2908"/>
      <c r="P51" s="2907"/>
      <c r="Q51" s="2907"/>
      <c r="R51" s="2909"/>
    </row>
    <row r="52" s="2425" customFormat="1" spans="2:18">
      <c r="B52" s="2907"/>
      <c r="C52" s="2907"/>
      <c r="D52" s="2907"/>
      <c r="E52" s="2907"/>
      <c r="F52" s="2907"/>
      <c r="G52" s="2908"/>
      <c r="H52" s="2907"/>
      <c r="I52" s="2908"/>
      <c r="J52" s="2907"/>
      <c r="K52" s="2907"/>
      <c r="L52" s="2908"/>
      <c r="M52" s="2907"/>
      <c r="N52" s="2907"/>
      <c r="O52" s="2908"/>
      <c r="P52" s="2907"/>
      <c r="Q52" s="2907"/>
      <c r="R52" s="2909"/>
    </row>
    <row r="53" s="2425" customFormat="1" spans="2:18">
      <c r="B53" s="2907"/>
      <c r="C53" s="2907"/>
      <c r="D53" s="2907"/>
      <c r="E53" s="2907"/>
      <c r="F53" s="2907"/>
      <c r="G53" s="2908"/>
      <c r="H53" s="2907"/>
      <c r="I53" s="2908"/>
      <c r="J53" s="2907"/>
      <c r="K53" s="2907"/>
      <c r="L53" s="2908"/>
      <c r="M53" s="2907"/>
      <c r="N53" s="2907"/>
      <c r="O53" s="2908"/>
      <c r="P53" s="2907"/>
      <c r="Q53" s="2907"/>
      <c r="R53" s="2909"/>
    </row>
    <row r="54" s="2425" customFormat="1" spans="2:18">
      <c r="B54" s="2907"/>
      <c r="C54" s="2907"/>
      <c r="D54" s="2907"/>
      <c r="E54" s="2907"/>
      <c r="F54" s="2907"/>
      <c r="G54" s="2908"/>
      <c r="H54" s="2907"/>
      <c r="I54" s="2908"/>
      <c r="J54" s="2907"/>
      <c r="K54" s="2907"/>
      <c r="L54" s="2908"/>
      <c r="M54" s="2907"/>
      <c r="N54" s="2907"/>
      <c r="O54" s="2908"/>
      <c r="P54" s="2907"/>
      <c r="Q54" s="2907"/>
      <c r="R54" s="2909"/>
    </row>
    <row r="55" s="2425" customFormat="1" spans="2:18">
      <c r="B55" s="2907"/>
      <c r="C55" s="2907"/>
      <c r="D55" s="2907"/>
      <c r="E55" s="2907"/>
      <c r="F55" s="2907"/>
      <c r="G55" s="2908"/>
      <c r="H55" s="2907"/>
      <c r="I55" s="2908"/>
      <c r="J55" s="2907"/>
      <c r="K55" s="2907"/>
      <c r="L55" s="2908"/>
      <c r="M55" s="2907"/>
      <c r="N55" s="2907"/>
      <c r="O55" s="2908"/>
      <c r="P55" s="2907"/>
      <c r="Q55" s="2907"/>
      <c r="R55" s="2909"/>
    </row>
    <row r="56" s="2425" customFormat="1" spans="2:18">
      <c r="B56" s="2907"/>
      <c r="C56" s="2907"/>
      <c r="D56" s="2907"/>
      <c r="E56" s="2907"/>
      <c r="F56" s="2907"/>
      <c r="G56" s="2908"/>
      <c r="H56" s="2907"/>
      <c r="I56" s="2908"/>
      <c r="J56" s="2907"/>
      <c r="K56" s="2907"/>
      <c r="L56" s="2908"/>
      <c r="M56" s="2907"/>
      <c r="N56" s="2907"/>
      <c r="O56" s="2908"/>
      <c r="P56" s="2907"/>
      <c r="Q56" s="2907"/>
      <c r="R56" s="2909"/>
    </row>
    <row r="57" s="2425" customFormat="1" spans="2:18">
      <c r="B57" s="2907"/>
      <c r="C57" s="2907"/>
      <c r="D57" s="2907"/>
      <c r="E57" s="2907"/>
      <c r="F57" s="2907"/>
      <c r="G57" s="2908"/>
      <c r="H57" s="2907"/>
      <c r="I57" s="2908"/>
      <c r="J57" s="2907"/>
      <c r="K57" s="2907"/>
      <c r="L57" s="2908"/>
      <c r="M57" s="2907"/>
      <c r="N57" s="2907"/>
      <c r="O57" s="2908"/>
      <c r="P57" s="2907"/>
      <c r="Q57" s="2907"/>
      <c r="R57" s="2909"/>
    </row>
    <row r="58" s="2425" customFormat="1" spans="2:18">
      <c r="B58" s="2907"/>
      <c r="C58" s="2907"/>
      <c r="D58" s="2907"/>
      <c r="E58" s="2907"/>
      <c r="F58" s="2907"/>
      <c r="G58" s="2908"/>
      <c r="H58" s="2907"/>
      <c r="I58" s="2908"/>
      <c r="J58" s="2907"/>
      <c r="K58" s="2907"/>
      <c r="L58" s="2908"/>
      <c r="M58" s="2907"/>
      <c r="N58" s="2907"/>
      <c r="O58" s="2908"/>
      <c r="P58" s="2907"/>
      <c r="Q58" s="2907"/>
      <c r="R58" s="2909"/>
    </row>
    <row r="59" s="2425" customFormat="1" spans="2:18">
      <c r="B59" s="2907"/>
      <c r="C59" s="2907"/>
      <c r="D59" s="2907"/>
      <c r="E59" s="2907"/>
      <c r="F59" s="2907"/>
      <c r="G59" s="2908"/>
      <c r="H59" s="2907"/>
      <c r="I59" s="2908"/>
      <c r="J59" s="2907"/>
      <c r="K59" s="2907"/>
      <c r="L59" s="2908"/>
      <c r="M59" s="2907"/>
      <c r="N59" s="2907"/>
      <c r="O59" s="2908"/>
      <c r="P59" s="2907"/>
      <c r="Q59" s="2907"/>
      <c r="R59" s="2909"/>
    </row>
    <row r="60" s="2425" customFormat="1" spans="2:18">
      <c r="B60" s="2907"/>
      <c r="C60" s="2907"/>
      <c r="D60" s="2907"/>
      <c r="E60" s="2907"/>
      <c r="F60" s="2907"/>
      <c r="G60" s="2908"/>
      <c r="H60" s="2907"/>
      <c r="I60" s="2908"/>
      <c r="J60" s="2907"/>
      <c r="K60" s="2907"/>
      <c r="L60" s="2908"/>
      <c r="M60" s="2907"/>
      <c r="N60" s="2907"/>
      <c r="O60" s="2908"/>
      <c r="P60" s="2907"/>
      <c r="Q60" s="2907"/>
      <c r="R60" s="2909"/>
    </row>
    <row r="61" s="2425" customFormat="1" spans="2:18">
      <c r="B61" s="2907"/>
      <c r="C61" s="2907"/>
      <c r="D61" s="2907"/>
      <c r="E61" s="2907"/>
      <c r="F61" s="2907"/>
      <c r="G61" s="2908"/>
      <c r="H61" s="2907"/>
      <c r="I61" s="2908"/>
      <c r="J61" s="2907"/>
      <c r="K61" s="2907"/>
      <c r="L61" s="2908"/>
      <c r="M61" s="2907"/>
      <c r="N61" s="2907"/>
      <c r="O61" s="2908"/>
      <c r="P61" s="2907"/>
      <c r="Q61" s="2907"/>
      <c r="R61" s="2909"/>
    </row>
    <row r="62" s="2425" customFormat="1" spans="2:18">
      <c r="B62" s="2907"/>
      <c r="C62" s="2907"/>
      <c r="D62" s="2907"/>
      <c r="E62" s="2907"/>
      <c r="F62" s="2907"/>
      <c r="G62" s="2908"/>
      <c r="H62" s="2907"/>
      <c r="I62" s="2908"/>
      <c r="J62" s="2907"/>
      <c r="K62" s="2907"/>
      <c r="L62" s="2908"/>
      <c r="M62" s="2907"/>
      <c r="N62" s="2907"/>
      <c r="O62" s="2908"/>
      <c r="P62" s="2907"/>
      <c r="Q62" s="2907"/>
      <c r="R62" s="2909"/>
    </row>
    <row r="63" s="2425" customFormat="1" spans="2:18">
      <c r="B63" s="2907"/>
      <c r="C63" s="2907"/>
      <c r="D63" s="2907"/>
      <c r="E63" s="2907"/>
      <c r="F63" s="2907"/>
      <c r="G63" s="2908"/>
      <c r="H63" s="2907"/>
      <c r="I63" s="2908"/>
      <c r="J63" s="2907"/>
      <c r="K63" s="2907"/>
      <c r="L63" s="2908"/>
      <c r="M63" s="2907"/>
      <c r="N63" s="2907"/>
      <c r="O63" s="2908"/>
      <c r="P63" s="2907"/>
      <c r="Q63" s="2907"/>
      <c r="R63" s="2909"/>
    </row>
    <row r="64" s="2425" customFormat="1" spans="2:18">
      <c r="B64" s="2907"/>
      <c r="C64" s="2907"/>
      <c r="D64" s="2907"/>
      <c r="E64" s="2907"/>
      <c r="F64" s="2907"/>
      <c r="G64" s="2908"/>
      <c r="H64" s="2907"/>
      <c r="I64" s="2908"/>
      <c r="J64" s="2907"/>
      <c r="K64" s="2907"/>
      <c r="L64" s="2908"/>
      <c r="M64" s="2907"/>
      <c r="N64" s="2907"/>
      <c r="O64" s="2908"/>
      <c r="P64" s="2907"/>
      <c r="Q64" s="2907"/>
      <c r="R64" s="2909"/>
    </row>
    <row r="65" s="2425" customFormat="1" spans="2:18">
      <c r="B65" s="2907"/>
      <c r="C65" s="2907"/>
      <c r="D65" s="2907"/>
      <c r="E65" s="2907"/>
      <c r="F65" s="2907"/>
      <c r="G65" s="2908"/>
      <c r="H65" s="2907"/>
      <c r="I65" s="2908"/>
      <c r="J65" s="2907"/>
      <c r="K65" s="2907"/>
      <c r="L65" s="2908"/>
      <c r="M65" s="2907"/>
      <c r="N65" s="2907"/>
      <c r="O65" s="2908"/>
      <c r="P65" s="2907"/>
      <c r="Q65" s="2907"/>
      <c r="R65" s="2909"/>
    </row>
    <row r="66" s="2425" customFormat="1" spans="2:18">
      <c r="B66" s="2907"/>
      <c r="C66" s="2907"/>
      <c r="D66" s="2907"/>
      <c r="E66" s="2907"/>
      <c r="F66" s="2907"/>
      <c r="G66" s="2908"/>
      <c r="H66" s="2907"/>
      <c r="I66" s="2908"/>
      <c r="J66" s="2907"/>
      <c r="K66" s="2907"/>
      <c r="L66" s="2908"/>
      <c r="M66" s="2907"/>
      <c r="N66" s="2907"/>
      <c r="O66" s="2908"/>
      <c r="P66" s="2907"/>
      <c r="Q66" s="2907"/>
      <c r="R66" s="2909"/>
    </row>
    <row r="67" s="2425" customFormat="1" spans="2:18">
      <c r="B67" s="2907"/>
      <c r="C67" s="2907"/>
      <c r="D67" s="2907"/>
      <c r="E67" s="2907"/>
      <c r="F67" s="2907"/>
      <c r="G67" s="2908"/>
      <c r="H67" s="2907"/>
      <c r="I67" s="2908"/>
      <c r="J67" s="2907"/>
      <c r="K67" s="2907"/>
      <c r="L67" s="2908"/>
      <c r="M67" s="2907"/>
      <c r="N67" s="2907"/>
      <c r="O67" s="2908"/>
      <c r="P67" s="2907"/>
      <c r="Q67" s="2907"/>
      <c r="R67" s="2909"/>
    </row>
    <row r="68" s="2425" customFormat="1" spans="2:18">
      <c r="B68" s="2907"/>
      <c r="C68" s="2907"/>
      <c r="D68" s="2907"/>
      <c r="E68" s="2907"/>
      <c r="F68" s="2907"/>
      <c r="G68" s="2908"/>
      <c r="H68" s="2907"/>
      <c r="I68" s="2908"/>
      <c r="J68" s="2907"/>
      <c r="K68" s="2907"/>
      <c r="L68" s="2908"/>
      <c r="M68" s="2907"/>
      <c r="N68" s="2907"/>
      <c r="O68" s="2908"/>
      <c r="P68" s="2907"/>
      <c r="Q68" s="2907"/>
      <c r="R68" s="2909"/>
    </row>
    <row r="69" s="2425" customFormat="1" spans="2:18">
      <c r="B69" s="2907"/>
      <c r="C69" s="2907"/>
      <c r="D69" s="2907"/>
      <c r="E69" s="2907"/>
      <c r="F69" s="2907"/>
      <c r="G69" s="2908"/>
      <c r="H69" s="2907"/>
      <c r="I69" s="2908"/>
      <c r="J69" s="2907"/>
      <c r="K69" s="2907"/>
      <c r="L69" s="2908"/>
      <c r="M69" s="2907"/>
      <c r="N69" s="2907"/>
      <c r="O69" s="2908"/>
      <c r="P69" s="2907"/>
      <c r="Q69" s="2907"/>
      <c r="R69" s="2909"/>
    </row>
    <row r="70" s="2425" customFormat="1" spans="2:18">
      <c r="B70" s="2907"/>
      <c r="C70" s="2907"/>
      <c r="D70" s="2907"/>
      <c r="E70" s="2907"/>
      <c r="F70" s="2907"/>
      <c r="G70" s="2908"/>
      <c r="H70" s="2907"/>
      <c r="I70" s="2908"/>
      <c r="J70" s="2907"/>
      <c r="K70" s="2907"/>
      <c r="L70" s="2908"/>
      <c r="M70" s="2907"/>
      <c r="N70" s="2907"/>
      <c r="O70" s="2908"/>
      <c r="P70" s="2907"/>
      <c r="Q70" s="2907"/>
      <c r="R70" s="2909"/>
    </row>
    <row r="71" s="2425" customFormat="1" spans="2:18">
      <c r="B71" s="2907"/>
      <c r="C71" s="2907"/>
      <c r="D71" s="2907"/>
      <c r="E71" s="2907"/>
      <c r="F71" s="2907"/>
      <c r="G71" s="2908"/>
      <c r="H71" s="2907"/>
      <c r="I71" s="2908"/>
      <c r="J71" s="2907"/>
      <c r="K71" s="2907"/>
      <c r="L71" s="2908"/>
      <c r="M71" s="2907"/>
      <c r="N71" s="2907"/>
      <c r="O71" s="2908"/>
      <c r="P71" s="2907"/>
      <c r="Q71" s="2907"/>
      <c r="R71" s="2909"/>
    </row>
    <row r="72" s="2425" customFormat="1" spans="2:18">
      <c r="B72" s="2907"/>
      <c r="C72" s="2907"/>
      <c r="D72" s="2907"/>
      <c r="E72" s="2907"/>
      <c r="F72" s="2907"/>
      <c r="G72" s="2908"/>
      <c r="H72" s="2907"/>
      <c r="I72" s="2908"/>
      <c r="J72" s="2907"/>
      <c r="K72" s="2907"/>
      <c r="L72" s="2908"/>
      <c r="M72" s="2907"/>
      <c r="N72" s="2907"/>
      <c r="O72" s="2908"/>
      <c r="P72" s="2907"/>
      <c r="Q72" s="2907"/>
      <c r="R72" s="2909"/>
    </row>
    <row r="73" s="2425" customFormat="1" spans="2:18">
      <c r="B73" s="2907"/>
      <c r="C73" s="2907"/>
      <c r="D73" s="2907"/>
      <c r="E73" s="2907"/>
      <c r="F73" s="2907"/>
      <c r="G73" s="2908"/>
      <c r="H73" s="2907"/>
      <c r="I73" s="2908"/>
      <c r="J73" s="2907"/>
      <c r="K73" s="2907"/>
      <c r="L73" s="2908"/>
      <c r="M73" s="2907"/>
      <c r="N73" s="2907"/>
      <c r="O73" s="2908"/>
      <c r="P73" s="2907"/>
      <c r="Q73" s="2907"/>
      <c r="R73" s="2909"/>
    </row>
    <row r="74" s="2425" customFormat="1" spans="2:18">
      <c r="B74" s="2907"/>
      <c r="C74" s="2907"/>
      <c r="D74" s="2907"/>
      <c r="E74" s="2907"/>
      <c r="F74" s="2907"/>
      <c r="G74" s="2908"/>
      <c r="H74" s="2907"/>
      <c r="I74" s="2908"/>
      <c r="J74" s="2907"/>
      <c r="K74" s="2907"/>
      <c r="L74" s="2908"/>
      <c r="M74" s="2907"/>
      <c r="N74" s="2907"/>
      <c r="O74" s="2908"/>
      <c r="P74" s="2907"/>
      <c r="Q74" s="2907"/>
      <c r="R74" s="2909"/>
    </row>
    <row r="75" s="2425" customFormat="1" spans="2:18">
      <c r="B75" s="2907"/>
      <c r="C75" s="2907"/>
      <c r="D75" s="2907"/>
      <c r="E75" s="2907"/>
      <c r="F75" s="2907"/>
      <c r="G75" s="2908"/>
      <c r="H75" s="2907"/>
      <c r="I75" s="2908"/>
      <c r="J75" s="2907"/>
      <c r="K75" s="2907"/>
      <c r="L75" s="2908"/>
      <c r="M75" s="2907"/>
      <c r="N75" s="2907"/>
      <c r="O75" s="2908"/>
      <c r="P75" s="2907"/>
      <c r="Q75" s="2907"/>
      <c r="R75" s="2909"/>
    </row>
    <row r="76" s="2425" customFormat="1" spans="2:18">
      <c r="B76" s="2907"/>
      <c r="C76" s="2907"/>
      <c r="D76" s="2907"/>
      <c r="E76" s="2907"/>
      <c r="F76" s="2907"/>
      <c r="G76" s="2908"/>
      <c r="H76" s="2907"/>
      <c r="I76" s="2908"/>
      <c r="J76" s="2907"/>
      <c r="K76" s="2907"/>
      <c r="L76" s="2908"/>
      <c r="M76" s="2907"/>
      <c r="N76" s="2907"/>
      <c r="O76" s="2908"/>
      <c r="P76" s="2907"/>
      <c r="Q76" s="2907"/>
      <c r="R76" s="2909"/>
    </row>
    <row r="77" s="2425" customFormat="1" spans="2:18">
      <c r="B77" s="2907"/>
      <c r="C77" s="2907"/>
      <c r="D77" s="2907"/>
      <c r="E77" s="2907"/>
      <c r="F77" s="2907"/>
      <c r="G77" s="2908"/>
      <c r="H77" s="2907"/>
      <c r="I77" s="2908"/>
      <c r="J77" s="2907"/>
      <c r="K77" s="2907"/>
      <c r="L77" s="2908"/>
      <c r="M77" s="2907"/>
      <c r="N77" s="2907"/>
      <c r="O77" s="2908"/>
      <c r="P77" s="2907"/>
      <c r="Q77" s="2907"/>
      <c r="R77" s="2909"/>
    </row>
    <row r="78" s="2425" customFormat="1" spans="2:18">
      <c r="B78" s="2907"/>
      <c r="C78" s="2907"/>
      <c r="D78" s="2907"/>
      <c r="E78" s="2907"/>
      <c r="F78" s="2907"/>
      <c r="G78" s="2908"/>
      <c r="H78" s="2907"/>
      <c r="I78" s="2908"/>
      <c r="J78" s="2907"/>
      <c r="K78" s="2907"/>
      <c r="L78" s="2908"/>
      <c r="M78" s="2907"/>
      <c r="N78" s="2907"/>
      <c r="O78" s="2908"/>
      <c r="P78" s="2907"/>
      <c r="Q78" s="2907"/>
      <c r="R78" s="2909"/>
    </row>
    <row r="79" s="2425" customFormat="1" spans="2:18">
      <c r="B79" s="2907"/>
      <c r="C79" s="2907"/>
      <c r="D79" s="2907"/>
      <c r="E79" s="2907"/>
      <c r="F79" s="2907"/>
      <c r="G79" s="2908"/>
      <c r="H79" s="2907"/>
      <c r="I79" s="2908"/>
      <c r="J79" s="2907"/>
      <c r="K79" s="2907"/>
      <c r="L79" s="2908"/>
      <c r="M79" s="2907"/>
      <c r="N79" s="2907"/>
      <c r="O79" s="2908"/>
      <c r="P79" s="2907"/>
      <c r="Q79" s="2907"/>
      <c r="R79" s="2909"/>
    </row>
    <row r="80" s="2425" customFormat="1" spans="2:18">
      <c r="B80" s="2907"/>
      <c r="C80" s="2907"/>
      <c r="D80" s="2907"/>
      <c r="E80" s="2907"/>
      <c r="F80" s="2907"/>
      <c r="G80" s="2908"/>
      <c r="H80" s="2907"/>
      <c r="I80" s="2908"/>
      <c r="J80" s="2907"/>
      <c r="K80" s="2907"/>
      <c r="L80" s="2908"/>
      <c r="M80" s="2907"/>
      <c r="N80" s="2907"/>
      <c r="O80" s="2908"/>
      <c r="P80" s="2907"/>
      <c r="Q80" s="2907"/>
      <c r="R80" s="2909"/>
    </row>
    <row r="81" s="2425" customFormat="1" spans="2:18">
      <c r="B81" s="2907"/>
      <c r="C81" s="2907"/>
      <c r="D81" s="2907"/>
      <c r="E81" s="2907"/>
      <c r="F81" s="2907"/>
      <c r="G81" s="2908"/>
      <c r="H81" s="2907"/>
      <c r="I81" s="2908"/>
      <c r="J81" s="2907"/>
      <c r="K81" s="2907"/>
      <c r="L81" s="2908"/>
      <c r="M81" s="2907"/>
      <c r="N81" s="2907"/>
      <c r="O81" s="2908"/>
      <c r="P81" s="2907"/>
      <c r="Q81" s="2907"/>
      <c r="R81" s="2909"/>
    </row>
    <row r="82" s="2425" customFormat="1" spans="2:18">
      <c r="B82" s="2907"/>
      <c r="C82" s="2907"/>
      <c r="D82" s="2907"/>
      <c r="E82" s="2907"/>
      <c r="F82" s="2907"/>
      <c r="G82" s="2908"/>
      <c r="H82" s="2907"/>
      <c r="I82" s="2908"/>
      <c r="J82" s="2907"/>
      <c r="K82" s="2907"/>
      <c r="L82" s="2908"/>
      <c r="M82" s="2907"/>
      <c r="N82" s="2907"/>
      <c r="O82" s="2908"/>
      <c r="P82" s="2907"/>
      <c r="Q82" s="2907"/>
      <c r="R82" s="2909"/>
    </row>
    <row r="83" s="2425" customFormat="1" spans="2:18">
      <c r="B83" s="2907"/>
      <c r="C83" s="2907"/>
      <c r="D83" s="2907"/>
      <c r="E83" s="2907"/>
      <c r="F83" s="2907"/>
      <c r="G83" s="2908"/>
      <c r="H83" s="2907"/>
      <c r="I83" s="2908"/>
      <c r="J83" s="2907"/>
      <c r="K83" s="2907"/>
      <c r="L83" s="2908"/>
      <c r="M83" s="2907"/>
      <c r="N83" s="2907"/>
      <c r="O83" s="2908"/>
      <c r="P83" s="2907"/>
      <c r="Q83" s="2907"/>
      <c r="R83" s="2909"/>
    </row>
    <row r="84" s="2425" customFormat="1" spans="2:18">
      <c r="B84" s="2907"/>
      <c r="C84" s="2907"/>
      <c r="D84" s="2907"/>
      <c r="E84" s="2907"/>
      <c r="F84" s="2907"/>
      <c r="G84" s="2908"/>
      <c r="H84" s="2907"/>
      <c r="I84" s="2908"/>
      <c r="J84" s="2907"/>
      <c r="K84" s="2907"/>
      <c r="L84" s="2908"/>
      <c r="M84" s="2907"/>
      <c r="N84" s="2907"/>
      <c r="O84" s="2908"/>
      <c r="P84" s="2907"/>
      <c r="Q84" s="2907"/>
      <c r="R84" s="2909"/>
    </row>
    <row r="85" s="2425" customFormat="1" spans="2:18">
      <c r="B85" s="2907"/>
      <c r="C85" s="2907"/>
      <c r="D85" s="2907"/>
      <c r="E85" s="2907"/>
      <c r="F85" s="2907"/>
      <c r="G85" s="2908"/>
      <c r="H85" s="2907"/>
      <c r="I85" s="2908"/>
      <c r="J85" s="2907"/>
      <c r="K85" s="2907"/>
      <c r="L85" s="2908"/>
      <c r="M85" s="2907"/>
      <c r="N85" s="2907"/>
      <c r="O85" s="2908"/>
      <c r="P85" s="2907"/>
      <c r="Q85" s="2907"/>
      <c r="R85" s="2909"/>
    </row>
    <row r="86" s="2425" customFormat="1" spans="2:18">
      <c r="B86" s="2907"/>
      <c r="C86" s="2907"/>
      <c r="D86" s="2907"/>
      <c r="E86" s="2907"/>
      <c r="F86" s="2907"/>
      <c r="G86" s="2908"/>
      <c r="H86" s="2907"/>
      <c r="I86" s="2908"/>
      <c r="J86" s="2907"/>
      <c r="K86" s="2907"/>
      <c r="L86" s="2908"/>
      <c r="M86" s="2907"/>
      <c r="N86" s="2907"/>
      <c r="O86" s="2908"/>
      <c r="P86" s="2907"/>
      <c r="Q86" s="2907"/>
      <c r="R86" s="2909"/>
    </row>
    <row r="87" s="2425" customFormat="1" spans="2:18">
      <c r="B87" s="2907"/>
      <c r="C87" s="2907"/>
      <c r="D87" s="2907"/>
      <c r="E87" s="2907"/>
      <c r="F87" s="2907"/>
      <c r="G87" s="2908"/>
      <c r="H87" s="2907"/>
      <c r="I87" s="2908"/>
      <c r="J87" s="2907"/>
      <c r="K87" s="2907"/>
      <c r="L87" s="2908"/>
      <c r="M87" s="2907"/>
      <c r="N87" s="2907"/>
      <c r="O87" s="2908"/>
      <c r="P87" s="2907"/>
      <c r="Q87" s="2907"/>
      <c r="R87" s="2909"/>
    </row>
    <row r="88" s="2425" customFormat="1" spans="2:18">
      <c r="B88" s="2907"/>
      <c r="C88" s="2907"/>
      <c r="D88" s="2907"/>
      <c r="E88" s="2907"/>
      <c r="F88" s="2907"/>
      <c r="G88" s="2908"/>
      <c r="H88" s="2907"/>
      <c r="I88" s="2908"/>
      <c r="J88" s="2907"/>
      <c r="K88" s="2907"/>
      <c r="L88" s="2908"/>
      <c r="M88" s="2907"/>
      <c r="N88" s="2907"/>
      <c r="O88" s="2908"/>
      <c r="P88" s="2907"/>
      <c r="Q88" s="2907"/>
      <c r="R88" s="2909"/>
    </row>
    <row r="89" s="2425" customFormat="1" spans="2:18">
      <c r="B89" s="2907"/>
      <c r="C89" s="2907"/>
      <c r="D89" s="2907"/>
      <c r="E89" s="2907"/>
      <c r="F89" s="2907"/>
      <c r="G89" s="2908"/>
      <c r="H89" s="2907"/>
      <c r="I89" s="2908"/>
      <c r="J89" s="2907"/>
      <c r="K89" s="2907"/>
      <c r="L89" s="2908"/>
      <c r="M89" s="2907"/>
      <c r="N89" s="2907"/>
      <c r="O89" s="2908"/>
      <c r="P89" s="2907"/>
      <c r="Q89" s="2907"/>
      <c r="R89" s="2909"/>
    </row>
    <row r="90" s="2425" customFormat="1" spans="2:18">
      <c r="B90" s="2907"/>
      <c r="C90" s="2907"/>
      <c r="D90" s="2907"/>
      <c r="E90" s="2907"/>
      <c r="F90" s="2907"/>
      <c r="G90" s="2908"/>
      <c r="H90" s="2907"/>
      <c r="I90" s="2908"/>
      <c r="J90" s="2907"/>
      <c r="K90" s="2907"/>
      <c r="L90" s="2908"/>
      <c r="M90" s="2907"/>
      <c r="N90" s="2907"/>
      <c r="O90" s="2908"/>
      <c r="P90" s="2907"/>
      <c r="Q90" s="2907"/>
      <c r="R90" s="2909"/>
    </row>
    <row r="91" s="2425" customFormat="1" spans="2:18">
      <c r="B91" s="2907"/>
      <c r="C91" s="2907"/>
      <c r="D91" s="2907"/>
      <c r="E91" s="2907"/>
      <c r="F91" s="2907"/>
      <c r="G91" s="2908"/>
      <c r="H91" s="2907"/>
      <c r="I91" s="2908"/>
      <c r="J91" s="2907"/>
      <c r="K91" s="2907"/>
      <c r="L91" s="2908"/>
      <c r="M91" s="2907"/>
      <c r="N91" s="2907"/>
      <c r="O91" s="2908"/>
      <c r="P91" s="2907"/>
      <c r="Q91" s="2907"/>
      <c r="R91" s="2909"/>
    </row>
    <row r="92" s="2425" customFormat="1" spans="2:18">
      <c r="B92" s="2907"/>
      <c r="C92" s="2907"/>
      <c r="D92" s="2907"/>
      <c r="E92" s="2907"/>
      <c r="F92" s="2907"/>
      <c r="G92" s="2908"/>
      <c r="H92" s="2907"/>
      <c r="I92" s="2908"/>
      <c r="J92" s="2907"/>
      <c r="K92" s="2907"/>
      <c r="L92" s="2908"/>
      <c r="M92" s="2907"/>
      <c r="N92" s="2907"/>
      <c r="O92" s="2908"/>
      <c r="P92" s="2907"/>
      <c r="Q92" s="2907"/>
      <c r="R92" s="2909"/>
    </row>
    <row r="93" s="2425" customFormat="1" spans="2:18">
      <c r="B93" s="2907"/>
      <c r="C93" s="2907"/>
      <c r="D93" s="2907"/>
      <c r="E93" s="2907"/>
      <c r="F93" s="2907"/>
      <c r="G93" s="2908"/>
      <c r="H93" s="2907"/>
      <c r="I93" s="2908"/>
      <c r="J93" s="2907"/>
      <c r="K93" s="2907"/>
      <c r="L93" s="2908"/>
      <c r="M93" s="2907"/>
      <c r="N93" s="2907"/>
      <c r="O93" s="2908"/>
      <c r="P93" s="2907"/>
      <c r="Q93" s="2907"/>
      <c r="R93" s="2909"/>
    </row>
    <row r="94" s="2425" customFormat="1" spans="2:18">
      <c r="B94" s="2907"/>
      <c r="C94" s="2907"/>
      <c r="D94" s="2907"/>
      <c r="E94" s="2907"/>
      <c r="F94" s="2907"/>
      <c r="G94" s="2908"/>
      <c r="H94" s="2907"/>
      <c r="I94" s="2908"/>
      <c r="J94" s="2907"/>
      <c r="K94" s="2907"/>
      <c r="L94" s="2908"/>
      <c r="M94" s="2907"/>
      <c r="N94" s="2907"/>
      <c r="O94" s="2908"/>
      <c r="P94" s="2907"/>
      <c r="Q94" s="2907"/>
      <c r="R94" s="2909"/>
    </row>
    <row r="95" s="2425" customFormat="1" spans="2:18">
      <c r="B95" s="2907"/>
      <c r="C95" s="2907"/>
      <c r="D95" s="2907"/>
      <c r="E95" s="2907"/>
      <c r="F95" s="2907"/>
      <c r="G95" s="2908"/>
      <c r="H95" s="2907"/>
      <c r="I95" s="2908"/>
      <c r="J95" s="2907"/>
      <c r="K95" s="2907"/>
      <c r="L95" s="2908"/>
      <c r="M95" s="2907"/>
      <c r="N95" s="2907"/>
      <c r="O95" s="2908"/>
      <c r="P95" s="2907"/>
      <c r="Q95" s="2907"/>
      <c r="R95" s="2909"/>
    </row>
    <row r="96" s="2425" customFormat="1" spans="2:18">
      <c r="B96" s="2907"/>
      <c r="C96" s="2907"/>
      <c r="D96" s="2907"/>
      <c r="E96" s="2907"/>
      <c r="F96" s="2907"/>
      <c r="G96" s="2908"/>
      <c r="H96" s="2907"/>
      <c r="I96" s="2908"/>
      <c r="J96" s="2907"/>
      <c r="K96" s="2907"/>
      <c r="L96" s="2908"/>
      <c r="M96" s="2907"/>
      <c r="N96" s="2907"/>
      <c r="O96" s="2908"/>
      <c r="P96" s="2907"/>
      <c r="Q96" s="2907"/>
      <c r="R96" s="2909"/>
    </row>
    <row r="97" s="2425" customFormat="1" spans="2:18">
      <c r="B97" s="2907"/>
      <c r="C97" s="2907"/>
      <c r="D97" s="2907"/>
      <c r="E97" s="2907"/>
      <c r="F97" s="2907"/>
      <c r="G97" s="2908"/>
      <c r="H97" s="2907"/>
      <c r="I97" s="2908"/>
      <c r="J97" s="2907"/>
      <c r="K97" s="2907"/>
      <c r="L97" s="2908"/>
      <c r="M97" s="2907"/>
      <c r="N97" s="2907"/>
      <c r="O97" s="2908"/>
      <c r="P97" s="2907"/>
      <c r="Q97" s="2907"/>
      <c r="R97" s="2909"/>
    </row>
    <row r="98" s="2425" customFormat="1" spans="2:18">
      <c r="B98" s="2907"/>
      <c r="C98" s="2907"/>
      <c r="D98" s="2907"/>
      <c r="E98" s="2907"/>
      <c r="F98" s="2907"/>
      <c r="G98" s="2908"/>
      <c r="H98" s="2907"/>
      <c r="I98" s="2908"/>
      <c r="J98" s="2907"/>
      <c r="K98" s="2907"/>
      <c r="L98" s="2908"/>
      <c r="M98" s="2907"/>
      <c r="N98" s="2907"/>
      <c r="O98" s="2908"/>
      <c r="P98" s="2907"/>
      <c r="Q98" s="2907"/>
      <c r="R98" s="2909"/>
    </row>
    <row r="99" s="2425" customFormat="1" spans="2:18">
      <c r="B99" s="2907"/>
      <c r="C99" s="2907"/>
      <c r="D99" s="2907"/>
      <c r="E99" s="2907"/>
      <c r="F99" s="2907"/>
      <c r="G99" s="2908"/>
      <c r="H99" s="2907"/>
      <c r="I99" s="2908"/>
      <c r="J99" s="2907"/>
      <c r="K99" s="2907"/>
      <c r="L99" s="2908"/>
      <c r="M99" s="2907"/>
      <c r="N99" s="2907"/>
      <c r="O99" s="2908"/>
      <c r="P99" s="2907"/>
      <c r="Q99" s="2907"/>
      <c r="R99" s="2909"/>
    </row>
    <row r="100" s="2425" customFormat="1" spans="2:18">
      <c r="B100" s="2907"/>
      <c r="C100" s="2907"/>
      <c r="D100" s="2907"/>
      <c r="E100" s="2907"/>
      <c r="F100" s="2907"/>
      <c r="G100" s="2908"/>
      <c r="H100" s="2907"/>
      <c r="I100" s="2908"/>
      <c r="J100" s="2907"/>
      <c r="K100" s="2907"/>
      <c r="L100" s="2908"/>
      <c r="M100" s="2907"/>
      <c r="N100" s="2907"/>
      <c r="O100" s="2908"/>
      <c r="P100" s="2907"/>
      <c r="Q100" s="2907"/>
      <c r="R100" s="2909"/>
    </row>
    <row r="101" s="2425" customFormat="1" spans="2:18">
      <c r="B101" s="2907"/>
      <c r="C101" s="2907"/>
      <c r="D101" s="2907"/>
      <c r="E101" s="2907"/>
      <c r="F101" s="2907"/>
      <c r="G101" s="2908"/>
      <c r="H101" s="2907"/>
      <c r="I101" s="2908"/>
      <c r="J101" s="2907"/>
      <c r="K101" s="2907"/>
      <c r="L101" s="2908"/>
      <c r="M101" s="2907"/>
      <c r="N101" s="2907"/>
      <c r="O101" s="2908"/>
      <c r="P101" s="2907"/>
      <c r="Q101" s="2907"/>
      <c r="R101" s="2909"/>
    </row>
    <row r="102" s="2425" customFormat="1" spans="2:18">
      <c r="B102" s="2907"/>
      <c r="C102" s="2907"/>
      <c r="D102" s="2907"/>
      <c r="E102" s="2907"/>
      <c r="F102" s="2907"/>
      <c r="G102" s="2908"/>
      <c r="H102" s="2907"/>
      <c r="I102" s="2908"/>
      <c r="J102" s="2907"/>
      <c r="K102" s="2907"/>
      <c r="L102" s="2908"/>
      <c r="M102" s="2907"/>
      <c r="N102" s="2907"/>
      <c r="O102" s="2908"/>
      <c r="P102" s="2907"/>
      <c r="Q102" s="2907"/>
      <c r="R102" s="2909"/>
    </row>
    <row r="103" s="2425" customFormat="1" spans="2:18">
      <c r="B103" s="2907"/>
      <c r="C103" s="2907"/>
      <c r="D103" s="2907"/>
      <c r="E103" s="2907"/>
      <c r="F103" s="2907"/>
      <c r="G103" s="2908"/>
      <c r="H103" s="2907"/>
      <c r="I103" s="2908"/>
      <c r="J103" s="2907"/>
      <c r="K103" s="2907"/>
      <c r="L103" s="2908"/>
      <c r="M103" s="2907"/>
      <c r="N103" s="2907"/>
      <c r="O103" s="2908"/>
      <c r="P103" s="2907"/>
      <c r="Q103" s="2907"/>
      <c r="R103" s="2909"/>
    </row>
    <row r="104" s="2425" customFormat="1" spans="2:18">
      <c r="B104" s="2907"/>
      <c r="C104" s="2907"/>
      <c r="D104" s="2907"/>
      <c r="E104" s="2907"/>
      <c r="F104" s="2907"/>
      <c r="G104" s="2908"/>
      <c r="H104" s="2907"/>
      <c r="I104" s="2908"/>
      <c r="J104" s="2907"/>
      <c r="K104" s="2907"/>
      <c r="L104" s="2908"/>
      <c r="M104" s="2907"/>
      <c r="N104" s="2907"/>
      <c r="O104" s="2908"/>
      <c r="P104" s="2907"/>
      <c r="Q104" s="2907"/>
      <c r="R104" s="2909"/>
    </row>
    <row r="105" s="2425" customFormat="1" spans="2:18">
      <c r="B105" s="2907"/>
      <c r="C105" s="2907"/>
      <c r="D105" s="2907"/>
      <c r="E105" s="2907"/>
      <c r="F105" s="2907"/>
      <c r="G105" s="2908"/>
      <c r="H105" s="2907"/>
      <c r="I105" s="2908"/>
      <c r="J105" s="2907"/>
      <c r="K105" s="2907"/>
      <c r="L105" s="2908"/>
      <c r="M105" s="2907"/>
      <c r="N105" s="2907"/>
      <c r="O105" s="2908"/>
      <c r="P105" s="2907"/>
      <c r="Q105" s="2907"/>
      <c r="R105" s="2909"/>
    </row>
    <row r="106" s="2425" customFormat="1" spans="2:18">
      <c r="B106" s="2907"/>
      <c r="C106" s="2907"/>
      <c r="D106" s="2907"/>
      <c r="E106" s="2907"/>
      <c r="F106" s="2907"/>
      <c r="G106" s="2908"/>
      <c r="H106" s="2907"/>
      <c r="I106" s="2908"/>
      <c r="J106" s="2907"/>
      <c r="K106" s="2907"/>
      <c r="L106" s="2908"/>
      <c r="M106" s="2907"/>
      <c r="N106" s="2907"/>
      <c r="O106" s="2908"/>
      <c r="P106" s="2907"/>
      <c r="Q106" s="2907"/>
      <c r="R106" s="2909"/>
    </row>
    <row r="107" s="2425" customFormat="1" spans="2:18">
      <c r="B107" s="2907"/>
      <c r="C107" s="2907"/>
      <c r="D107" s="2907"/>
      <c r="E107" s="2907"/>
      <c r="F107" s="2907"/>
      <c r="G107" s="2908"/>
      <c r="H107" s="2907"/>
      <c r="I107" s="2908"/>
      <c r="J107" s="2907"/>
      <c r="K107" s="2907"/>
      <c r="L107" s="2908"/>
      <c r="M107" s="2907"/>
      <c r="N107" s="2907"/>
      <c r="O107" s="2908"/>
      <c r="P107" s="2907"/>
      <c r="Q107" s="2907"/>
      <c r="R107" s="2909"/>
    </row>
    <row r="108" s="2425" customFormat="1" spans="2:18">
      <c r="B108" s="2907"/>
      <c r="C108" s="2907"/>
      <c r="D108" s="2907"/>
      <c r="E108" s="2907"/>
      <c r="F108" s="2907"/>
      <c r="G108" s="2908"/>
      <c r="H108" s="2907"/>
      <c r="I108" s="2908"/>
      <c r="J108" s="2907"/>
      <c r="K108" s="2907"/>
      <c r="L108" s="2908"/>
      <c r="M108" s="2907"/>
      <c r="N108" s="2907"/>
      <c r="O108" s="2908"/>
      <c r="P108" s="2907"/>
      <c r="Q108" s="2907"/>
      <c r="R108" s="2909"/>
    </row>
    <row r="109" s="2425" customFormat="1" spans="2:18">
      <c r="B109" s="2907"/>
      <c r="C109" s="2907"/>
      <c r="D109" s="2907"/>
      <c r="E109" s="2907"/>
      <c r="F109" s="2907"/>
      <c r="G109" s="2908"/>
      <c r="H109" s="2907"/>
      <c r="I109" s="2908"/>
      <c r="J109" s="2907"/>
      <c r="K109" s="2907"/>
      <c r="L109" s="2908"/>
      <c r="M109" s="2907"/>
      <c r="N109" s="2907"/>
      <c r="O109" s="2908"/>
      <c r="P109" s="2907"/>
      <c r="Q109" s="2907"/>
      <c r="R109" s="2909"/>
    </row>
    <row r="110" s="2425" customFormat="1" spans="2:18">
      <c r="B110" s="2907"/>
      <c r="C110" s="2907"/>
      <c r="D110" s="2907"/>
      <c r="E110" s="2907"/>
      <c r="F110" s="2907"/>
      <c r="G110" s="2908"/>
      <c r="H110" s="2907"/>
      <c r="I110" s="2908"/>
      <c r="J110" s="2907"/>
      <c r="K110" s="2907"/>
      <c r="L110" s="2908"/>
      <c r="M110" s="2907"/>
      <c r="N110" s="2907"/>
      <c r="O110" s="2908"/>
      <c r="P110" s="2907"/>
      <c r="Q110" s="2907"/>
      <c r="R110" s="2909"/>
    </row>
    <row r="111" s="2425" customFormat="1" spans="2:18">
      <c r="B111" s="2907"/>
      <c r="C111" s="2907"/>
      <c r="D111" s="2907"/>
      <c r="E111" s="2907"/>
      <c r="F111" s="2907"/>
      <c r="G111" s="2908"/>
      <c r="H111" s="2907"/>
      <c r="I111" s="2908"/>
      <c r="J111" s="2907"/>
      <c r="K111" s="2907"/>
      <c r="L111" s="2908"/>
      <c r="M111" s="2907"/>
      <c r="N111" s="2907"/>
      <c r="O111" s="2908"/>
      <c r="P111" s="2907"/>
      <c r="Q111" s="2907"/>
      <c r="R111" s="2909"/>
    </row>
    <row r="112" s="2425" customFormat="1" spans="2:18">
      <c r="B112" s="2907"/>
      <c r="C112" s="2907"/>
      <c r="D112" s="2907"/>
      <c r="E112" s="2907"/>
      <c r="F112" s="2907"/>
      <c r="G112" s="2908"/>
      <c r="H112" s="2907"/>
      <c r="I112" s="2908"/>
      <c r="J112" s="2907"/>
      <c r="K112" s="2907"/>
      <c r="L112" s="2908"/>
      <c r="M112" s="2907"/>
      <c r="N112" s="2907"/>
      <c r="O112" s="2908"/>
      <c r="P112" s="2907"/>
      <c r="Q112" s="2907"/>
      <c r="R112" s="2909"/>
    </row>
    <row r="113" s="2425" customFormat="1" spans="2:18">
      <c r="B113" s="2907"/>
      <c r="C113" s="2907"/>
      <c r="D113" s="2907"/>
      <c r="E113" s="2907"/>
      <c r="F113" s="2907"/>
      <c r="G113" s="2908"/>
      <c r="H113" s="2907"/>
      <c r="I113" s="2908"/>
      <c r="J113" s="2907"/>
      <c r="K113" s="2907"/>
      <c r="L113" s="2908"/>
      <c r="M113" s="2907"/>
      <c r="N113" s="2907"/>
      <c r="O113" s="2908"/>
      <c r="P113" s="2907"/>
      <c r="Q113" s="2907"/>
      <c r="R113" s="2909"/>
    </row>
    <row r="114" s="2425" customFormat="1" spans="2:18">
      <c r="B114" s="2907"/>
      <c r="C114" s="2907"/>
      <c r="D114" s="2907"/>
      <c r="E114" s="2907"/>
      <c r="F114" s="2907"/>
      <c r="G114" s="2908"/>
      <c r="H114" s="2907"/>
      <c r="I114" s="2908"/>
      <c r="J114" s="2907"/>
      <c r="K114" s="2907"/>
      <c r="L114" s="2908"/>
      <c r="M114" s="2907"/>
      <c r="N114" s="2907"/>
      <c r="O114" s="2908"/>
      <c r="P114" s="2907"/>
      <c r="Q114" s="2907"/>
      <c r="R114" s="2909"/>
    </row>
    <row r="115" s="2425" customFormat="1" spans="2:18">
      <c r="B115" s="2907"/>
      <c r="C115" s="2907"/>
      <c r="D115" s="2907"/>
      <c r="E115" s="2907"/>
      <c r="F115" s="2907"/>
      <c r="G115" s="2908"/>
      <c r="H115" s="2907"/>
      <c r="I115" s="2908"/>
      <c r="J115" s="2907"/>
      <c r="K115" s="2907"/>
      <c r="L115" s="2908"/>
      <c r="M115" s="2907"/>
      <c r="N115" s="2907"/>
      <c r="O115" s="2908"/>
      <c r="P115" s="2907"/>
      <c r="Q115" s="2907"/>
      <c r="R115" s="2909"/>
    </row>
    <row r="116" s="2425" customFormat="1" spans="2:18">
      <c r="B116" s="2907"/>
      <c r="C116" s="2907"/>
      <c r="D116" s="2907"/>
      <c r="E116" s="2907"/>
      <c r="F116" s="2907"/>
      <c r="G116" s="2908"/>
      <c r="H116" s="2907"/>
      <c r="I116" s="2908"/>
      <c r="J116" s="2907"/>
      <c r="K116" s="2907"/>
      <c r="L116" s="2908"/>
      <c r="M116" s="2907"/>
      <c r="N116" s="2907"/>
      <c r="O116" s="2908"/>
      <c r="P116" s="2907"/>
      <c r="Q116" s="2907"/>
      <c r="R116" s="2909"/>
    </row>
    <row r="117" s="2425" customFormat="1" spans="2:18">
      <c r="B117" s="2907"/>
      <c r="C117" s="2907"/>
      <c r="D117" s="2907"/>
      <c r="E117" s="2907"/>
      <c r="F117" s="2907"/>
      <c r="G117" s="2908"/>
      <c r="H117" s="2907"/>
      <c r="I117" s="2908"/>
      <c r="J117" s="2907"/>
      <c r="K117" s="2907"/>
      <c r="L117" s="2908"/>
      <c r="M117" s="2907"/>
      <c r="N117" s="2907"/>
      <c r="O117" s="2908"/>
      <c r="P117" s="2907"/>
      <c r="Q117" s="2907"/>
      <c r="R117" s="2909"/>
    </row>
    <row r="118" s="2425" customFormat="1" spans="2:18">
      <c r="B118" s="2907"/>
      <c r="C118" s="2907"/>
      <c r="D118" s="2907"/>
      <c r="E118" s="2907"/>
      <c r="F118" s="2907"/>
      <c r="G118" s="2908"/>
      <c r="H118" s="2907"/>
      <c r="I118" s="2908"/>
      <c r="J118" s="2907"/>
      <c r="K118" s="2907"/>
      <c r="L118" s="2908"/>
      <c r="M118" s="2907"/>
      <c r="N118" s="2907"/>
      <c r="O118" s="2908"/>
      <c r="P118" s="2907"/>
      <c r="Q118" s="2907"/>
      <c r="R118" s="2909"/>
    </row>
    <row r="119" s="2425" customFormat="1" spans="2:18">
      <c r="B119" s="2907"/>
      <c r="C119" s="2907"/>
      <c r="D119" s="2907"/>
      <c r="E119" s="2907"/>
      <c r="F119" s="2907"/>
      <c r="G119" s="2908"/>
      <c r="H119" s="2907"/>
      <c r="I119" s="2908"/>
      <c r="J119" s="2907"/>
      <c r="K119" s="2907"/>
      <c r="L119" s="2908"/>
      <c r="M119" s="2907"/>
      <c r="N119" s="2907"/>
      <c r="O119" s="2908"/>
      <c r="P119" s="2907"/>
      <c r="Q119" s="2907"/>
      <c r="R119" s="2909"/>
    </row>
    <row r="120" s="2425" customFormat="1" spans="2:18">
      <c r="B120" s="2907"/>
      <c r="C120" s="2907"/>
      <c r="D120" s="2907"/>
      <c r="E120" s="2907"/>
      <c r="F120" s="2907"/>
      <c r="G120" s="2908"/>
      <c r="H120" s="2907"/>
      <c r="I120" s="2908"/>
      <c r="J120" s="2907"/>
      <c r="K120" s="2907"/>
      <c r="L120" s="2908"/>
      <c r="M120" s="2907"/>
      <c r="N120" s="2907"/>
      <c r="O120" s="2908"/>
      <c r="P120" s="2907"/>
      <c r="Q120" s="2907"/>
      <c r="R120" s="2909"/>
    </row>
    <row r="121" s="2425" customFormat="1" spans="2:18">
      <c r="B121" s="2907"/>
      <c r="C121" s="2907"/>
      <c r="D121" s="2907"/>
      <c r="E121" s="2907"/>
      <c r="F121" s="2907"/>
      <c r="G121" s="2908"/>
      <c r="H121" s="2907"/>
      <c r="I121" s="2908"/>
      <c r="J121" s="2907"/>
      <c r="K121" s="2907"/>
      <c r="L121" s="2908"/>
      <c r="M121" s="2907"/>
      <c r="N121" s="2907"/>
      <c r="O121" s="2908"/>
      <c r="P121" s="2907"/>
      <c r="Q121" s="2907"/>
      <c r="R121" s="2909"/>
    </row>
    <row r="122" s="2425" customFormat="1" spans="2:18">
      <c r="B122" s="2907"/>
      <c r="C122" s="2907"/>
      <c r="D122" s="2907"/>
      <c r="E122" s="2907"/>
      <c r="F122" s="2907"/>
      <c r="G122" s="2908"/>
      <c r="H122" s="2907"/>
      <c r="I122" s="2908"/>
      <c r="J122" s="2907"/>
      <c r="K122" s="2907"/>
      <c r="L122" s="2908"/>
      <c r="M122" s="2907"/>
      <c r="N122" s="2907"/>
      <c r="O122" s="2908"/>
      <c r="P122" s="2907"/>
      <c r="Q122" s="2907"/>
      <c r="R122" s="2909"/>
    </row>
    <row r="123" s="2425" customFormat="1" spans="2:18">
      <c r="B123" s="2907"/>
      <c r="C123" s="2907"/>
      <c r="D123" s="2907"/>
      <c r="E123" s="2907"/>
      <c r="F123" s="2907"/>
      <c r="G123" s="2908"/>
      <c r="H123" s="2907"/>
      <c r="I123" s="2908"/>
      <c r="J123" s="2907"/>
      <c r="K123" s="2907"/>
      <c r="L123" s="2908"/>
      <c r="M123" s="2907"/>
      <c r="N123" s="2907"/>
      <c r="O123" s="2908"/>
      <c r="P123" s="2907"/>
      <c r="Q123" s="2907"/>
      <c r="R123" s="2909"/>
    </row>
    <row r="124" s="2425" customFormat="1" spans="2:18">
      <c r="B124" s="2907"/>
      <c r="C124" s="2907"/>
      <c r="D124" s="2907"/>
      <c r="E124" s="2907"/>
      <c r="F124" s="2907"/>
      <c r="G124" s="2908"/>
      <c r="H124" s="2907"/>
      <c r="I124" s="2908"/>
      <c r="J124" s="2907"/>
      <c r="K124" s="2907"/>
      <c r="L124" s="2908"/>
      <c r="M124" s="2907"/>
      <c r="N124" s="2907"/>
      <c r="O124" s="2908"/>
      <c r="P124" s="2907"/>
      <c r="Q124" s="2907"/>
      <c r="R124" s="2909"/>
    </row>
    <row r="125" s="2425" customFormat="1" spans="2:18">
      <c r="B125" s="2907"/>
      <c r="C125" s="2907"/>
      <c r="D125" s="2907"/>
      <c r="E125" s="2907"/>
      <c r="F125" s="2907"/>
      <c r="G125" s="2908"/>
      <c r="H125" s="2907"/>
      <c r="I125" s="2908"/>
      <c r="J125" s="2907"/>
      <c r="K125" s="2907"/>
      <c r="L125" s="2908"/>
      <c r="M125" s="2907"/>
      <c r="N125" s="2907"/>
      <c r="O125" s="2908"/>
      <c r="P125" s="2907"/>
      <c r="Q125" s="2907"/>
      <c r="R125" s="2909"/>
    </row>
    <row r="126" s="2425" customFormat="1" spans="2:18">
      <c r="B126" s="2907"/>
      <c r="C126" s="2907"/>
      <c r="D126" s="2907"/>
      <c r="E126" s="2907"/>
      <c r="F126" s="2907"/>
      <c r="G126" s="2908"/>
      <c r="H126" s="2907"/>
      <c r="I126" s="2908"/>
      <c r="J126" s="2907"/>
      <c r="K126" s="2907"/>
      <c r="L126" s="2908"/>
      <c r="M126" s="2907"/>
      <c r="N126" s="2907"/>
      <c r="O126" s="2908"/>
      <c r="P126" s="2907"/>
      <c r="Q126" s="2907"/>
      <c r="R126" s="2909"/>
    </row>
    <row r="127" s="2425" customFormat="1" spans="2:18">
      <c r="B127" s="2907"/>
      <c r="C127" s="2907"/>
      <c r="D127" s="2907"/>
      <c r="E127" s="2907"/>
      <c r="F127" s="2907"/>
      <c r="G127" s="2908"/>
      <c r="H127" s="2907"/>
      <c r="I127" s="2908"/>
      <c r="J127" s="2907"/>
      <c r="K127" s="2907"/>
      <c r="L127" s="2908"/>
      <c r="M127" s="2907"/>
      <c r="N127" s="2907"/>
      <c r="O127" s="2908"/>
      <c r="P127" s="2907"/>
      <c r="Q127" s="2907"/>
      <c r="R127" s="2909"/>
    </row>
    <row r="128" s="2425" customFormat="1" spans="2:18">
      <c r="B128" s="2907"/>
      <c r="C128" s="2907"/>
      <c r="D128" s="2907"/>
      <c r="E128" s="2907"/>
      <c r="F128" s="2907"/>
      <c r="G128" s="2908"/>
      <c r="H128" s="2907"/>
      <c r="I128" s="2908"/>
      <c r="J128" s="2907"/>
      <c r="K128" s="2907"/>
      <c r="L128" s="2908"/>
      <c r="M128" s="2907"/>
      <c r="N128" s="2907"/>
      <c r="O128" s="2908"/>
      <c r="P128" s="2907"/>
      <c r="Q128" s="2907"/>
      <c r="R128" s="2909"/>
    </row>
    <row r="129" s="2425" customFormat="1" spans="2:18">
      <c r="B129" s="2907"/>
      <c r="C129" s="2907"/>
      <c r="D129" s="2907"/>
      <c r="E129" s="2907"/>
      <c r="F129" s="2907"/>
      <c r="G129" s="2908"/>
      <c r="H129" s="2907"/>
      <c r="I129" s="2908"/>
      <c r="J129" s="2907"/>
      <c r="K129" s="2907"/>
      <c r="L129" s="2908"/>
      <c r="M129" s="2907"/>
      <c r="N129" s="2907"/>
      <c r="O129" s="2908"/>
      <c r="P129" s="2907"/>
      <c r="Q129" s="2907"/>
      <c r="R129" s="2909"/>
    </row>
    <row r="130" s="2425" customFormat="1" spans="2:18">
      <c r="B130" s="2907"/>
      <c r="C130" s="2907"/>
      <c r="D130" s="2907"/>
      <c r="E130" s="2907"/>
      <c r="F130" s="2907"/>
      <c r="G130" s="2908"/>
      <c r="H130" s="2907"/>
      <c r="I130" s="2908"/>
      <c r="J130" s="2907"/>
      <c r="K130" s="2907"/>
      <c r="L130" s="2908"/>
      <c r="M130" s="2907"/>
      <c r="N130" s="2907"/>
      <c r="O130" s="2908"/>
      <c r="P130" s="2907"/>
      <c r="Q130" s="2907"/>
      <c r="R130" s="2909"/>
    </row>
    <row r="131" s="2425" customFormat="1" spans="2:18">
      <c r="B131" s="2907"/>
      <c r="C131" s="2907"/>
      <c r="D131" s="2907"/>
      <c r="E131" s="2907"/>
      <c r="F131" s="2907"/>
      <c r="G131" s="2908"/>
      <c r="H131" s="2907"/>
      <c r="I131" s="2908"/>
      <c r="J131" s="2907"/>
      <c r="K131" s="2907"/>
      <c r="L131" s="2908"/>
      <c r="M131" s="2907"/>
      <c r="N131" s="2907"/>
      <c r="O131" s="2908"/>
      <c r="P131" s="2907"/>
      <c r="Q131" s="2907"/>
      <c r="R131" s="2909"/>
    </row>
    <row r="132" s="2425" customFormat="1" spans="2:18">
      <c r="B132" s="2907"/>
      <c r="C132" s="2907"/>
      <c r="D132" s="2907"/>
      <c r="E132" s="2907"/>
      <c r="F132" s="2907"/>
      <c r="G132" s="2908"/>
      <c r="H132" s="2907"/>
      <c r="I132" s="2908"/>
      <c r="J132" s="2907"/>
      <c r="K132" s="2907"/>
      <c r="L132" s="2908"/>
      <c r="M132" s="2907"/>
      <c r="N132" s="2907"/>
      <c r="O132" s="2908"/>
      <c r="P132" s="2907"/>
      <c r="Q132" s="2907"/>
      <c r="R132" s="2909"/>
    </row>
    <row r="133" s="2425" customFormat="1" spans="2:18">
      <c r="B133" s="2907"/>
      <c r="C133" s="2907"/>
      <c r="D133" s="2907"/>
      <c r="E133" s="2907"/>
      <c r="F133" s="2907"/>
      <c r="G133" s="2908"/>
      <c r="H133" s="2907"/>
      <c r="I133" s="2908"/>
      <c r="J133" s="2907"/>
      <c r="K133" s="2907"/>
      <c r="L133" s="2908"/>
      <c r="M133" s="2907"/>
      <c r="N133" s="2907"/>
      <c r="O133" s="2908"/>
      <c r="P133" s="2907"/>
      <c r="Q133" s="2907"/>
      <c r="R133" s="2909"/>
    </row>
    <row r="134" s="2425" customFormat="1" spans="2:18">
      <c r="B134" s="2907"/>
      <c r="C134" s="2907"/>
      <c r="D134" s="2907"/>
      <c r="E134" s="2907"/>
      <c r="F134" s="2907"/>
      <c r="G134" s="2908"/>
      <c r="H134" s="2907"/>
      <c r="I134" s="2908"/>
      <c r="J134" s="2907"/>
      <c r="K134" s="2907"/>
      <c r="L134" s="2908"/>
      <c r="M134" s="2907"/>
      <c r="N134" s="2907"/>
      <c r="O134" s="2908"/>
      <c r="P134" s="2907"/>
      <c r="Q134" s="2907"/>
      <c r="R134" s="2909"/>
    </row>
    <row r="135" s="2425" customFormat="1" spans="2:18">
      <c r="B135" s="2907"/>
      <c r="C135" s="2907"/>
      <c r="D135" s="2907"/>
      <c r="E135" s="2907"/>
      <c r="F135" s="2907"/>
      <c r="G135" s="2908"/>
      <c r="H135" s="2907"/>
      <c r="I135" s="2908"/>
      <c r="J135" s="2907"/>
      <c r="K135" s="2907"/>
      <c r="L135" s="2908"/>
      <c r="M135" s="2907"/>
      <c r="N135" s="2907"/>
      <c r="O135" s="2908"/>
      <c r="P135" s="2907"/>
      <c r="Q135" s="2907"/>
      <c r="R135" s="2909"/>
    </row>
    <row r="136" s="2425" customFormat="1" spans="2:18">
      <c r="B136" s="2907"/>
      <c r="C136" s="2907"/>
      <c r="D136" s="2907"/>
      <c r="E136" s="2907"/>
      <c r="F136" s="2907"/>
      <c r="G136" s="2908"/>
      <c r="H136" s="2907"/>
      <c r="I136" s="2908"/>
      <c r="J136" s="2907"/>
      <c r="K136" s="2907"/>
      <c r="L136" s="2908"/>
      <c r="M136" s="2907"/>
      <c r="N136" s="2907"/>
      <c r="O136" s="2908"/>
      <c r="P136" s="2907"/>
      <c r="Q136" s="2907"/>
      <c r="R136" s="2909"/>
    </row>
    <row r="137" s="2425" customFormat="1" spans="2:18">
      <c r="B137" s="2907"/>
      <c r="C137" s="2907"/>
      <c r="D137" s="2907"/>
      <c r="E137" s="2907"/>
      <c r="F137" s="2907"/>
      <c r="G137" s="2908"/>
      <c r="H137" s="2907"/>
      <c r="I137" s="2908"/>
      <c r="J137" s="2907"/>
      <c r="K137" s="2907"/>
      <c r="L137" s="2908"/>
      <c r="M137" s="2907"/>
      <c r="N137" s="2907"/>
      <c r="O137" s="2908"/>
      <c r="P137" s="2907"/>
      <c r="Q137" s="2907"/>
      <c r="R137" s="2909"/>
    </row>
    <row r="138" s="2425" customFormat="1" spans="2:18">
      <c r="B138" s="2907"/>
      <c r="C138" s="2907"/>
      <c r="D138" s="2907"/>
      <c r="E138" s="2907"/>
      <c r="F138" s="2907"/>
      <c r="G138" s="2908"/>
      <c r="H138" s="2907"/>
      <c r="I138" s="2908"/>
      <c r="J138" s="2907"/>
      <c r="K138" s="2907"/>
      <c r="L138" s="2908"/>
      <c r="M138" s="2907"/>
      <c r="N138" s="2907"/>
      <c r="O138" s="2908"/>
      <c r="P138" s="2907"/>
      <c r="Q138" s="2907"/>
      <c r="R138" s="2909"/>
    </row>
    <row r="139" s="2425" customFormat="1" spans="2:18">
      <c r="B139" s="2907"/>
      <c r="C139" s="2907"/>
      <c r="D139" s="2907"/>
      <c r="E139" s="2907"/>
      <c r="F139" s="2907"/>
      <c r="G139" s="2908"/>
      <c r="H139" s="2907"/>
      <c r="I139" s="2908"/>
      <c r="J139" s="2907"/>
      <c r="K139" s="2907"/>
      <c r="L139" s="2908"/>
      <c r="M139" s="2907"/>
      <c r="N139" s="2907"/>
      <c r="O139" s="2908"/>
      <c r="P139" s="2907"/>
      <c r="Q139" s="2907"/>
      <c r="R139" s="2909"/>
    </row>
    <row r="140" s="2425" customFormat="1" spans="2:18">
      <c r="B140" s="2907"/>
      <c r="C140" s="2907"/>
      <c r="D140" s="2907"/>
      <c r="E140" s="2907"/>
      <c r="F140" s="2907"/>
      <c r="G140" s="2908"/>
      <c r="H140" s="2907"/>
      <c r="I140" s="2908"/>
      <c r="J140" s="2907"/>
      <c r="K140" s="2907"/>
      <c r="L140" s="2908"/>
      <c r="M140" s="2907"/>
      <c r="N140" s="2907"/>
      <c r="O140" s="2908"/>
      <c r="P140" s="2907"/>
      <c r="Q140" s="2907"/>
      <c r="R140" s="2909"/>
    </row>
    <row r="141" s="2425" customFormat="1" spans="2:18">
      <c r="B141" s="2907"/>
      <c r="C141" s="2907"/>
      <c r="D141" s="2907"/>
      <c r="E141" s="2907"/>
      <c r="F141" s="2907"/>
      <c r="G141" s="2908"/>
      <c r="H141" s="2907"/>
      <c r="I141" s="2908"/>
      <c r="J141" s="2907"/>
      <c r="K141" s="2907"/>
      <c r="L141" s="2908"/>
      <c r="M141" s="2907"/>
      <c r="N141" s="2907"/>
      <c r="O141" s="2908"/>
      <c r="P141" s="2907"/>
      <c r="Q141" s="2907"/>
      <c r="R141" s="2909"/>
    </row>
    <row r="142" s="2425" customFormat="1" spans="2:18">
      <c r="B142" s="2907"/>
      <c r="C142" s="2907"/>
      <c r="D142" s="2907"/>
      <c r="E142" s="2907"/>
      <c r="F142" s="2907"/>
      <c r="G142" s="2908"/>
      <c r="H142" s="2907"/>
      <c r="I142" s="2908"/>
      <c r="J142" s="2907"/>
      <c r="K142" s="2907"/>
      <c r="L142" s="2908"/>
      <c r="M142" s="2907"/>
      <c r="N142" s="2907"/>
      <c r="O142" s="2908"/>
      <c r="P142" s="2907"/>
      <c r="Q142" s="2907"/>
      <c r="R142" s="2909"/>
    </row>
    <row r="143" s="2425" customFormat="1" spans="2:18">
      <c r="B143" s="2907"/>
      <c r="C143" s="2907"/>
      <c r="D143" s="2907"/>
      <c r="E143" s="2907"/>
      <c r="F143" s="2907"/>
      <c r="G143" s="2908"/>
      <c r="H143" s="2907"/>
      <c r="I143" s="2908"/>
      <c r="J143" s="2907"/>
      <c r="K143" s="2907"/>
      <c r="L143" s="2908"/>
      <c r="M143" s="2907"/>
      <c r="N143" s="2907"/>
      <c r="O143" s="2908"/>
      <c r="P143" s="2907"/>
      <c r="Q143" s="2907"/>
      <c r="R143" s="2909"/>
    </row>
    <row r="144" s="2425" customFormat="1" spans="2:18">
      <c r="B144" s="2907"/>
      <c r="C144" s="2907"/>
      <c r="D144" s="2907"/>
      <c r="E144" s="2907"/>
      <c r="F144" s="2907"/>
      <c r="G144" s="2908"/>
      <c r="H144" s="2907"/>
      <c r="I144" s="2908"/>
      <c r="J144" s="2907"/>
      <c r="K144" s="2907"/>
      <c r="L144" s="2908"/>
      <c r="M144" s="2907"/>
      <c r="N144" s="2907"/>
      <c r="O144" s="2908"/>
      <c r="P144" s="2907"/>
      <c r="Q144" s="2907"/>
      <c r="R144" s="2909"/>
    </row>
    <row r="145" s="2425" customFormat="1" spans="2:18">
      <c r="B145" s="2907"/>
      <c r="C145" s="2907"/>
      <c r="D145" s="2907"/>
      <c r="E145" s="2907"/>
      <c r="F145" s="2907"/>
      <c r="G145" s="2908"/>
      <c r="H145" s="2907"/>
      <c r="I145" s="2908"/>
      <c r="J145" s="2907"/>
      <c r="K145" s="2907"/>
      <c r="L145" s="2908"/>
      <c r="M145" s="2907"/>
      <c r="N145" s="2907"/>
      <c r="O145" s="2908"/>
      <c r="P145" s="2907"/>
      <c r="Q145" s="2907"/>
      <c r="R145" s="2909"/>
    </row>
    <row r="146" s="2425" customFormat="1" spans="2:18">
      <c r="B146" s="2907"/>
      <c r="C146" s="2907"/>
      <c r="D146" s="2907"/>
      <c r="E146" s="2907"/>
      <c r="F146" s="2907"/>
      <c r="G146" s="2908"/>
      <c r="H146" s="2907"/>
      <c r="I146" s="2908"/>
      <c r="J146" s="2907"/>
      <c r="K146" s="2907"/>
      <c r="L146" s="2908"/>
      <c r="M146" s="2907"/>
      <c r="N146" s="2907"/>
      <c r="O146" s="2908"/>
      <c r="P146" s="2907"/>
      <c r="Q146" s="2907"/>
      <c r="R146" s="2909"/>
    </row>
    <row r="147" s="2425" customFormat="1" spans="2:18">
      <c r="B147" s="2907"/>
      <c r="C147" s="2907"/>
      <c r="D147" s="2907"/>
      <c r="E147" s="2907"/>
      <c r="F147" s="2907"/>
      <c r="G147" s="2908"/>
      <c r="H147" s="2907"/>
      <c r="I147" s="2908"/>
      <c r="J147" s="2907"/>
      <c r="K147" s="2907"/>
      <c r="L147" s="2908"/>
      <c r="M147" s="2907"/>
      <c r="N147" s="2907"/>
      <c r="O147" s="2908"/>
      <c r="P147" s="2907"/>
      <c r="Q147" s="2907"/>
      <c r="R147" s="2909"/>
    </row>
    <row r="148" s="2425" customFormat="1" spans="2:18">
      <c r="B148" s="2907"/>
      <c r="C148" s="2907"/>
      <c r="D148" s="2907"/>
      <c r="E148" s="2907"/>
      <c r="F148" s="2907"/>
      <c r="G148" s="2908"/>
      <c r="H148" s="2907"/>
      <c r="I148" s="2908"/>
      <c r="J148" s="2907"/>
      <c r="K148" s="2907"/>
      <c r="L148" s="2908"/>
      <c r="M148" s="2907"/>
      <c r="N148" s="2907"/>
      <c r="O148" s="2908"/>
      <c r="P148" s="2907"/>
      <c r="Q148" s="2907"/>
      <c r="R148" s="2909"/>
    </row>
    <row r="149" s="2425" customFormat="1" spans="2:18">
      <c r="B149" s="2907"/>
      <c r="C149" s="2907"/>
      <c r="D149" s="2907"/>
      <c r="E149" s="2907"/>
      <c r="F149" s="2907"/>
      <c r="G149" s="2908"/>
      <c r="H149" s="2907"/>
      <c r="I149" s="2908"/>
      <c r="J149" s="2907"/>
      <c r="K149" s="2907"/>
      <c r="L149" s="2908"/>
      <c r="M149" s="2907"/>
      <c r="N149" s="2907"/>
      <c r="O149" s="2908"/>
      <c r="P149" s="2907"/>
      <c r="Q149" s="2907"/>
      <c r="R149" s="2909"/>
    </row>
    <row r="150" s="2425" customFormat="1" spans="2:18">
      <c r="B150" s="2907"/>
      <c r="C150" s="2907"/>
      <c r="D150" s="2907"/>
      <c r="E150" s="2907"/>
      <c r="F150" s="2907"/>
      <c r="G150" s="2908"/>
      <c r="H150" s="2907"/>
      <c r="I150" s="2908"/>
      <c r="J150" s="2907"/>
      <c r="K150" s="2907"/>
      <c r="L150" s="2908"/>
      <c r="M150" s="2907"/>
      <c r="N150" s="2907"/>
      <c r="O150" s="2908"/>
      <c r="P150" s="2907"/>
      <c r="Q150" s="2907"/>
      <c r="R150" s="2909"/>
    </row>
    <row r="151" s="2425" customFormat="1" spans="2:18">
      <c r="B151" s="2907"/>
      <c r="C151" s="2907"/>
      <c r="D151" s="2907"/>
      <c r="E151" s="2907"/>
      <c r="F151" s="2907"/>
      <c r="G151" s="2908"/>
      <c r="H151" s="2907"/>
      <c r="I151" s="2908"/>
      <c r="J151" s="2907"/>
      <c r="K151" s="2907"/>
      <c r="L151" s="2908"/>
      <c r="M151" s="2907"/>
      <c r="N151" s="2907"/>
      <c r="O151" s="2908"/>
      <c r="P151" s="2907"/>
      <c r="Q151" s="2907"/>
      <c r="R151" s="2909"/>
    </row>
    <row r="152" s="2425" customFormat="1" spans="2:18">
      <c r="B152" s="2907"/>
      <c r="C152" s="2907"/>
      <c r="D152" s="2907"/>
      <c r="E152" s="2907"/>
      <c r="F152" s="2907"/>
      <c r="G152" s="2908"/>
      <c r="H152" s="2907"/>
      <c r="I152" s="2908"/>
      <c r="J152" s="2907"/>
      <c r="K152" s="2907"/>
      <c r="L152" s="2908"/>
      <c r="M152" s="2907"/>
      <c r="N152" s="2907"/>
      <c r="O152" s="2908"/>
      <c r="P152" s="2907"/>
      <c r="Q152" s="2907"/>
      <c r="R152" s="2909"/>
    </row>
    <row r="153" s="2425" customFormat="1" spans="2:18">
      <c r="B153" s="2907"/>
      <c r="C153" s="2907"/>
      <c r="D153" s="2907"/>
      <c r="E153" s="2907"/>
      <c r="F153" s="2907"/>
      <c r="G153" s="2908"/>
      <c r="H153" s="2907"/>
      <c r="I153" s="2908"/>
      <c r="J153" s="2907"/>
      <c r="K153" s="2907"/>
      <c r="L153" s="2908"/>
      <c r="M153" s="2907"/>
      <c r="N153" s="2907"/>
      <c r="O153" s="2908"/>
      <c r="P153" s="2907"/>
      <c r="Q153" s="2907"/>
      <c r="R153" s="2909"/>
    </row>
    <row r="154" s="2425" customFormat="1" spans="2:18">
      <c r="B154" s="2907"/>
      <c r="C154" s="2907"/>
      <c r="D154" s="2907"/>
      <c r="E154" s="2907"/>
      <c r="F154" s="2907"/>
      <c r="G154" s="2908"/>
      <c r="H154" s="2907"/>
      <c r="I154" s="2908"/>
      <c r="J154" s="2907"/>
      <c r="K154" s="2907"/>
      <c r="L154" s="2908"/>
      <c r="M154" s="2907"/>
      <c r="N154" s="2907"/>
      <c r="O154" s="2908"/>
      <c r="P154" s="2907"/>
      <c r="Q154" s="2907"/>
      <c r="R154" s="2909"/>
    </row>
    <row r="155" s="2425" customFormat="1" spans="2:18">
      <c r="B155" s="2907"/>
      <c r="C155" s="2907"/>
      <c r="D155" s="2907"/>
      <c r="E155" s="2907"/>
      <c r="F155" s="2907"/>
      <c r="G155" s="2908"/>
      <c r="H155" s="2907"/>
      <c r="I155" s="2908"/>
      <c r="J155" s="2907"/>
      <c r="K155" s="2907"/>
      <c r="L155" s="2908"/>
      <c r="M155" s="2907"/>
      <c r="N155" s="2907"/>
      <c r="O155" s="2908"/>
      <c r="P155" s="2907"/>
      <c r="Q155" s="2907"/>
      <c r="R155" s="2909"/>
    </row>
    <row r="156" s="2425" customFormat="1" spans="2:18">
      <c r="B156" s="2907"/>
      <c r="C156" s="2907"/>
      <c r="D156" s="2907"/>
      <c r="E156" s="2907"/>
      <c r="F156" s="2907"/>
      <c r="G156" s="2908"/>
      <c r="H156" s="2907"/>
      <c r="I156" s="2908"/>
      <c r="J156" s="2907"/>
      <c r="K156" s="2907"/>
      <c r="L156" s="2908"/>
      <c r="M156" s="2907"/>
      <c r="N156" s="2907"/>
      <c r="O156" s="2908"/>
      <c r="P156" s="2907"/>
      <c r="Q156" s="2907"/>
      <c r="R156" s="2909"/>
    </row>
    <row r="157" s="2425" customFormat="1" spans="2:18">
      <c r="B157" s="2907"/>
      <c r="C157" s="2907"/>
      <c r="D157" s="2907"/>
      <c r="E157" s="2907"/>
      <c r="F157" s="2907"/>
      <c r="G157" s="2908"/>
      <c r="H157" s="2907"/>
      <c r="I157" s="2908"/>
      <c r="J157" s="2907"/>
      <c r="K157" s="2907"/>
      <c r="L157" s="2908"/>
      <c r="M157" s="2907"/>
      <c r="N157" s="2907"/>
      <c r="O157" s="2908"/>
      <c r="P157" s="2907"/>
      <c r="Q157" s="2907"/>
      <c r="R157" s="2909"/>
    </row>
    <row r="158" s="2425" customFormat="1" spans="2:18">
      <c r="B158" s="2907"/>
      <c r="C158" s="2907"/>
      <c r="D158" s="2907"/>
      <c r="E158" s="2907"/>
      <c r="F158" s="2907"/>
      <c r="G158" s="2908"/>
      <c r="H158" s="2907"/>
      <c r="I158" s="2908"/>
      <c r="J158" s="2907"/>
      <c r="K158" s="2907"/>
      <c r="L158" s="2908"/>
      <c r="M158" s="2907"/>
      <c r="N158" s="2907"/>
      <c r="O158" s="2908"/>
      <c r="P158" s="2907"/>
      <c r="Q158" s="2907"/>
      <c r="R158" s="2909"/>
    </row>
    <row r="159" s="2425" customFormat="1" spans="2:18">
      <c r="B159" s="2907"/>
      <c r="C159" s="2907"/>
      <c r="D159" s="2907"/>
      <c r="E159" s="2907"/>
      <c r="F159" s="2907"/>
      <c r="G159" s="2908"/>
      <c r="H159" s="2907"/>
      <c r="I159" s="2908"/>
      <c r="J159" s="2907"/>
      <c r="K159" s="2907"/>
      <c r="L159" s="2908"/>
      <c r="M159" s="2907"/>
      <c r="N159" s="2907"/>
      <c r="O159" s="2908"/>
      <c r="P159" s="2907"/>
      <c r="Q159" s="2907"/>
      <c r="R159" s="2909"/>
    </row>
    <row r="160" s="2425" customFormat="1" spans="2:18">
      <c r="B160" s="2907"/>
      <c r="C160" s="2907"/>
      <c r="D160" s="2907"/>
      <c r="E160" s="2907"/>
      <c r="F160" s="2907"/>
      <c r="G160" s="2908"/>
      <c r="H160" s="2907"/>
      <c r="I160" s="2908"/>
      <c r="J160" s="2907"/>
      <c r="K160" s="2907"/>
      <c r="L160" s="2908"/>
      <c r="M160" s="2907"/>
      <c r="N160" s="2907"/>
      <c r="O160" s="2908"/>
      <c r="P160" s="2907"/>
      <c r="Q160" s="2907"/>
      <c r="R160" s="2909"/>
    </row>
    <row r="161" s="2425" customFormat="1" spans="2:18">
      <c r="B161" s="2907"/>
      <c r="C161" s="2907"/>
      <c r="D161" s="2907"/>
      <c r="E161" s="2907"/>
      <c r="F161" s="2907"/>
      <c r="G161" s="2908"/>
      <c r="H161" s="2907"/>
      <c r="I161" s="2908"/>
      <c r="J161" s="2907"/>
      <c r="K161" s="2907"/>
      <c r="L161" s="2908"/>
      <c r="M161" s="2907"/>
      <c r="N161" s="2907"/>
      <c r="O161" s="2908"/>
      <c r="P161" s="2907"/>
      <c r="Q161" s="2907"/>
      <c r="R161" s="2909"/>
    </row>
    <row r="162" s="2425" customFormat="1" spans="2:18">
      <c r="B162" s="2907"/>
      <c r="C162" s="2907"/>
      <c r="D162" s="2907"/>
      <c r="E162" s="2907"/>
      <c r="F162" s="2907"/>
      <c r="G162" s="2908"/>
      <c r="H162" s="2907"/>
      <c r="I162" s="2908"/>
      <c r="J162" s="2907"/>
      <c r="K162" s="2907"/>
      <c r="L162" s="2908"/>
      <c r="M162" s="2907"/>
      <c r="N162" s="2907"/>
      <c r="O162" s="2908"/>
      <c r="P162" s="2907"/>
      <c r="Q162" s="2907"/>
      <c r="R162" s="2909"/>
    </row>
    <row r="163" s="2425" customFormat="1" spans="2:18">
      <c r="B163" s="2907"/>
      <c r="C163" s="2907"/>
      <c r="D163" s="2907"/>
      <c r="E163" s="2907"/>
      <c r="F163" s="2907"/>
      <c r="G163" s="2908"/>
      <c r="H163" s="2907"/>
      <c r="I163" s="2908"/>
      <c r="J163" s="2907"/>
      <c r="K163" s="2907"/>
      <c r="L163" s="2908"/>
      <c r="M163" s="2907"/>
      <c r="N163" s="2907"/>
      <c r="O163" s="2908"/>
      <c r="P163" s="2907"/>
      <c r="Q163" s="2907"/>
      <c r="R163" s="2909"/>
    </row>
    <row r="164" s="2425" customFormat="1" spans="2:18">
      <c r="B164" s="2907"/>
      <c r="C164" s="2907"/>
      <c r="D164" s="2907"/>
      <c r="E164" s="2907"/>
      <c r="F164" s="2907"/>
      <c r="G164" s="2908"/>
      <c r="H164" s="2907"/>
      <c r="I164" s="2908"/>
      <c r="J164" s="2907"/>
      <c r="K164" s="2907"/>
      <c r="L164" s="2908"/>
      <c r="M164" s="2907"/>
      <c r="N164" s="2907"/>
      <c r="O164" s="2908"/>
      <c r="P164" s="2907"/>
      <c r="Q164" s="2907"/>
      <c r="R164" s="2909"/>
    </row>
    <row r="165" s="2425" customFormat="1" spans="2:18">
      <c r="B165" s="2907"/>
      <c r="C165" s="2907"/>
      <c r="D165" s="2907"/>
      <c r="E165" s="2907"/>
      <c r="F165" s="2907"/>
      <c r="G165" s="2908"/>
      <c r="H165" s="2907"/>
      <c r="I165" s="2908"/>
      <c r="J165" s="2907"/>
      <c r="K165" s="2907"/>
      <c r="L165" s="2908"/>
      <c r="M165" s="2907"/>
      <c r="N165" s="2907"/>
      <c r="O165" s="2908"/>
      <c r="P165" s="2907"/>
      <c r="Q165" s="2907"/>
      <c r="R165" s="2909"/>
    </row>
    <row r="166" s="2425" customFormat="1" spans="2:18">
      <c r="B166" s="2907"/>
      <c r="C166" s="2907"/>
      <c r="D166" s="2907"/>
      <c r="E166" s="2907"/>
      <c r="F166" s="2907"/>
      <c r="G166" s="2908"/>
      <c r="H166" s="2907"/>
      <c r="I166" s="2908"/>
      <c r="J166" s="2907"/>
      <c r="K166" s="2907"/>
      <c r="L166" s="2908"/>
      <c r="M166" s="2907"/>
      <c r="N166" s="2907"/>
      <c r="O166" s="2908"/>
      <c r="P166" s="2907"/>
      <c r="Q166" s="2907"/>
      <c r="R166" s="2909"/>
    </row>
    <row r="167" s="2425" customFormat="1" spans="2:18">
      <c r="B167" s="2907"/>
      <c r="C167" s="2907"/>
      <c r="D167" s="2907"/>
      <c r="E167" s="2907"/>
      <c r="F167" s="2907"/>
      <c r="G167" s="2908"/>
      <c r="H167" s="2907"/>
      <c r="I167" s="2908"/>
      <c r="J167" s="2907"/>
      <c r="K167" s="2907"/>
      <c r="L167" s="2908"/>
      <c r="M167" s="2907"/>
      <c r="N167" s="2907"/>
      <c r="O167" s="2908"/>
      <c r="P167" s="2907"/>
      <c r="Q167" s="2907"/>
      <c r="R167" s="2909"/>
    </row>
    <row r="168" s="2425" customFormat="1" spans="2:18">
      <c r="B168" s="2907"/>
      <c r="C168" s="2907"/>
      <c r="D168" s="2907"/>
      <c r="E168" s="2907"/>
      <c r="F168" s="2907"/>
      <c r="G168" s="2908"/>
      <c r="H168" s="2907"/>
      <c r="I168" s="2908"/>
      <c r="J168" s="2907"/>
      <c r="K168" s="2907"/>
      <c r="L168" s="2908"/>
      <c r="M168" s="2907"/>
      <c r="N168" s="2907"/>
      <c r="O168" s="2908"/>
      <c r="P168" s="2907"/>
      <c r="Q168" s="2907"/>
      <c r="R168" s="2909"/>
    </row>
    <row r="169" s="2425" customFormat="1" spans="2:18">
      <c r="B169" s="2907"/>
      <c r="C169" s="2907"/>
      <c r="D169" s="2907"/>
      <c r="E169" s="2907"/>
      <c r="F169" s="2907"/>
      <c r="G169" s="2908"/>
      <c r="H169" s="2907"/>
      <c r="I169" s="2908"/>
      <c r="J169" s="2907"/>
      <c r="K169" s="2907"/>
      <c r="L169" s="2908"/>
      <c r="M169" s="2907"/>
      <c r="N169" s="2907"/>
      <c r="O169" s="2908"/>
      <c r="P169" s="2907"/>
      <c r="Q169" s="2907"/>
      <c r="R169" s="2909"/>
    </row>
    <row r="170" s="2425" customFormat="1" spans="2:18">
      <c r="B170" s="2907"/>
      <c r="C170" s="2907"/>
      <c r="D170" s="2907"/>
      <c r="E170" s="2907"/>
      <c r="F170" s="2907"/>
      <c r="G170" s="2908"/>
      <c r="H170" s="2907"/>
      <c r="I170" s="2908"/>
      <c r="J170" s="2907"/>
      <c r="K170" s="2907"/>
      <c r="L170" s="2908"/>
      <c r="M170" s="2907"/>
      <c r="N170" s="2907"/>
      <c r="O170" s="2908"/>
      <c r="P170" s="2907"/>
      <c r="Q170" s="2907"/>
      <c r="R170" s="2909"/>
    </row>
    <row r="171" s="2425" customFormat="1" spans="2:18">
      <c r="B171" s="2907"/>
      <c r="C171" s="2907"/>
      <c r="D171" s="2907"/>
      <c r="E171" s="2907"/>
      <c r="F171" s="2907"/>
      <c r="G171" s="2908"/>
      <c r="H171" s="2907"/>
      <c r="I171" s="2908"/>
      <c r="J171" s="2907"/>
      <c r="K171" s="2907"/>
      <c r="L171" s="2908"/>
      <c r="M171" s="2907"/>
      <c r="N171" s="2907"/>
      <c r="O171" s="2908"/>
      <c r="P171" s="2907"/>
      <c r="Q171" s="2907"/>
      <c r="R171" s="2909"/>
    </row>
    <row r="172" s="2425" customFormat="1" spans="2:18">
      <c r="B172" s="2907"/>
      <c r="C172" s="2907"/>
      <c r="D172" s="2907"/>
      <c r="E172" s="2907"/>
      <c r="F172" s="2907"/>
      <c r="G172" s="2908"/>
      <c r="H172" s="2907"/>
      <c r="I172" s="2908"/>
      <c r="J172" s="2907"/>
      <c r="K172" s="2907"/>
      <c r="L172" s="2908"/>
      <c r="M172" s="2907"/>
      <c r="N172" s="2907"/>
      <c r="O172" s="2908"/>
      <c r="P172" s="2907"/>
      <c r="Q172" s="2907"/>
      <c r="R172" s="2909"/>
    </row>
    <row r="173" s="2425" customFormat="1" spans="2:18">
      <c r="B173" s="2907"/>
      <c r="C173" s="2907"/>
      <c r="D173" s="2907"/>
      <c r="E173" s="2907"/>
      <c r="F173" s="2907"/>
      <c r="G173" s="2908"/>
      <c r="H173" s="2907"/>
      <c r="I173" s="2908"/>
      <c r="J173" s="2907"/>
      <c r="K173" s="2907"/>
      <c r="L173" s="2908"/>
      <c r="M173" s="2907"/>
      <c r="N173" s="2907"/>
      <c r="O173" s="2908"/>
      <c r="P173" s="2907"/>
      <c r="Q173" s="2907"/>
      <c r="R173" s="2909"/>
    </row>
    <row r="174" s="2425" customFormat="1" spans="2:18">
      <c r="B174" s="2907"/>
      <c r="C174" s="2907"/>
      <c r="D174" s="2907"/>
      <c r="E174" s="2907"/>
      <c r="F174" s="2907"/>
      <c r="G174" s="2908"/>
      <c r="H174" s="2907"/>
      <c r="I174" s="2908"/>
      <c r="J174" s="2907"/>
      <c r="K174" s="2907"/>
      <c r="L174" s="2908"/>
      <c r="M174" s="2907"/>
      <c r="N174" s="2907"/>
      <c r="O174" s="2908"/>
      <c r="P174" s="2907"/>
      <c r="Q174" s="2907"/>
      <c r="R174" s="2909"/>
    </row>
    <row r="175" s="2425" customFormat="1" spans="2:18">
      <c r="B175" s="2907"/>
      <c r="C175" s="2907"/>
      <c r="D175" s="2907"/>
      <c r="E175" s="2907"/>
      <c r="F175" s="2907"/>
      <c r="G175" s="2908"/>
      <c r="H175" s="2907"/>
      <c r="I175" s="2908"/>
      <c r="J175" s="2907"/>
      <c r="K175" s="2907"/>
      <c r="L175" s="2908"/>
      <c r="M175" s="2907"/>
      <c r="N175" s="2907"/>
      <c r="O175" s="2908"/>
      <c r="P175" s="2907"/>
      <c r="Q175" s="2907"/>
      <c r="R175" s="2909"/>
    </row>
    <row r="176" s="2425" customFormat="1" spans="2:18">
      <c r="B176" s="2907"/>
      <c r="C176" s="2907"/>
      <c r="D176" s="2907"/>
      <c r="E176" s="2907"/>
      <c r="F176" s="2907"/>
      <c r="G176" s="2908"/>
      <c r="H176" s="2907"/>
      <c r="I176" s="2908"/>
      <c r="J176" s="2907"/>
      <c r="K176" s="2907"/>
      <c r="L176" s="2908"/>
      <c r="M176" s="2907"/>
      <c r="N176" s="2907"/>
      <c r="O176" s="2908"/>
      <c r="P176" s="2907"/>
      <c r="Q176" s="2907"/>
      <c r="R176" s="2909"/>
    </row>
    <row r="177" s="2425" customFormat="1" spans="2:18">
      <c r="B177" s="2907"/>
      <c r="C177" s="2907"/>
      <c r="D177" s="2907"/>
      <c r="E177" s="2907"/>
      <c r="F177" s="2907"/>
      <c r="G177" s="2908"/>
      <c r="H177" s="2907"/>
      <c r="I177" s="2908"/>
      <c r="J177" s="2907"/>
      <c r="K177" s="2907"/>
      <c r="L177" s="2908"/>
      <c r="M177" s="2907"/>
      <c r="N177" s="2907"/>
      <c r="O177" s="2908"/>
      <c r="P177" s="2907"/>
      <c r="Q177" s="2907"/>
      <c r="R177" s="2909"/>
    </row>
    <row r="178" s="2425" customFormat="1" spans="2:18">
      <c r="B178" s="2907"/>
      <c r="C178" s="2907"/>
      <c r="D178" s="2907"/>
      <c r="E178" s="2907"/>
      <c r="F178" s="2907"/>
      <c r="G178" s="2908"/>
      <c r="H178" s="2907"/>
      <c r="I178" s="2908"/>
      <c r="J178" s="2907"/>
      <c r="K178" s="2907"/>
      <c r="L178" s="2908"/>
      <c r="M178" s="2907"/>
      <c r="N178" s="2907"/>
      <c r="O178" s="2908"/>
      <c r="P178" s="2907"/>
      <c r="Q178" s="2907"/>
      <c r="R178" s="2909"/>
    </row>
    <row r="179" s="2425" customFormat="1" spans="2:18">
      <c r="B179" s="2907"/>
      <c r="C179" s="2907"/>
      <c r="D179" s="2907"/>
      <c r="E179" s="2907"/>
      <c r="F179" s="2907"/>
      <c r="G179" s="2908"/>
      <c r="H179" s="2907"/>
      <c r="I179" s="2908"/>
      <c r="J179" s="2907"/>
      <c r="K179" s="2907"/>
      <c r="L179" s="2908"/>
      <c r="M179" s="2907"/>
      <c r="N179" s="2907"/>
      <c r="O179" s="2908"/>
      <c r="P179" s="2907"/>
      <c r="Q179" s="2907"/>
      <c r="R179" s="2909"/>
    </row>
    <row r="180" s="2425" customFormat="1" spans="2:18">
      <c r="B180" s="2907"/>
      <c r="C180" s="2907"/>
      <c r="D180" s="2907"/>
      <c r="E180" s="2907"/>
      <c r="F180" s="2907"/>
      <c r="G180" s="2908"/>
      <c r="H180" s="2907"/>
      <c r="I180" s="2908"/>
      <c r="J180" s="2907"/>
      <c r="K180" s="2907"/>
      <c r="L180" s="2908"/>
      <c r="M180" s="2907"/>
      <c r="N180" s="2907"/>
      <c r="O180" s="2908"/>
      <c r="P180" s="2907"/>
      <c r="Q180" s="2907"/>
      <c r="R180" s="2909"/>
    </row>
    <row r="181" s="2425" customFormat="1" spans="2:18">
      <c r="B181" s="2907"/>
      <c r="C181" s="2907"/>
      <c r="D181" s="2907"/>
      <c r="E181" s="2907"/>
      <c r="F181" s="2907"/>
      <c r="G181" s="2908"/>
      <c r="H181" s="2907"/>
      <c r="I181" s="2908"/>
      <c r="J181" s="2907"/>
      <c r="K181" s="2907"/>
      <c r="L181" s="2908"/>
      <c r="M181" s="2907"/>
      <c r="N181" s="2907"/>
      <c r="O181" s="2908"/>
      <c r="P181" s="2907"/>
      <c r="Q181" s="2907"/>
      <c r="R181" s="2909"/>
    </row>
    <row r="182" s="2425" customFormat="1" spans="2:18">
      <c r="B182" s="2907"/>
      <c r="C182" s="2907"/>
      <c r="D182" s="2907"/>
      <c r="E182" s="2907"/>
      <c r="F182" s="2907"/>
      <c r="G182" s="2908"/>
      <c r="H182" s="2907"/>
      <c r="I182" s="2908"/>
      <c r="J182" s="2907"/>
      <c r="K182" s="2907"/>
      <c r="L182" s="2908"/>
      <c r="M182" s="2907"/>
      <c r="N182" s="2907"/>
      <c r="O182" s="2908"/>
      <c r="P182" s="2907"/>
      <c r="Q182" s="2907"/>
      <c r="R182" s="2909"/>
    </row>
    <row r="183" s="2425" customFormat="1" spans="2:18">
      <c r="B183" s="2907"/>
      <c r="C183" s="2907"/>
      <c r="D183" s="2907"/>
      <c r="E183" s="2907"/>
      <c r="F183" s="2907"/>
      <c r="G183" s="2908"/>
      <c r="H183" s="2907"/>
      <c r="I183" s="2908"/>
      <c r="J183" s="2907"/>
      <c r="K183" s="2907"/>
      <c r="L183" s="2908"/>
      <c r="M183" s="2907"/>
      <c r="N183" s="2907"/>
      <c r="O183" s="2908"/>
      <c r="P183" s="2907"/>
      <c r="Q183" s="2907"/>
      <c r="R183" s="2909"/>
    </row>
    <row r="184" s="2425" customFormat="1" spans="2:18">
      <c r="B184" s="2907"/>
      <c r="C184" s="2907"/>
      <c r="D184" s="2907"/>
      <c r="E184" s="2907"/>
      <c r="F184" s="2907"/>
      <c r="G184" s="2908"/>
      <c r="H184" s="2907"/>
      <c r="I184" s="2908"/>
      <c r="J184" s="2907"/>
      <c r="K184" s="2907"/>
      <c r="L184" s="2908"/>
      <c r="M184" s="2907"/>
      <c r="N184" s="2907"/>
      <c r="O184" s="2908"/>
      <c r="P184" s="2907"/>
      <c r="Q184" s="2907"/>
      <c r="R184" s="2909"/>
    </row>
    <row r="185" s="2425" customFormat="1" spans="2:18">
      <c r="B185" s="2907"/>
      <c r="C185" s="2907"/>
      <c r="D185" s="2907"/>
      <c r="E185" s="2907"/>
      <c r="F185" s="2907"/>
      <c r="G185" s="2908"/>
      <c r="H185" s="2907"/>
      <c r="I185" s="2908"/>
      <c r="J185" s="2907"/>
      <c r="K185" s="2907"/>
      <c r="L185" s="2908"/>
      <c r="M185" s="2907"/>
      <c r="N185" s="2907"/>
      <c r="O185" s="2908"/>
      <c r="P185" s="2907"/>
      <c r="Q185" s="2907"/>
      <c r="R185" s="2909"/>
    </row>
    <row r="186" spans="1:7">
      <c r="A186" s="2425"/>
      <c r="B186" s="2907"/>
      <c r="C186" s="2907"/>
      <c r="E186" s="2907"/>
      <c r="F186" s="2907"/>
      <c r="G186" s="2908"/>
    </row>
    <row r="187" spans="1:7">
      <c r="A187" s="2425"/>
      <c r="B187" s="2907"/>
      <c r="C187" s="2907"/>
      <c r="E187" s="2907"/>
      <c r="F187" s="2907"/>
      <c r="G187" s="290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2885" customWidth="1"/>
    <col min="2" max="9" width="15.7777777777778" style="2885" customWidth="1"/>
    <col min="10" max="16384" width="9" style="2885"/>
  </cols>
  <sheetData>
    <row r="1" ht="16.2" spans="1:11">
      <c r="A1" s="2886" t="s">
        <v>743</v>
      </c>
      <c r="B1" s="2886">
        <f>SUM(B14:B23)</f>
        <v>10109.15</v>
      </c>
      <c r="C1" s="2887"/>
      <c r="D1" s="2887"/>
      <c r="E1" s="2887"/>
      <c r="F1" s="2887"/>
      <c r="G1" s="2888"/>
      <c r="H1" s="2889"/>
      <c r="I1" s="2889"/>
      <c r="J1" s="2889"/>
      <c r="K1" s="2889"/>
    </row>
    <row r="2" ht="16.2" spans="1:11">
      <c r="A2" s="2886" t="s">
        <v>744</v>
      </c>
      <c r="B2" s="2886">
        <f>SUM(C14:C23)</f>
        <v>3208.2</v>
      </c>
      <c r="C2" s="2887"/>
      <c r="D2" s="2887"/>
      <c r="E2" s="2887"/>
      <c r="F2" s="2887"/>
      <c r="G2" s="2888"/>
      <c r="H2" s="2889"/>
      <c r="I2" s="2889"/>
      <c r="J2" s="2889"/>
      <c r="K2" s="2889"/>
    </row>
    <row r="3" ht="15.6" spans="1:11">
      <c r="A3" s="2886" t="s">
        <v>745</v>
      </c>
      <c r="B3" s="2890">
        <f>项目基本情况!D3</f>
        <v>45022</v>
      </c>
      <c r="C3" s="2887"/>
      <c r="D3" s="2887"/>
      <c r="E3" s="2887"/>
      <c r="F3" s="2887"/>
      <c r="G3" s="2888"/>
      <c r="H3" s="2889"/>
      <c r="I3" s="2889"/>
      <c r="J3" s="2889"/>
      <c r="K3" s="2889"/>
    </row>
    <row r="4" ht="31.2" spans="1:11">
      <c r="A4" s="2886" t="s">
        <v>746</v>
      </c>
      <c r="B4" s="2886" t="s">
        <v>747</v>
      </c>
      <c r="C4" s="2886" t="s">
        <v>748</v>
      </c>
      <c r="D4" s="2886" t="s">
        <v>749</v>
      </c>
      <c r="E4" s="2887"/>
      <c r="F4" s="2888"/>
      <c r="G4" s="2888"/>
      <c r="H4" s="2889"/>
      <c r="I4" s="2889"/>
      <c r="J4" s="2889"/>
      <c r="K4" s="2889"/>
    </row>
    <row r="5" ht="15.6" spans="1:11">
      <c r="A5" s="2886" t="s">
        <v>750</v>
      </c>
      <c r="B5" s="2886">
        <f ca="1">SUM(D14:D23)</f>
        <v>27351</v>
      </c>
      <c r="C5" s="2886">
        <f ca="1">IF(B5=D14,结果表!H102,ROUND(B5*10000/$B$1,0))</f>
        <v>27056</v>
      </c>
      <c r="D5" s="2886">
        <f ca="1">ROUND(B5*10000/$B$2,0)</f>
        <v>85253</v>
      </c>
      <c r="E5" s="2887"/>
      <c r="F5" s="2888"/>
      <c r="G5" s="2888"/>
      <c r="H5" s="2889"/>
      <c r="I5" s="2889"/>
      <c r="J5" s="2889"/>
      <c r="K5" s="2889"/>
    </row>
    <row r="6" ht="15.6" spans="1:11">
      <c r="A6" s="2886" t="s">
        <v>751</v>
      </c>
      <c r="B6" s="2886">
        <f>SUM(G14:G23)</f>
        <v>0</v>
      </c>
      <c r="C6" s="2886" t="e">
        <f ca="1">IF(B6=G14,结果表!H108,ROUND(B6*10000/$B$1,0))</f>
        <v>#VALUE!</v>
      </c>
      <c r="D6" s="2886">
        <f>ROUND(B6*10000/$B$2,0)</f>
        <v>0</v>
      </c>
      <c r="E6" s="2887"/>
      <c r="F6" s="2888"/>
      <c r="G6" s="2888"/>
      <c r="H6" s="2889"/>
      <c r="I6" s="2889"/>
      <c r="J6" s="2889"/>
      <c r="K6" s="2889"/>
    </row>
    <row r="7" ht="15.6" spans="1:11">
      <c r="A7" s="2886" t="s">
        <v>752</v>
      </c>
      <c r="B7" s="2886">
        <f>SUM(H14:H23)</f>
        <v>0</v>
      </c>
      <c r="C7" s="2886">
        <f ca="1">IF(B7=H14,结果表!H110,ROUND(B7*10000/$B$1,0))</f>
        <v>27056</v>
      </c>
      <c r="D7" s="2886">
        <f>ROUND(B7*10000/$B$2,0)</f>
        <v>0</v>
      </c>
      <c r="E7" s="2887"/>
      <c r="F7" s="2888"/>
      <c r="G7" s="2888"/>
      <c r="H7" s="2889"/>
      <c r="I7" s="2889"/>
      <c r="J7" s="2889"/>
      <c r="K7" s="2889"/>
    </row>
    <row r="8" ht="15.6" spans="1:11">
      <c r="A8" s="2886" t="s">
        <v>336</v>
      </c>
      <c r="B8" s="2886">
        <f>SUM(I14:I23)</f>
        <v>0</v>
      </c>
      <c r="C8" s="2886" t="str">
        <f ca="1">IF(B8=I14,结果表!H112,ROUND(B8*10000/$B$1,0))</f>
        <v>——</v>
      </c>
      <c r="D8" s="2886">
        <f>ROUND(B8*10000/$B$2,0)</f>
        <v>0</v>
      </c>
      <c r="E8" s="2887"/>
      <c r="F8" s="2888"/>
      <c r="G8" s="2888"/>
      <c r="H8" s="2889"/>
      <c r="I8" s="2889"/>
      <c r="J8" s="2889"/>
      <c r="K8" s="2889"/>
    </row>
    <row r="9" ht="15.6" spans="1:11">
      <c r="A9" s="2886" t="s">
        <v>753</v>
      </c>
      <c r="B9" s="2891"/>
      <c r="C9" s="2887"/>
      <c r="D9" s="2887"/>
      <c r="E9" s="2887"/>
      <c r="F9" s="2888"/>
      <c r="G9" s="2888"/>
      <c r="H9" s="2889"/>
      <c r="I9" s="2889"/>
      <c r="J9" s="2889"/>
      <c r="K9" s="2889"/>
    </row>
    <row r="10" ht="15.6" spans="1:11">
      <c r="A10" s="2886" t="s">
        <v>754</v>
      </c>
      <c r="B10" s="2886">
        <f>IF(E10="",0,ROUND(B1*(E10*365/G10)/10000,0))</f>
        <v>0</v>
      </c>
      <c r="C10" s="2886" t="s">
        <v>755</v>
      </c>
      <c r="D10" s="2886" t="s">
        <v>754</v>
      </c>
      <c r="E10" s="2892"/>
      <c r="F10" s="2893" t="s">
        <v>756</v>
      </c>
      <c r="G10" s="2894"/>
      <c r="H10" s="2889"/>
      <c r="I10" s="2889"/>
      <c r="J10" s="2889"/>
      <c r="K10" s="2889"/>
    </row>
    <row r="11" ht="15.6" spans="1:11">
      <c r="A11" s="2886" t="s">
        <v>757</v>
      </c>
      <c r="B11" s="2891"/>
      <c r="C11" s="2887"/>
      <c r="D11" s="2887"/>
      <c r="E11" s="2887"/>
      <c r="F11" s="2888"/>
      <c r="G11" s="2888"/>
      <c r="H11" s="2889"/>
      <c r="I11" s="2889"/>
      <c r="J11" s="2889"/>
      <c r="K11" s="2889"/>
    </row>
    <row r="12" ht="15.6" spans="1:11">
      <c r="A12" s="2887"/>
      <c r="B12" s="2887"/>
      <c r="C12" s="2887"/>
      <c r="D12" s="2887"/>
      <c r="E12" s="2887"/>
      <c r="F12" s="2888"/>
      <c r="G12" s="2888"/>
      <c r="H12" s="2889"/>
      <c r="I12" s="2889"/>
      <c r="J12" s="2889"/>
      <c r="K12" s="2889"/>
    </row>
    <row r="13" ht="31.8" spans="1:11">
      <c r="A13" s="2895" t="s">
        <v>758</v>
      </c>
      <c r="B13" s="2896" t="s">
        <v>743</v>
      </c>
      <c r="C13" s="2896" t="s">
        <v>744</v>
      </c>
      <c r="D13" s="2896" t="s">
        <v>759</v>
      </c>
      <c r="E13" s="2886" t="s">
        <v>748</v>
      </c>
      <c r="F13" s="2886" t="s">
        <v>749</v>
      </c>
      <c r="G13" s="2896" t="s">
        <v>760</v>
      </c>
      <c r="H13" s="2896" t="s">
        <v>761</v>
      </c>
      <c r="I13" s="2896" t="s">
        <v>762</v>
      </c>
      <c r="J13" s="2888"/>
      <c r="K13" s="2889"/>
    </row>
    <row r="14" ht="15.6" spans="1:11">
      <c r="A14" s="2897" t="s">
        <v>763</v>
      </c>
      <c r="B14" s="2898">
        <f>'数据-汇总表'!E31</f>
        <v>10109.15</v>
      </c>
      <c r="C14" s="2898">
        <f>'数据-汇总表'!D31</f>
        <v>3208.2</v>
      </c>
      <c r="D14" s="2898">
        <f ca="1">结果表!H118</f>
        <v>27351</v>
      </c>
      <c r="E14" s="2898">
        <f ca="1">ROUND(D14*10000/B14,0)</f>
        <v>27056</v>
      </c>
      <c r="F14" s="2898">
        <f ca="1">ROUND(D14*10000/C14,0)</f>
        <v>85253</v>
      </c>
      <c r="G14" s="2898"/>
      <c r="H14" s="2898"/>
      <c r="I14" s="2898"/>
      <c r="J14" s="2888"/>
      <c r="K14" s="2889"/>
    </row>
    <row r="15" ht="15.6" spans="1:11">
      <c r="A15" s="2897" t="s">
        <v>764</v>
      </c>
      <c r="B15" s="2899"/>
      <c r="C15" s="2899"/>
      <c r="D15" s="2899"/>
      <c r="E15" s="2898" t="e">
        <f t="shared" ref="E15:E23" si="0">ROUND(D15*10000/B15,0)</f>
        <v>#DIV/0!</v>
      </c>
      <c r="F15" s="2898" t="e">
        <f t="shared" ref="F15:F23" si="1">ROUND(D15*10000/C15,0)</f>
        <v>#DIV/0!</v>
      </c>
      <c r="G15" s="2900"/>
      <c r="H15" s="2900"/>
      <c r="I15" s="2899"/>
      <c r="J15" s="2888"/>
      <c r="K15" s="2889"/>
    </row>
    <row r="16" ht="15.6" spans="1:11">
      <c r="A16" s="2897" t="s">
        <v>765</v>
      </c>
      <c r="B16" s="2899"/>
      <c r="C16" s="2899"/>
      <c r="D16" s="2899"/>
      <c r="E16" s="2898" t="e">
        <f t="shared" si="0"/>
        <v>#DIV/0!</v>
      </c>
      <c r="F16" s="2898" t="e">
        <f t="shared" si="1"/>
        <v>#DIV/0!</v>
      </c>
      <c r="G16" s="2900"/>
      <c r="H16" s="2900"/>
      <c r="I16" s="2899"/>
      <c r="J16" s="2889"/>
      <c r="K16" s="2889"/>
    </row>
    <row r="17" ht="15.6" spans="1:11">
      <c r="A17" s="2897" t="s">
        <v>766</v>
      </c>
      <c r="B17" s="2899"/>
      <c r="C17" s="2899"/>
      <c r="D17" s="2899"/>
      <c r="E17" s="2898" t="e">
        <f t="shared" si="0"/>
        <v>#DIV/0!</v>
      </c>
      <c r="F17" s="2898" t="e">
        <f t="shared" si="1"/>
        <v>#DIV/0!</v>
      </c>
      <c r="G17" s="2900"/>
      <c r="H17" s="2900"/>
      <c r="I17" s="2899"/>
      <c r="J17" s="2889"/>
      <c r="K17" s="2889"/>
    </row>
    <row r="18" ht="15.6" spans="1:11">
      <c r="A18" s="2897" t="s">
        <v>767</v>
      </c>
      <c r="B18" s="2899"/>
      <c r="C18" s="2899"/>
      <c r="D18" s="2899"/>
      <c r="E18" s="2898" t="e">
        <f t="shared" si="0"/>
        <v>#DIV/0!</v>
      </c>
      <c r="F18" s="2898" t="e">
        <f t="shared" si="1"/>
        <v>#DIV/0!</v>
      </c>
      <c r="G18" s="2899"/>
      <c r="H18" s="2899"/>
      <c r="I18" s="2899"/>
      <c r="J18" s="2889"/>
      <c r="K18" s="2889"/>
    </row>
    <row r="19" ht="15.6" spans="1:11">
      <c r="A19" s="2897" t="s">
        <v>768</v>
      </c>
      <c r="B19" s="2899"/>
      <c r="C19" s="2899"/>
      <c r="D19" s="2899"/>
      <c r="E19" s="2898" t="e">
        <f t="shared" si="0"/>
        <v>#DIV/0!</v>
      </c>
      <c r="F19" s="2898" t="e">
        <f t="shared" si="1"/>
        <v>#DIV/0!</v>
      </c>
      <c r="G19" s="2899"/>
      <c r="H19" s="2899"/>
      <c r="I19" s="2899"/>
      <c r="J19" s="2889"/>
      <c r="K19" s="2889"/>
    </row>
    <row r="20" ht="15.6" spans="1:11">
      <c r="A20" s="2897" t="s">
        <v>769</v>
      </c>
      <c r="B20" s="2899"/>
      <c r="C20" s="2899"/>
      <c r="D20" s="2899"/>
      <c r="E20" s="2898" t="e">
        <f t="shared" si="0"/>
        <v>#DIV/0!</v>
      </c>
      <c r="F20" s="2898" t="e">
        <f t="shared" si="1"/>
        <v>#DIV/0!</v>
      </c>
      <c r="G20" s="2899"/>
      <c r="H20" s="2899"/>
      <c r="I20" s="2899"/>
      <c r="J20" s="2889"/>
      <c r="K20" s="2889"/>
    </row>
    <row r="21" ht="15.6" spans="1:11">
      <c r="A21" s="2897" t="s">
        <v>770</v>
      </c>
      <c r="B21" s="2899"/>
      <c r="C21" s="2899"/>
      <c r="D21" s="2899"/>
      <c r="E21" s="2898" t="e">
        <f t="shared" si="0"/>
        <v>#DIV/0!</v>
      </c>
      <c r="F21" s="2898" t="e">
        <f t="shared" si="1"/>
        <v>#DIV/0!</v>
      </c>
      <c r="G21" s="2899"/>
      <c r="H21" s="2899"/>
      <c r="I21" s="2899"/>
      <c r="J21" s="2889"/>
      <c r="K21" s="2889"/>
    </row>
    <row r="22" ht="15.6" spans="1:11">
      <c r="A22" s="2897" t="s">
        <v>771</v>
      </c>
      <c r="B22" s="2899"/>
      <c r="C22" s="2899"/>
      <c r="D22" s="2899"/>
      <c r="E22" s="2898" t="e">
        <f t="shared" si="0"/>
        <v>#DIV/0!</v>
      </c>
      <c r="F22" s="2898" t="e">
        <f t="shared" si="1"/>
        <v>#DIV/0!</v>
      </c>
      <c r="G22" s="2899"/>
      <c r="H22" s="2899"/>
      <c r="I22" s="2899"/>
      <c r="J22" s="2889"/>
      <c r="K22" s="2889"/>
    </row>
    <row r="23" ht="15.6" spans="1:11">
      <c r="A23" s="2897" t="s">
        <v>772</v>
      </c>
      <c r="B23" s="2899"/>
      <c r="C23" s="2899"/>
      <c r="D23" s="2899"/>
      <c r="E23" s="2891" t="e">
        <f t="shared" si="0"/>
        <v>#DIV/0!</v>
      </c>
      <c r="F23" s="2891" t="e">
        <f t="shared" si="1"/>
        <v>#DIV/0!</v>
      </c>
      <c r="G23" s="2899"/>
      <c r="H23" s="2899"/>
      <c r="I23" s="2899"/>
      <c r="J23" s="2889"/>
      <c r="K23" s="2889"/>
    </row>
    <row r="24" spans="1:11">
      <c r="A24" s="2889"/>
      <c r="B24" s="2889"/>
      <c r="C24" s="2889"/>
      <c r="D24" s="2889"/>
      <c r="E24" s="2889"/>
      <c r="F24" s="2889"/>
      <c r="G24" s="2889"/>
      <c r="H24" s="2889"/>
      <c r="I24" s="2889"/>
      <c r="J24" s="2889"/>
      <c r="K24" s="2889"/>
    </row>
    <row r="25" spans="1:11">
      <c r="A25" s="2889"/>
      <c r="B25" s="2889"/>
      <c r="C25" s="2889"/>
      <c r="D25" s="2889"/>
      <c r="E25" s="2889"/>
      <c r="F25" s="2889"/>
      <c r="G25" s="2889"/>
      <c r="H25" s="2889"/>
      <c r="I25" s="2889"/>
      <c r="J25" s="2889"/>
      <c r="K25" s="2889"/>
    </row>
    <row r="26" spans="1:11">
      <c r="A26" s="2889"/>
      <c r="B26" s="2889"/>
      <c r="C26" s="2889"/>
      <c r="D26" s="2889"/>
      <c r="E26" s="2889"/>
      <c r="F26" s="2889"/>
      <c r="G26" s="2889"/>
      <c r="H26" s="2889"/>
      <c r="I26" s="2889"/>
      <c r="J26" s="2889"/>
      <c r="K26" s="288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92" workbookViewId="0">
      <selection activeCell="D124" sqref="D124:I125"/>
    </sheetView>
  </sheetViews>
  <sheetFormatPr defaultColWidth="12.6666666666667" defaultRowHeight="21.75" customHeight="1"/>
  <cols>
    <col min="1" max="2" width="12.6666666666667" style="2536"/>
    <col min="3" max="4" width="12.6666666666667" style="2536" customWidth="1"/>
    <col min="5" max="9" width="12.6666666666667" style="2536"/>
    <col min="10" max="11" width="12.6666666666667" style="1042" customWidth="1"/>
    <col min="12" max="12" width="12.6666666666667" style="1042"/>
    <col min="13" max="13" width="14.1111111111111" style="1042" customWidth="1"/>
    <col min="14" max="26" width="12.6666666666667" style="1042"/>
    <col min="27" max="35" width="12.6666666666667" style="2535"/>
    <col min="36" max="16384" width="12.6666666666667" style="2536"/>
  </cols>
  <sheetData>
    <row r="1" customHeight="1" spans="1:9">
      <c r="A1" s="2537" t="s">
        <v>773</v>
      </c>
      <c r="B1" s="2538"/>
      <c r="C1" s="2539" t="s">
        <v>549</v>
      </c>
      <c r="D1" s="2538"/>
      <c r="E1" s="2538"/>
      <c r="F1" s="2540" t="s">
        <v>774</v>
      </c>
      <c r="G1" s="2541"/>
      <c r="H1" s="2542" t="str">
        <f>IF(G1="现房","——","估价对象范围")</f>
        <v>估价对象范围</v>
      </c>
      <c r="I1" s="2701"/>
    </row>
    <row r="2" customHeight="1" spans="1:9">
      <c r="A2" s="2543" t="str">
        <f>项目基本情况!S2</f>
        <v>北京市房地产</v>
      </c>
      <c r="B2" s="2544"/>
      <c r="C2" s="2544"/>
      <c r="D2" s="2544"/>
      <c r="E2" s="2544"/>
      <c r="F2" s="2544"/>
      <c r="G2" s="2544"/>
      <c r="H2" s="2544"/>
      <c r="I2" s="2702"/>
    </row>
    <row r="3" ht="14.4" spans="1:9">
      <c r="A3" s="2545" t="s">
        <v>775</v>
      </c>
      <c r="B3" s="2214"/>
      <c r="C3" s="2214"/>
      <c r="D3" s="2214"/>
      <c r="E3" s="2214"/>
      <c r="F3" s="2214"/>
      <c r="G3" s="2214"/>
      <c r="H3" s="2214"/>
      <c r="I3" s="2214"/>
    </row>
    <row r="4" spans="1:12">
      <c r="A4" s="2546" t="s">
        <v>776</v>
      </c>
      <c r="B4" s="2547" t="s">
        <v>777</v>
      </c>
      <c r="C4" s="2548" t="s">
        <v>778</v>
      </c>
      <c r="D4" s="2548" t="s">
        <v>651</v>
      </c>
      <c r="E4" s="2549" t="s">
        <v>779</v>
      </c>
      <c r="F4" s="2550"/>
      <c r="G4" s="2550"/>
      <c r="H4" s="2550"/>
      <c r="I4" s="2703"/>
      <c r="K4" s="1043" t="str">
        <f>IF(ISNUMBER(FIND("比较法",结果表!C4)),"比较法",IF(ISNUMBER(FIND("成本法",结果表!C4)),"成本法",IF(ISNUMBER(FIND("假设开发法",结果表!C4)),"假设开发法",IF(ISNUMBER(FIND("收益法",结果表!C4)),"收益法","基准地价系数修正法"))))</f>
        <v>比较法</v>
      </c>
      <c r="L4" s="1043" t="str">
        <f>IF(ISNUMBER(FIND("比较法",结果表!D4)),"比较法",IF(ISNUMBER(FIND("成本法",结果表!D4)),"成本法",IF(ISNUMBER(FIND("假设开发法",结果表!D4)),"假设开发法",IF(ISNUMBER(FIND("收益法",结果表!D4)),"收益法","基准地价系数修正法"))))</f>
        <v>收益法</v>
      </c>
    </row>
    <row r="5" ht="14.4" spans="1:9">
      <c r="A5" s="2551" t="s">
        <v>780</v>
      </c>
      <c r="B5" s="1410">
        <v>25</v>
      </c>
      <c r="C5" s="2552"/>
      <c r="D5" s="2553"/>
      <c r="E5" s="2203" t="s">
        <v>781</v>
      </c>
      <c r="F5" s="2554"/>
      <c r="G5" s="2554"/>
      <c r="H5" s="2554"/>
      <c r="I5" s="2419"/>
    </row>
    <row r="6" ht="14.4" spans="1:9">
      <c r="A6" s="2551"/>
      <c r="B6" s="1410"/>
      <c r="C6" s="2555"/>
      <c r="D6" s="2553"/>
      <c r="E6" s="2203" t="s">
        <v>782</v>
      </c>
      <c r="F6" s="2554"/>
      <c r="G6" s="2554"/>
      <c r="H6" s="2554"/>
      <c r="I6" s="2419"/>
    </row>
    <row r="7" ht="14.4" spans="1:9">
      <c r="A7" s="2551"/>
      <c r="B7" s="1410"/>
      <c r="C7" s="2556"/>
      <c r="D7" s="2553"/>
      <c r="E7" s="2203" t="s">
        <v>783</v>
      </c>
      <c r="F7" s="2554"/>
      <c r="G7" s="2554"/>
      <c r="H7" s="2554"/>
      <c r="I7" s="2419"/>
    </row>
    <row r="8" ht="14.4" spans="1:9">
      <c r="A8" s="2551" t="s">
        <v>784</v>
      </c>
      <c r="B8" s="1410">
        <v>15</v>
      </c>
      <c r="C8" s="2552"/>
      <c r="D8" s="2553"/>
      <c r="E8" s="2203" t="s">
        <v>785</v>
      </c>
      <c r="F8" s="2554"/>
      <c r="G8" s="2554"/>
      <c r="H8" s="2554"/>
      <c r="I8" s="2419"/>
    </row>
    <row r="9" ht="14.4" spans="1:9">
      <c r="A9" s="2551"/>
      <c r="B9" s="1410"/>
      <c r="C9" s="2556"/>
      <c r="D9" s="2553"/>
      <c r="E9" s="2203" t="s">
        <v>786</v>
      </c>
      <c r="F9" s="2554"/>
      <c r="G9" s="2554"/>
      <c r="H9" s="2554"/>
      <c r="I9" s="2419"/>
    </row>
    <row r="10" ht="14.4" spans="1:9">
      <c r="A10" s="2551" t="s">
        <v>787</v>
      </c>
      <c r="B10" s="1410">
        <v>15</v>
      </c>
      <c r="C10" s="2552"/>
      <c r="D10" s="2553"/>
      <c r="E10" s="2203" t="s">
        <v>788</v>
      </c>
      <c r="F10" s="2554"/>
      <c r="G10" s="2554"/>
      <c r="H10" s="2554"/>
      <c r="I10" s="2419"/>
    </row>
    <row r="11" ht="14.4" spans="1:9">
      <c r="A11" s="2551"/>
      <c r="B11" s="1410"/>
      <c r="C11" s="2556"/>
      <c r="D11" s="2553"/>
      <c r="E11" s="2203" t="s">
        <v>789</v>
      </c>
      <c r="F11" s="2554"/>
      <c r="G11" s="2554"/>
      <c r="H11" s="2554"/>
      <c r="I11" s="2419"/>
    </row>
    <row r="12" ht="14.4" spans="1:9">
      <c r="A12" s="2551" t="s">
        <v>790</v>
      </c>
      <c r="B12" s="1410">
        <v>15</v>
      </c>
      <c r="C12" s="2552"/>
      <c r="D12" s="2553"/>
      <c r="E12" s="2203" t="s">
        <v>791</v>
      </c>
      <c r="F12" s="2554"/>
      <c r="G12" s="2554"/>
      <c r="H12" s="2554"/>
      <c r="I12" s="2419"/>
    </row>
    <row r="13" ht="14.4" spans="1:9">
      <c r="A13" s="2551"/>
      <c r="B13" s="1410"/>
      <c r="C13" s="2556"/>
      <c r="D13" s="2553"/>
      <c r="E13" s="2203" t="s">
        <v>792</v>
      </c>
      <c r="F13" s="2554"/>
      <c r="G13" s="2554"/>
      <c r="H13" s="2554"/>
      <c r="I13" s="2419"/>
    </row>
    <row r="14" spans="1:9">
      <c r="A14" s="2551" t="s">
        <v>793</v>
      </c>
      <c r="B14" s="1410">
        <v>30</v>
      </c>
      <c r="C14" s="2552">
        <v>5</v>
      </c>
      <c r="D14" s="2553">
        <v>5</v>
      </c>
      <c r="E14" s="2203" t="s">
        <v>794</v>
      </c>
      <c r="F14" s="2554"/>
      <c r="G14" s="2554"/>
      <c r="H14" s="2554"/>
      <c r="I14" s="2419"/>
    </row>
    <row r="15" ht="14.4" spans="1:9">
      <c r="A15" s="2551"/>
      <c r="B15" s="1410"/>
      <c r="C15" s="2555"/>
      <c r="D15" s="2553"/>
      <c r="E15" s="2203" t="s">
        <v>795</v>
      </c>
      <c r="F15" s="2554"/>
      <c r="G15" s="2554"/>
      <c r="H15" s="2554"/>
      <c r="I15" s="2419"/>
    </row>
    <row r="16" ht="14.4" spans="1:9">
      <c r="A16" s="2551"/>
      <c r="B16" s="1410"/>
      <c r="C16" s="2556"/>
      <c r="D16" s="2553"/>
      <c r="E16" s="2203" t="s">
        <v>796</v>
      </c>
      <c r="F16" s="2554"/>
      <c r="G16" s="2554"/>
      <c r="H16" s="2554"/>
      <c r="I16" s="2419"/>
    </row>
    <row r="17" ht="14.4" spans="1:13">
      <c r="A17" s="2557" t="s">
        <v>797</v>
      </c>
      <c r="B17" s="2558"/>
      <c r="C17" s="2559">
        <f>SUM(C5:C16)</f>
        <v>5</v>
      </c>
      <c r="D17" s="2559">
        <f>SUM(D5:D16)</f>
        <v>5</v>
      </c>
      <c r="E17" s="1086"/>
      <c r="F17" s="1086"/>
      <c r="G17" s="1086"/>
      <c r="H17" s="1086"/>
      <c r="I17" s="1086"/>
      <c r="K17" s="2161"/>
      <c r="L17" s="2161" t="s">
        <v>798</v>
      </c>
      <c r="M17" s="2161" t="s">
        <v>799</v>
      </c>
    </row>
    <row r="18" ht="31.95" customHeight="1" spans="1:13">
      <c r="A18" s="2560" t="s">
        <v>800</v>
      </c>
      <c r="B18" s="2561"/>
      <c r="C18" s="2562">
        <f>ROUND(C17/SUM(C17:D17),2)</f>
        <v>0.5</v>
      </c>
      <c r="D18" s="2562">
        <f>1-C18</f>
        <v>0.5</v>
      </c>
      <c r="E18" s="2563" t="s">
        <v>801</v>
      </c>
      <c r="F18" s="2564"/>
      <c r="G18" s="2564"/>
      <c r="H18" s="2564"/>
      <c r="I18" s="2564"/>
      <c r="K18" s="2161" t="s">
        <v>456</v>
      </c>
      <c r="L18" s="2161">
        <f>IF(C1="",'数据-汇总表'!E3,SUMIF(项目类型,C1,'数据-汇总表'!E17:E26)+SUMIF(项目类型,C1,'数据-汇总表'!I17:I26))</f>
        <v>10109.15</v>
      </c>
      <c r="M18" s="2161">
        <f>IF(C1="",'数据-汇总表'!E3,SUMIF(项目类型,C1,'数据-汇总表'!E17:E26))</f>
        <v>10109.15</v>
      </c>
    </row>
    <row r="19" ht="14.4" spans="1:13">
      <c r="A19" s="2565" t="s">
        <v>802</v>
      </c>
      <c r="B19" s="2566" t="s">
        <v>803</v>
      </c>
      <c r="C19" s="2567">
        <f ca="1">SUMIF(INDIRECT("'"&amp;C4&amp;"'"&amp;"!A:A"),结果表!B19,INDIRECT("'"&amp;C4&amp;"'"&amp;"!B:B"))</f>
        <v>40174</v>
      </c>
      <c r="D19" s="1567">
        <f ca="1">SUMIF(INDIRECT("'"&amp;D4&amp;"'"&amp;"!A:A"),结果表!B19,INDIRECT("'"&amp;D4&amp;"'"&amp;"!B:B"))</f>
        <v>14528</v>
      </c>
      <c r="E19" s="2565" t="s">
        <v>804</v>
      </c>
      <c r="F19" s="2566" t="s">
        <v>803</v>
      </c>
      <c r="G19" s="2568">
        <f ca="1">ROUND(C19*$C$18+D19*$D$18,0)</f>
        <v>27351</v>
      </c>
      <c r="H19" s="2569" t="s">
        <v>805</v>
      </c>
      <c r="I19" s="1086"/>
      <c r="K19" s="2161" t="s">
        <v>460</v>
      </c>
      <c r="L19" s="2161">
        <f>IF(C1="",'数据-汇总表'!D3,SUMIF(项目类型,C1,'数据-汇总表'!D17:D26)+SUMIF(项目类型,C1,'数据-汇总表'!H17:H27))</f>
        <v>3208.2</v>
      </c>
      <c r="M19" s="2161">
        <f>IF(C1="",'数据-汇总表'!D3,SUMIF(项目类型,C1,'数据-汇总表'!D17:D26))</f>
        <v>3208.2</v>
      </c>
    </row>
    <row r="20" ht="14.4" spans="1:9">
      <c r="A20" s="2570"/>
      <c r="B20" s="2571" t="s">
        <v>806</v>
      </c>
      <c r="C20" s="1878">
        <f ca="1">SUMIF(INDIRECT("'"&amp;C4&amp;"'"&amp;"!A:A"),结果表!B20,INDIRECT("'"&amp;C4&amp;"'"&amp;"!B:B"))</f>
        <v>39740</v>
      </c>
      <c r="D20" s="1881">
        <f ca="1">SUMIF(INDIRECT("'"&amp;D4&amp;"'"&amp;"!A:A"),结果表!B20,INDIRECT("'"&amp;D4&amp;"'"&amp;"!B:B"))</f>
        <v>14371</v>
      </c>
      <c r="E20" s="2570"/>
      <c r="F20" s="2571" t="s">
        <v>806</v>
      </c>
      <c r="G20" s="2572">
        <f ca="1">ROUND(C20*$C$18+D20*$D$18,0)</f>
        <v>27056</v>
      </c>
      <c r="H20" s="2319" t="s">
        <v>807</v>
      </c>
      <c r="I20" s="1086"/>
    </row>
    <row r="21" ht="15" customHeight="1" spans="1:9">
      <c r="A21" s="2500"/>
      <c r="B21" s="2573" t="s">
        <v>808</v>
      </c>
      <c r="C21" s="2574">
        <f ca="1">ROUND(C19*10000/L19,0)</f>
        <v>125223</v>
      </c>
      <c r="D21" s="2575">
        <f ca="1">ROUND(D19*10000/L19,0)</f>
        <v>45284</v>
      </c>
      <c r="E21" s="2500"/>
      <c r="F21" s="2573" t="s">
        <v>808</v>
      </c>
      <c r="G21" s="2576">
        <f ca="1">ROUND(G19*10000/L19,0)</f>
        <v>85253</v>
      </c>
      <c r="H21" s="2577" t="s">
        <v>807</v>
      </c>
      <c r="I21" s="1086"/>
    </row>
    <row r="22" ht="15.15" spans="1:9">
      <c r="A22" s="2578" t="s">
        <v>809</v>
      </c>
      <c r="B22" s="2579"/>
      <c r="C22" s="2580"/>
      <c r="D22" s="2581">
        <f ca="1">IF(C19&lt;D19,D19/C19-1,C19/D19-1)</f>
        <v>1.76528083700441</v>
      </c>
      <c r="E22" s="1086"/>
      <c r="F22" s="1086"/>
      <c r="G22" s="1086"/>
      <c r="H22" s="1086"/>
      <c r="I22" s="1086"/>
    </row>
    <row r="23" ht="15.15" spans="1:9">
      <c r="A23" s="2538"/>
      <c r="B23" s="2538"/>
      <c r="C23" s="2538"/>
      <c r="D23" s="2538"/>
      <c r="E23" s="1086"/>
      <c r="F23" s="1086"/>
      <c r="G23" s="1086"/>
      <c r="H23" s="1086"/>
      <c r="I23" s="1086"/>
    </row>
    <row r="24" ht="14.4" spans="1:9">
      <c r="A24" s="2582" t="s">
        <v>810</v>
      </c>
      <c r="B24" s="2566" t="s">
        <v>803</v>
      </c>
      <c r="C24" s="2568">
        <f>IF(B30=0,0,D30)</f>
        <v>0</v>
      </c>
      <c r="D24" s="2583"/>
      <c r="E24" s="1086"/>
      <c r="F24" s="1086"/>
      <c r="G24" s="1086"/>
      <c r="H24" s="1086"/>
      <c r="I24" s="1086"/>
    </row>
    <row r="25" ht="14.4" spans="1:9">
      <c r="A25" s="2584"/>
      <c r="B25" s="2571" t="s">
        <v>806</v>
      </c>
      <c r="C25" s="2585">
        <f>IF(B30=0,0,C30)</f>
        <v>0</v>
      </c>
      <c r="D25" s="2586"/>
      <c r="E25" s="1086"/>
      <c r="F25" s="1086"/>
      <c r="G25" s="1086"/>
      <c r="H25" s="1086"/>
      <c r="I25" s="1086"/>
    </row>
    <row r="26" ht="13.5" customHeight="1" spans="1:9">
      <c r="A26" s="2587" t="s">
        <v>811</v>
      </c>
      <c r="B26" s="2588" t="s">
        <v>812</v>
      </c>
      <c r="C26" s="2588" t="s">
        <v>813</v>
      </c>
      <c r="D26" s="2589" t="s">
        <v>814</v>
      </c>
      <c r="E26" s="1086"/>
      <c r="F26" s="1086"/>
      <c r="G26" s="1086"/>
      <c r="H26" s="1086"/>
      <c r="I26" s="1086"/>
    </row>
    <row r="27" ht="14.4" spans="1:9">
      <c r="A27" s="2587"/>
      <c r="B27" s="2588">
        <v>0</v>
      </c>
      <c r="C27" s="2588">
        <v>0</v>
      </c>
      <c r="D27" s="2589">
        <f>ROUND(C27*B27/10000,0)</f>
        <v>0</v>
      </c>
      <c r="E27" s="1086"/>
      <c r="F27" s="1086"/>
      <c r="G27" s="1086"/>
      <c r="H27" s="1086"/>
      <c r="I27" s="1086"/>
    </row>
    <row r="28" ht="14.4" spans="1:9">
      <c r="A28" s="2587"/>
      <c r="B28" s="2588"/>
      <c r="C28" s="2588"/>
      <c r="D28" s="2589"/>
      <c r="E28" s="1086"/>
      <c r="F28" s="1086"/>
      <c r="G28" s="1086"/>
      <c r="H28" s="1086"/>
      <c r="I28" s="1086"/>
    </row>
    <row r="29" ht="14.4" spans="1:9">
      <c r="A29" s="2587"/>
      <c r="B29" s="2588"/>
      <c r="C29" s="2588"/>
      <c r="D29" s="2589"/>
      <c r="E29" s="1086"/>
      <c r="F29" s="1086"/>
      <c r="G29" s="1086"/>
      <c r="H29" s="1086"/>
      <c r="I29" s="1086"/>
    </row>
    <row r="30" ht="15.15" spans="1:9">
      <c r="A30" s="2588" t="s">
        <v>815</v>
      </c>
      <c r="B30" s="2588"/>
      <c r="C30" s="2588"/>
      <c r="D30" s="2588"/>
      <c r="E30" s="2590" t="s">
        <v>816</v>
      </c>
      <c r="F30" s="1086"/>
      <c r="G30" s="1086"/>
      <c r="H30" s="1086"/>
      <c r="I30" s="1086"/>
    </row>
    <row r="31" s="2532" customFormat="1" ht="26.4" customHeight="1" spans="1:36">
      <c r="A31" s="2591"/>
      <c r="B31" s="2592"/>
      <c r="C31" s="2592"/>
      <c r="D31" s="2592"/>
      <c r="E31" s="2592"/>
      <c r="F31" s="2592"/>
      <c r="G31" s="2592"/>
      <c r="H31" s="2592"/>
      <c r="I31" s="2704" t="s">
        <v>817</v>
      </c>
      <c r="J31" s="2705"/>
      <c r="K31" s="2706"/>
      <c r="L31" s="2706"/>
      <c r="M31" s="2706"/>
      <c r="N31" s="2706"/>
      <c r="O31" s="2706"/>
      <c r="P31" s="2706"/>
      <c r="Q31" s="2706"/>
      <c r="R31" s="2706"/>
      <c r="S31" s="2706"/>
      <c r="T31" s="2706"/>
      <c r="U31" s="2706"/>
      <c r="V31" s="2706"/>
      <c r="W31" s="2706"/>
      <c r="X31" s="2706"/>
      <c r="Y31" s="2706"/>
      <c r="Z31" s="2706"/>
      <c r="AA31" s="2706"/>
      <c r="AB31" s="2740"/>
      <c r="AC31" s="2740"/>
      <c r="AD31" s="2740"/>
      <c r="AE31" s="2740"/>
      <c r="AF31" s="2740"/>
      <c r="AG31" s="2740"/>
      <c r="AH31" s="2740"/>
      <c r="AI31" s="2740"/>
      <c r="AJ31" s="2740"/>
    </row>
    <row r="32" ht="15.9" spans="1:9">
      <c r="A32" s="2593" t="s">
        <v>818</v>
      </c>
      <c r="B32" s="2594"/>
      <c r="C32" s="2595">
        <f ca="1">IF(D32="总价",G19-C24,G20-C25)</f>
        <v>27351</v>
      </c>
      <c r="D32" s="2596" t="s">
        <v>819</v>
      </c>
      <c r="E32" s="1086"/>
      <c r="F32" s="1086"/>
      <c r="G32" s="1086"/>
      <c r="H32" s="1086"/>
      <c r="I32" s="1086"/>
    </row>
    <row r="33" ht="14.4" spans="1:9">
      <c r="A33" s="2441" t="s">
        <v>820</v>
      </c>
      <c r="B33" s="2597"/>
      <c r="C33" s="2598" t="s">
        <v>821</v>
      </c>
      <c r="D33" s="2599" t="s">
        <v>651</v>
      </c>
      <c r="E33" s="2600" t="s">
        <v>822</v>
      </c>
      <c r="F33" s="2601" t="str">
        <f>IF(D32="楼面单价","取值（单价）","取值（总价）")</f>
        <v>取值（总价）</v>
      </c>
      <c r="G33" s="1086"/>
      <c r="H33" s="1086"/>
      <c r="I33" s="1086"/>
    </row>
    <row r="34" ht="14.4" spans="1:9">
      <c r="A34" s="2602"/>
      <c r="B34" s="2603" t="s">
        <v>823</v>
      </c>
      <c r="C34" s="2604">
        <f ca="1">IF(C33="自定义",F34,C32-C35)</f>
        <v>17505</v>
      </c>
      <c r="D34" s="2605">
        <f ca="1">IF(C33="自定义",ROUND(C34/C32,3),IF(C33="收益比率",SUMIF(INDIRECT("'"&amp;D33&amp;"'"&amp;"!b:b"),"土地收益比率",INDIRECT("'"&amp;D33&amp;"'"&amp;"!c:c")),SUMIF(INDIRECT("'"&amp;D33&amp;"'"&amp;"!b:b"),"土地成本比率",INDIRECT("'"&amp;D33&amp;"'"&amp;"!c:c"))))</f>
        <v>0.64</v>
      </c>
      <c r="E34" s="2606" t="s">
        <v>824</v>
      </c>
      <c r="F34" s="2607"/>
      <c r="G34" s="1086"/>
      <c r="H34" s="1086"/>
      <c r="I34" s="1086"/>
    </row>
    <row r="35" ht="15.15" spans="1:9">
      <c r="A35" s="2608"/>
      <c r="B35" s="2609" t="s">
        <v>825</v>
      </c>
      <c r="C35" s="2610">
        <f ca="1">IF(C33="自定义",F35,ROUND(C32*D35,0))</f>
        <v>9846</v>
      </c>
      <c r="D35" s="2611">
        <f ca="1">IF(C33="自定义",ROUND(C35/C32,3),IF(C33="收益比率",SUMIF(INDIRECT("'"&amp;D33&amp;"'"&amp;"!b:b"),"建筑物收益比率",INDIRECT("'"&amp;D33&amp;"'"&amp;"!c:c")),SUMIF(INDIRECT("'"&amp;D33&amp;"'"&amp;"!b:b"),"建筑物成本比率",INDIRECT("'"&amp;D33&amp;"'"&amp;"!c:c"))))</f>
        <v>0.36</v>
      </c>
      <c r="E35" s="2612" t="s">
        <v>826</v>
      </c>
      <c r="F35" s="2613"/>
      <c r="G35" s="1086"/>
      <c r="H35" s="1086"/>
      <c r="I35" s="1086"/>
    </row>
    <row r="36" ht="15.15" spans="1:9">
      <c r="A36" s="2614" t="s">
        <v>827</v>
      </c>
      <c r="B36" s="2615" t="s">
        <v>828</v>
      </c>
      <c r="C36" s="2616"/>
      <c r="D36" s="2617"/>
      <c r="E36" s="2618"/>
      <c r="F36" s="2619"/>
      <c r="G36" s="1086"/>
      <c r="H36" s="1086"/>
      <c r="I36" s="1086"/>
    </row>
    <row r="37" ht="15.15" spans="1:9">
      <c r="A37" s="2620"/>
      <c r="B37" s="2621" t="s">
        <v>829</v>
      </c>
      <c r="C37" s="2622"/>
      <c r="D37" s="2623"/>
      <c r="E37" s="2623"/>
      <c r="F37" s="2619"/>
      <c r="G37" s="1086"/>
      <c r="H37" s="1086"/>
      <c r="I37" s="1086"/>
    </row>
    <row r="38" ht="15.15" spans="1:9">
      <c r="A38" s="2624"/>
      <c r="B38" s="2625" t="s">
        <v>830</v>
      </c>
      <c r="C38" s="2626"/>
      <c r="D38" s="2627" t="s">
        <v>831</v>
      </c>
      <c r="E38" s="2623"/>
      <c r="F38" s="2619"/>
      <c r="G38" s="1086"/>
      <c r="H38" s="1086"/>
      <c r="I38" s="1086"/>
    </row>
    <row r="39" ht="14.4" spans="1:9">
      <c r="A39" s="2570" t="s">
        <v>832</v>
      </c>
      <c r="B39" s="2628" t="s">
        <v>812</v>
      </c>
      <c r="C39" s="2629" t="s">
        <v>813</v>
      </c>
      <c r="D39" s="2629" t="s">
        <v>833</v>
      </c>
      <c r="E39" s="2630" t="s">
        <v>814</v>
      </c>
      <c r="F39" s="2619"/>
      <c r="G39" s="1086"/>
      <c r="H39" s="1086"/>
      <c r="I39" s="1086"/>
    </row>
    <row r="40" ht="14.4" spans="1:9">
      <c r="A40" s="2631" t="s">
        <v>834</v>
      </c>
      <c r="B40" s="2632"/>
      <c r="C40" s="1104"/>
      <c r="D40" s="1104"/>
      <c r="E40" s="2633"/>
      <c r="F40" s="2619"/>
      <c r="G40" s="1086"/>
      <c r="H40" s="1086"/>
      <c r="I40" s="1086"/>
    </row>
    <row r="41" ht="14.4" spans="1:9">
      <c r="A41" s="2631" t="s">
        <v>835</v>
      </c>
      <c r="B41" s="2632"/>
      <c r="C41" s="1104"/>
      <c r="D41" s="1104"/>
      <c r="E41" s="2633"/>
      <c r="F41" s="2619"/>
      <c r="G41" s="1086"/>
      <c r="H41" s="1086"/>
      <c r="I41" s="1086"/>
    </row>
    <row r="42" ht="15.15" spans="1:9">
      <c r="A42" s="2634"/>
      <c r="B42" s="2635"/>
      <c r="C42" s="2636"/>
      <c r="D42" s="2636"/>
      <c r="E42" s="2613"/>
      <c r="F42" s="2619"/>
      <c r="G42" s="1086"/>
      <c r="H42" s="1086"/>
      <c r="I42" s="1086"/>
    </row>
    <row r="43" ht="14.4" spans="1:9">
      <c r="A43" s="2637"/>
      <c r="B43" s="2637"/>
      <c r="C43" s="2637"/>
      <c r="D43" s="2637"/>
      <c r="E43" s="2637"/>
      <c r="F43" s="2638"/>
      <c r="G43" s="2638"/>
      <c r="H43" s="2638"/>
      <c r="I43" s="2707"/>
    </row>
    <row r="44" ht="17.4" spans="1:15">
      <c r="A44" s="2639" t="s">
        <v>836</v>
      </c>
      <c r="B44" s="2640"/>
      <c r="C44" s="2640"/>
      <c r="D44" s="2641"/>
      <c r="E44" s="2641"/>
      <c r="F44" s="2642"/>
      <c r="G44" s="2642"/>
      <c r="H44" s="2642"/>
      <c r="I44" s="2642"/>
      <c r="J44" s="2708" t="s">
        <v>837</v>
      </c>
      <c r="K44" s="2709"/>
      <c r="L44" s="2709"/>
      <c r="M44" s="2709"/>
      <c r="N44" s="2709"/>
      <c r="O44" s="2709"/>
    </row>
    <row r="45" ht="14.25" customHeight="1" spans="1:15">
      <c r="A45" s="2643" t="s">
        <v>838</v>
      </c>
      <c r="B45" s="2644"/>
      <c r="C45" s="2645"/>
      <c r="D45" s="2160">
        <f ca="1">ROUND(H101*F45,0)</f>
        <v>27351</v>
      </c>
      <c r="E45" s="2646" t="s">
        <v>839</v>
      </c>
      <c r="F45" s="2647">
        <v>1</v>
      </c>
      <c r="G45" s="2648" t="s">
        <v>840</v>
      </c>
      <c r="H45" s="1086"/>
      <c r="I45" s="1086"/>
      <c r="J45" s="2710" t="s">
        <v>841</v>
      </c>
      <c r="K45" s="2710"/>
      <c r="L45" s="2710"/>
      <c r="M45" s="2710"/>
      <c r="N45" s="2710"/>
      <c r="O45" s="2710"/>
    </row>
    <row r="46" ht="14.25" customHeight="1" spans="1:15">
      <c r="A46" s="2649" t="s">
        <v>842</v>
      </c>
      <c r="B46" s="2650"/>
      <c r="C46" s="2650"/>
      <c r="D46" s="2650"/>
      <c r="E46" s="2650"/>
      <c r="F46" s="2650"/>
      <c r="G46" s="2651"/>
      <c r="H46" s="2652"/>
      <c r="I46" s="1087"/>
      <c r="J46" s="699">
        <v>1</v>
      </c>
      <c r="K46" s="2711" t="s">
        <v>843</v>
      </c>
      <c r="L46" s="2711"/>
      <c r="M46" s="2712"/>
      <c r="N46" s="2712"/>
      <c r="O46" s="2712"/>
    </row>
    <row r="47" ht="12" customHeight="1" spans="1:15">
      <c r="A47" s="2653" t="s">
        <v>844</v>
      </c>
      <c r="B47" s="2654"/>
      <c r="C47" s="2655"/>
      <c r="D47" s="2213" t="s">
        <v>845</v>
      </c>
      <c r="E47" s="2161" t="s">
        <v>846</v>
      </c>
      <c r="F47" s="2656" t="s">
        <v>847</v>
      </c>
      <c r="G47" s="2657" t="s">
        <v>848</v>
      </c>
      <c r="H47" s="2658"/>
      <c r="I47" s="1087"/>
      <c r="J47" s="699">
        <v>2</v>
      </c>
      <c r="K47" s="2711" t="s">
        <v>849</v>
      </c>
      <c r="L47" s="2711"/>
      <c r="M47" s="2713">
        <f>'数据-取费表'!B2</f>
        <v>45022</v>
      </c>
      <c r="N47" s="2713"/>
      <c r="O47" s="2713"/>
    </row>
    <row r="48" ht="25.2" spans="1:15">
      <c r="A48" s="2659" t="s">
        <v>850</v>
      </c>
      <c r="B48" s="2217"/>
      <c r="C48" s="2217"/>
      <c r="D48" s="2317" t="b">
        <f ca="1">IF(H48="情况1",0,IF(H48="情况2",D52,IF(H48="情况3",D53,IF(H48="情况4",D54))))</f>
        <v>0</v>
      </c>
      <c r="E48" s="2217" t="str">
        <f>IF(H48="情况4","(销售额-原购置价)×税（费）率","销售额×税（费）率")</f>
        <v>销售额×税（费）率</v>
      </c>
      <c r="F48" s="2660">
        <f>IF(H48="情况1","免征",'数据-取费表'!B41)</f>
        <v>0.056</v>
      </c>
      <c r="G48" s="2661" t="s">
        <v>851</v>
      </c>
      <c r="H48" s="2662"/>
      <c r="I48" s="2652"/>
      <c r="J48" s="699">
        <v>3</v>
      </c>
      <c r="K48" s="2711" t="s">
        <v>852</v>
      </c>
      <c r="L48" s="2711"/>
      <c r="M48" s="2714">
        <f ca="1">H101</f>
        <v>27351</v>
      </c>
      <c r="N48" s="2714"/>
      <c r="O48" s="2714"/>
    </row>
    <row r="49" ht="25.5" customHeight="1" spans="1:15">
      <c r="A49" s="2659" t="s">
        <v>853</v>
      </c>
      <c r="B49" s="2195" t="s">
        <v>854</v>
      </c>
      <c r="C49" s="2195"/>
      <c r="D49" s="2663">
        <v>0</v>
      </c>
      <c r="E49" s="2223" t="s">
        <v>855</v>
      </c>
      <c r="F49" s="2664" t="s">
        <v>124</v>
      </c>
      <c r="G49" s="2665"/>
      <c r="H49" s="2666" t="s">
        <v>856</v>
      </c>
      <c r="I49" s="2715"/>
      <c r="J49" s="699">
        <v>4</v>
      </c>
      <c r="K49" s="2711" t="str">
        <f>IF(项目基本情况!E8="房地产抵押价值","房地产抵押价值","抵押担保权已注销时的房地产抵押价值")</f>
        <v>抵押担保权已注销时的房地产抵押价值</v>
      </c>
      <c r="L49" s="2711"/>
      <c r="M49" s="2714">
        <f ca="1">IF(项目基本情况!E8="房地产抵押价值",H107,H109)</f>
        <v>27351</v>
      </c>
      <c r="N49" s="2714"/>
      <c r="O49" s="2714"/>
    </row>
    <row r="50" ht="25.5" customHeight="1" spans="1:15">
      <c r="A50" s="2667"/>
      <c r="B50" s="2195" t="s">
        <v>857</v>
      </c>
      <c r="C50" s="2195"/>
      <c r="D50" s="2668"/>
      <c r="E50" s="2238"/>
      <c r="F50" s="2664"/>
      <c r="G50" s="2669"/>
      <c r="H50" s="2670" t="s">
        <v>858</v>
      </c>
      <c r="I50" s="2715"/>
      <c r="J50" s="2710" t="s">
        <v>859</v>
      </c>
      <c r="K50" s="2710"/>
      <c r="L50" s="2710"/>
      <c r="M50" s="2710"/>
      <c r="N50" s="2710"/>
      <c r="O50" s="2710"/>
    </row>
    <row r="51" ht="20.4" customHeight="1" spans="1:15">
      <c r="A51" s="2671"/>
      <c r="B51" s="2195" t="s">
        <v>860</v>
      </c>
      <c r="C51" s="2195"/>
      <c r="D51" s="2213"/>
      <c r="E51" s="2227"/>
      <c r="F51" s="2664"/>
      <c r="G51" s="2672"/>
      <c r="H51" s="2670" t="s">
        <v>861</v>
      </c>
      <c r="I51" s="2715"/>
      <c r="J51" s="2711" t="s">
        <v>862</v>
      </c>
      <c r="K51" s="2711" t="s">
        <v>863</v>
      </c>
      <c r="L51" s="2711"/>
      <c r="M51" s="2711" t="s">
        <v>864</v>
      </c>
      <c r="N51" s="2711" t="s">
        <v>865</v>
      </c>
      <c r="O51" s="2711" t="s">
        <v>866</v>
      </c>
    </row>
    <row r="52" ht="24" customHeight="1" spans="1:15">
      <c r="A52" s="2673" t="s">
        <v>867</v>
      </c>
      <c r="B52" s="2195" t="s">
        <v>868</v>
      </c>
      <c r="C52" s="2195"/>
      <c r="D52" s="2213">
        <f ca="1">ROUND(D45*'数据-取费表'!B41/(1+'数据-取费表'!C42),0)</f>
        <v>1459</v>
      </c>
      <c r="E52" s="2217" t="s">
        <v>869</v>
      </c>
      <c r="F52" s="2674">
        <f>'数据-取费表'!B41</f>
        <v>0.056</v>
      </c>
      <c r="G52" s="2675"/>
      <c r="H52" s="2332"/>
      <c r="I52" s="2716"/>
      <c r="J52" s="699">
        <v>1</v>
      </c>
      <c r="K52" s="699" t="s">
        <v>870</v>
      </c>
      <c r="L52" s="699"/>
      <c r="M52" s="2717" t="b">
        <f ca="1">D48</f>
        <v>0</v>
      </c>
      <c r="N52" s="699" t="str">
        <f>E48</f>
        <v>销售额×税（费）率</v>
      </c>
      <c r="O52" s="2718">
        <f>F48</f>
        <v>0.056</v>
      </c>
    </row>
    <row r="53" ht="12" customHeight="1" spans="1:15">
      <c r="A53" s="2673" t="s">
        <v>871</v>
      </c>
      <c r="B53" s="2194" t="s">
        <v>872</v>
      </c>
      <c r="C53" s="2676"/>
      <c r="D53" s="2213">
        <f ca="1">ROUND(D45*'数据-取费表'!B41/(1+'数据-取费表'!C42),0)</f>
        <v>1459</v>
      </c>
      <c r="E53" s="2217" t="s">
        <v>869</v>
      </c>
      <c r="F53" s="2674">
        <f>'数据-取费表'!B41</f>
        <v>0.056</v>
      </c>
      <c r="G53" s="2675"/>
      <c r="H53" s="2332"/>
      <c r="I53" s="2716"/>
      <c r="J53" s="699">
        <v>2</v>
      </c>
      <c r="K53" s="699" t="s">
        <v>873</v>
      </c>
      <c r="L53" s="699"/>
      <c r="M53" s="2717">
        <f ca="1" t="shared" ref="M53:O54" si="0">D55</f>
        <v>14</v>
      </c>
      <c r="N53" s="699" t="str">
        <f t="shared" si="0"/>
        <v>销售额×税（费）率</v>
      </c>
      <c r="O53" s="2718" t="str">
        <f t="shared" si="0"/>
        <v>免征</v>
      </c>
    </row>
    <row r="54" ht="12" customHeight="1" spans="1:15">
      <c r="A54" s="2673" t="s">
        <v>874</v>
      </c>
      <c r="B54" s="2194" t="s">
        <v>875</v>
      </c>
      <c r="C54" s="2676"/>
      <c r="D54" s="2213">
        <f ca="1">C68</f>
        <v>1459</v>
      </c>
      <c r="E54" s="2227" t="s">
        <v>876</v>
      </c>
      <c r="F54" s="2674">
        <f>'数据-取费表'!B41</f>
        <v>0.056</v>
      </c>
      <c r="G54" s="2675"/>
      <c r="H54" s="2677"/>
      <c r="I54" s="2716"/>
      <c r="J54" s="699">
        <v>3</v>
      </c>
      <c r="K54" s="699" t="s">
        <v>877</v>
      </c>
      <c r="L54" s="699"/>
      <c r="M54" s="2717">
        <f ca="1" t="shared" si="0"/>
        <v>15481</v>
      </c>
      <c r="N54" s="699" t="str">
        <f t="shared" si="0"/>
        <v>增值额×税（费）率</v>
      </c>
      <c r="O54" s="2719" t="str">
        <f t="shared" si="0"/>
        <v>免征</v>
      </c>
    </row>
    <row r="55" ht="24" customHeight="1" spans="1:15">
      <c r="A55" s="2673" t="s">
        <v>878</v>
      </c>
      <c r="B55" s="2217"/>
      <c r="C55" s="2217"/>
      <c r="D55" s="2317">
        <f ca="1">IF(H55="个人住宅",0,ROUND(D45*I55,0))</f>
        <v>14</v>
      </c>
      <c r="E55" s="2217" t="s">
        <v>879</v>
      </c>
      <c r="F55" s="2674" t="str">
        <f>IF(H55="正常",I55,"免征")</f>
        <v>免征</v>
      </c>
      <c r="G55" s="2675"/>
      <c r="H55" s="2662"/>
      <c r="I55" s="2720">
        <f>'数据-取费表'!B49</f>
        <v>0.0005</v>
      </c>
      <c r="J55" s="699">
        <f>IF(H59="非个人房产","",4)</f>
        <v>4</v>
      </c>
      <c r="K55" s="699" t="str">
        <f>IF(H59="非个人房产","——","个人所得税")</f>
        <v>个人所得税</v>
      </c>
      <c r="L55" s="699"/>
      <c r="M55" s="2721">
        <f ca="1">D59</f>
        <v>260</v>
      </c>
      <c r="N55" s="680" t="str">
        <f>E59</f>
        <v>差额计税</v>
      </c>
      <c r="O55" s="2722">
        <f>F59</f>
        <v>0.01</v>
      </c>
    </row>
    <row r="56" ht="25.2" spans="1:15">
      <c r="A56" s="2673" t="s">
        <v>880</v>
      </c>
      <c r="B56" s="2217"/>
      <c r="C56" s="2217"/>
      <c r="D56" s="2317">
        <f ca="1">IF(H56="个人住宅",D57,D58)</f>
        <v>15481</v>
      </c>
      <c r="E56" s="2217" t="s">
        <v>881</v>
      </c>
      <c r="F56" s="2674" t="str">
        <f>IF(H56="正常",F58,"免征")</f>
        <v>免征</v>
      </c>
      <c r="G56" s="2678" t="s">
        <v>882</v>
      </c>
      <c r="H56" s="2679"/>
      <c r="I56" s="2690"/>
      <c r="J56" s="699" t="str">
        <f>IF(项目基本情况!K6="上海银行",IF(J55="",4,J55+1),"")</f>
        <v/>
      </c>
      <c r="K56" s="2317" t="str">
        <f>IF(项目基本情况!K6="上海银行","其他处置费用","")</f>
        <v/>
      </c>
      <c r="L56" s="2468"/>
      <c r="M56" s="2717" t="str">
        <f ca="1">IF(项目基本情况!K6="上海银行",M69,"")</f>
        <v/>
      </c>
      <c r="N56" s="2317" t="str">
        <f>IF(项目基本情况!K6="上海银行","包含处置中涉及的律师、诉讼、拍卖、评估等费用","")</f>
        <v/>
      </c>
      <c r="O56" s="2167"/>
    </row>
    <row r="57" ht="14.4" spans="1:16">
      <c r="A57" s="2673" t="s">
        <v>853</v>
      </c>
      <c r="B57" s="2194" t="s">
        <v>883</v>
      </c>
      <c r="C57" s="2676"/>
      <c r="D57" s="2663">
        <v>0</v>
      </c>
      <c r="E57" s="2223" t="s">
        <v>855</v>
      </c>
      <c r="F57" s="2161"/>
      <c r="G57" s="2675"/>
      <c r="H57" s="2680"/>
      <c r="I57" s="2690"/>
      <c r="J57" s="699">
        <f>IF(AND(J55="",J56=""),4,IF(项目基本情况!K6="上海银行",结果表!J56+1,结果表!J55+1))</f>
        <v>5</v>
      </c>
      <c r="K57" s="699" t="s">
        <v>884</v>
      </c>
      <c r="L57" s="2723" t="s">
        <v>885</v>
      </c>
      <c r="M57" s="2724"/>
      <c r="N57" s="2725">
        <f ca="1">SUMIF(M52:M56,"&lt;9e307")</f>
        <v>15755</v>
      </c>
      <c r="O57" s="2726"/>
      <c r="P57" s="2727">
        <f ca="1">N57/M49</f>
        <v>0.576030126869219</v>
      </c>
    </row>
    <row r="58" ht="25.2" spans="1:15">
      <c r="A58" s="2673" t="s">
        <v>867</v>
      </c>
      <c r="B58" s="2194" t="s">
        <v>886</v>
      </c>
      <c r="C58" s="2195"/>
      <c r="D58" s="2317">
        <f ca="1">IF(H58="转让取得",C81,C97)</f>
        <v>15481</v>
      </c>
      <c r="E58" s="2217" t="s">
        <v>881</v>
      </c>
      <c r="F58" s="2161" t="s">
        <v>124</v>
      </c>
      <c r="G58" s="2675"/>
      <c r="H58" s="2679"/>
      <c r="I58" s="2690"/>
      <c r="J58" s="699"/>
      <c r="K58" s="699"/>
      <c r="L58" s="2723" t="s">
        <v>887</v>
      </c>
      <c r="M58" s="2728"/>
      <c r="N58" s="2729" t="str">
        <f ca="1">NUMBERSTRING(INT(N57*10000),2)&amp;"元整"</f>
        <v>壹亿伍仟柒佰伍拾伍万元整</v>
      </c>
      <c r="O58" s="2730"/>
    </row>
    <row r="59" ht="24.75" spans="1:15">
      <c r="A59" s="2681" t="s">
        <v>888</v>
      </c>
      <c r="B59" s="2682"/>
      <c r="C59" s="2682"/>
      <c r="D59" s="2683">
        <f ca="1">IF(H59="非个人房产","——",IF(H59="个人住宅（满五唯一有凭证）",0,IF(H59="个人其他（无凭证）",ROUND(D45*F59,0),ROUND(C67*F59,0))))</f>
        <v>260</v>
      </c>
      <c r="E59" s="2684" t="str">
        <f>IF(H59="非个人房产","——",IF(H59="个人其他（无凭证）","销售额×税（费）率",IF(H59="个人住宅（满五唯一有凭证）","免征","差额计税")))</f>
        <v>差额计税</v>
      </c>
      <c r="F59" s="2685">
        <f>IF(OR(H59="非个人房产",H59="个人住宅（满五唯一有凭证）"),"——",IF(H59="个人其他（有凭证）",20%,1%))</f>
        <v>0.01</v>
      </c>
      <c r="G59" s="2686" t="s">
        <v>882</v>
      </c>
      <c r="H59" s="2687"/>
      <c r="I59" s="2731" t="s">
        <v>889</v>
      </c>
      <c r="J59" s="680">
        <f>J57+1</f>
        <v>6</v>
      </c>
      <c r="K59" s="699" t="s">
        <v>890</v>
      </c>
      <c r="L59" s="699" t="s">
        <v>885</v>
      </c>
      <c r="M59" s="2732"/>
      <c r="N59" s="2733">
        <f ca="1">M49-N57</f>
        <v>11596</v>
      </c>
      <c r="O59" s="2734"/>
    </row>
    <row r="60" ht="12" customHeight="1" spans="1:15">
      <c r="A60" s="2688"/>
      <c r="B60" s="2538"/>
      <c r="C60" s="2538"/>
      <c r="D60" s="2538"/>
      <c r="E60" s="2689"/>
      <c r="F60" s="2690"/>
      <c r="G60" s="2690"/>
      <c r="H60" s="2691"/>
      <c r="I60" s="1086"/>
      <c r="J60" s="685"/>
      <c r="K60" s="699"/>
      <c r="L60" s="2723" t="s">
        <v>887</v>
      </c>
      <c r="M60" s="2728"/>
      <c r="N60" s="2729" t="str">
        <f ca="1">NUMBERSTRING(INT(N59*10000),2)&amp;"元整"</f>
        <v>壹亿壹仟伍佰玖拾陆万元整</v>
      </c>
      <c r="O60" s="2730"/>
    </row>
    <row r="61" ht="15.15" spans="1:15">
      <c r="A61" s="2692" t="s">
        <v>891</v>
      </c>
      <c r="B61" s="2692"/>
      <c r="C61" s="2692"/>
      <c r="D61" s="2692"/>
      <c r="E61" s="2692"/>
      <c r="F61" s="2690"/>
      <c r="G61" s="2690"/>
      <c r="H61" s="2691"/>
      <c r="I61" s="1086"/>
      <c r="J61" s="699">
        <f>J59+1</f>
        <v>7</v>
      </c>
      <c r="K61" s="699" t="s">
        <v>892</v>
      </c>
      <c r="L61" s="699"/>
      <c r="M61" s="2735"/>
      <c r="N61" s="2736">
        <f ca="1">ROUND(N59*10000/'数据-汇总表'!E3,0)</f>
        <v>11471</v>
      </c>
      <c r="O61" s="2737"/>
    </row>
    <row r="62" ht="14.4" spans="1:9">
      <c r="A62" s="2693" t="s">
        <v>893</v>
      </c>
      <c r="B62" s="650"/>
      <c r="C62" s="650"/>
      <c r="D62" s="650" t="s">
        <v>894</v>
      </c>
      <c r="E62" s="2694" t="s">
        <v>848</v>
      </c>
      <c r="F62" s="2690"/>
      <c r="G62" s="2690"/>
      <c r="H62" s="2691"/>
      <c r="I62" s="1086"/>
    </row>
    <row r="63" ht="14.4" spans="1:35">
      <c r="A63" s="2695" t="s">
        <v>895</v>
      </c>
      <c r="B63" s="710" t="s">
        <v>896</v>
      </c>
      <c r="C63" s="2696">
        <f ca="1">ROUND((C64+C65)/(1+'数据-取费表'!C42),0)</f>
        <v>26049</v>
      </c>
      <c r="D63" s="710"/>
      <c r="E63" s="2697"/>
      <c r="F63" s="2690"/>
      <c r="G63" s="2690"/>
      <c r="H63" s="2691"/>
      <c r="I63" s="1086"/>
      <c r="J63" s="2738" t="s">
        <v>897</v>
      </c>
      <c r="K63" s="2738" t="s">
        <v>898</v>
      </c>
      <c r="L63" s="2738">
        <f ca="1">IF(M49&gt;10000,M49*0.5%,IF(AND(M49&gt;1000,M49&lt;=10000),M49*1%,IF(AND(M49&gt;100,M49&lt;=1000),M49*3%,IF(AND(M49&gt;10,M49&lt;=100),M49*5%,M49*8%))))</f>
        <v>136.755</v>
      </c>
      <c r="M63" s="2161">
        <f ca="1">ROUND(L63,1)</f>
        <v>136.8</v>
      </c>
      <c r="N63" s="2739"/>
      <c r="Z63" s="2535"/>
      <c r="AI63" s="2536"/>
    </row>
    <row r="64" ht="14.25" customHeight="1" spans="1:35">
      <c r="A64" s="2698" t="s">
        <v>899</v>
      </c>
      <c r="B64" s="633" t="s">
        <v>900</v>
      </c>
      <c r="C64" s="2699">
        <f ca="1">D45</f>
        <v>27351</v>
      </c>
      <c r="D64" s="633" t="s">
        <v>124</v>
      </c>
      <c r="E64" s="2700"/>
      <c r="F64" s="2690"/>
      <c r="G64" s="2690"/>
      <c r="H64" s="2691"/>
      <c r="I64" s="1086"/>
      <c r="J64" s="2738"/>
      <c r="K64" s="2738" t="s">
        <v>901</v>
      </c>
      <c r="L64" s="2738">
        <f ca="1">IF(M49&gt;2000,M49*0.5%,IF(AND(M49&gt;1000,M49&lt;=2000),M49*0.6%,IF(AND(M49&gt;500,M49&lt;=1000),M49*0.7%,IF(AND(M49&gt;200,M49&lt;=500),M49*0.8%,IF(AND(M49&gt;100,M49&lt;=200),M49*0.9%,IF(AND(M49&gt;50,M49&lt;=100),M49*1%,IF(AND(M49&gt;20,M49&lt;=50),M49*1.5%,IF(AND(M49&gt;10,M49&lt;=20),M49*2%,IF(AND(M49&gt;1,M49&lt;=10),M49*2.5%)))))))))</f>
        <v>136.755</v>
      </c>
      <c r="M64" s="2161">
        <f ca="1" t="shared" ref="M64:M65" si="1">ROUND(L64,1)</f>
        <v>136.8</v>
      </c>
      <c r="N64" s="2332" t="s">
        <v>902</v>
      </c>
      <c r="Z64" s="2535"/>
      <c r="AI64" s="2536"/>
    </row>
    <row r="65" ht="14.25" customHeight="1" spans="1:35">
      <c r="A65" s="2698" t="s">
        <v>903</v>
      </c>
      <c r="B65" s="633" t="s">
        <v>904</v>
      </c>
      <c r="C65" s="2741"/>
      <c r="D65" s="633"/>
      <c r="E65" s="2700"/>
      <c r="F65" s="2690"/>
      <c r="G65" s="2690"/>
      <c r="H65" s="2691"/>
      <c r="I65" s="1086"/>
      <c r="J65" s="2738"/>
      <c r="K65" s="2738" t="s">
        <v>905</v>
      </c>
      <c r="L65" s="2738">
        <f ca="1">IF(M49&gt;1000,M49*0.1%,IF(AND(M49&gt;500,M49&lt;=1000),M49*0.5%,IF(AND(M49&gt;50,M49&lt;=500),M49*1%,IF(AND(M49&gt;1,M49&lt;=50),M49*1.5%))))</f>
        <v>27.351</v>
      </c>
      <c r="M65" s="2161">
        <f ca="1" t="shared" si="1"/>
        <v>27.4</v>
      </c>
      <c r="N65" s="2332" t="s">
        <v>902</v>
      </c>
      <c r="Z65" s="2535"/>
      <c r="AI65" s="2536"/>
    </row>
    <row r="66" ht="14.25" customHeight="1" spans="1:35">
      <c r="A66" s="2695" t="s">
        <v>906</v>
      </c>
      <c r="B66" s="2742" t="s">
        <v>907</v>
      </c>
      <c r="C66" s="2743"/>
      <c r="D66" s="2742" t="s">
        <v>124</v>
      </c>
      <c r="E66" s="2744" t="s">
        <v>908</v>
      </c>
      <c r="F66" s="2690"/>
      <c r="G66" s="2690"/>
      <c r="H66" s="2691"/>
      <c r="I66" s="1086"/>
      <c r="J66" s="2738"/>
      <c r="K66" s="2738" t="s">
        <v>909</v>
      </c>
      <c r="L66" s="2738">
        <f ca="1">M49*0.5%</f>
        <v>136.755</v>
      </c>
      <c r="M66" s="2161">
        <f ca="1">IF(L66&gt;0.5,0.5,ROUND(L66,0))</f>
        <v>0.5</v>
      </c>
      <c r="N66" s="2332" t="s">
        <v>910</v>
      </c>
      <c r="Z66" s="2535"/>
      <c r="AI66" s="2536"/>
    </row>
    <row r="67" ht="14.25" customHeight="1" spans="1:35">
      <c r="A67" s="2695" t="s">
        <v>911</v>
      </c>
      <c r="B67" s="2742" t="s">
        <v>912</v>
      </c>
      <c r="C67" s="2745">
        <f ca="1">C63-C66</f>
        <v>26049</v>
      </c>
      <c r="D67" s="633" t="s">
        <v>124</v>
      </c>
      <c r="E67" s="2700"/>
      <c r="F67" s="2690"/>
      <c r="G67" s="2690"/>
      <c r="H67" s="2691"/>
      <c r="I67" s="1086"/>
      <c r="J67" s="2738"/>
      <c r="K67" s="2738" t="s">
        <v>913</v>
      </c>
      <c r="L67" s="2738">
        <f ca="1">IF(M49&gt;=10000,(8.25+(M49-10000)*0.01%),IF(AND(M49&gt;=8000,M49&lt;10000),(7.85+(M49-8000)*0.02%),IF(AND(M49&gt;=5000,M49&lt;8000),(6.65+(M49-5000)*0.04%),IF(AND(M49&gt;=2000,M49&lt;5000),(4.25+(PM49-2000)*0.08%),IF(AND(M49&gt;=1000,M49&lt;2000),(2.75+(M49-1000)*0.15%),IF(AND(M49&gt;=100,M49&lt;1000),(0.5+(M49-100)*0.25%),IF(AND(M49&gt;0,M49&lt;100),M49*0.5%)))))))</f>
        <v>9.9851</v>
      </c>
      <c r="M67" s="2161">
        <f ca="1">ROUND(L67*0.9,1)</f>
        <v>9</v>
      </c>
      <c r="N67" s="2739"/>
      <c r="Z67" s="2535"/>
      <c r="AI67" s="2536"/>
    </row>
    <row r="68" ht="14.25" customHeight="1" spans="1:35">
      <c r="A68" s="2746" t="s">
        <v>914</v>
      </c>
      <c r="B68" s="2747" t="s">
        <v>915</v>
      </c>
      <c r="C68" s="2748">
        <f ca="1">IF(C67&lt;=0,0,ROUND(C67*D68,0))</f>
        <v>1459</v>
      </c>
      <c r="D68" s="908">
        <f>'数据-取费表'!B41</f>
        <v>0.056</v>
      </c>
      <c r="E68" s="2749"/>
      <c r="F68" s="2690"/>
      <c r="G68" s="2690"/>
      <c r="H68" s="2691"/>
      <c r="I68" s="1086"/>
      <c r="J68" s="2738"/>
      <c r="K68" s="2738" t="s">
        <v>916</v>
      </c>
      <c r="L68" s="2738">
        <f ca="1">IF(M49&gt;10000,M49*0.5%,IF(AND(M49&gt;5000,M49&lt;=10000),M49*1%,IF(AND(M49&gt;1000,M49&lt;=5000),M49*2%,IF(AND(M49&gt;200,M49&lt;=1000),M49*3%,M49*5%))))</f>
        <v>136.755</v>
      </c>
      <c r="M68" s="2161">
        <f ca="1">ROUND(L68,1)</f>
        <v>136.8</v>
      </c>
      <c r="N68" s="2739"/>
      <c r="Z68" s="2535"/>
      <c r="AI68" s="2536"/>
    </row>
    <row r="69" s="2533" customFormat="1" ht="16.5" customHeight="1" spans="1:34">
      <c r="A69" s="2750"/>
      <c r="B69" s="2751"/>
      <c r="C69" s="2752"/>
      <c r="D69" s="824"/>
      <c r="E69" s="2753"/>
      <c r="F69" s="2689"/>
      <c r="G69" s="2689"/>
      <c r="H69" s="2637"/>
      <c r="I69" s="2538"/>
      <c r="J69" s="2738"/>
      <c r="K69" s="2738" t="s">
        <v>917</v>
      </c>
      <c r="L69" s="2738"/>
      <c r="M69" s="2161">
        <f ca="1">ROUND(SUM(M63:M68),0)</f>
        <v>447</v>
      </c>
      <c r="N69" s="2851">
        <f ca="1">M69/M49</f>
        <v>0.0163430953164418</v>
      </c>
      <c r="O69" s="1042"/>
      <c r="P69" s="1042"/>
      <c r="Q69" s="1042"/>
      <c r="R69" s="1042"/>
      <c r="S69" s="1042"/>
      <c r="T69" s="1042"/>
      <c r="U69" s="1042"/>
      <c r="V69" s="1042"/>
      <c r="W69" s="1042"/>
      <c r="X69" s="1042"/>
      <c r="Y69" s="1042"/>
      <c r="Z69" s="2535"/>
      <c r="AA69" s="2535"/>
      <c r="AB69" s="2535"/>
      <c r="AC69" s="2535"/>
      <c r="AD69" s="2535"/>
      <c r="AE69" s="2535"/>
      <c r="AF69" s="2535"/>
      <c r="AG69" s="2535"/>
      <c r="AH69" s="2535"/>
    </row>
    <row r="70" s="2534" customFormat="1" ht="14.55" spans="1:35">
      <c r="A70" s="2754" t="s">
        <v>918</v>
      </c>
      <c r="B70" s="2755"/>
      <c r="C70" s="2755"/>
      <c r="D70" s="2755"/>
      <c r="E70" s="2755"/>
      <c r="F70" s="2755"/>
      <c r="G70" s="2755"/>
      <c r="H70" s="2755"/>
      <c r="I70" s="2852"/>
      <c r="J70" s="2853"/>
      <c r="K70" s="2853"/>
      <c r="L70" s="2853"/>
      <c r="M70" s="2853"/>
      <c r="N70" s="2854"/>
      <c r="O70" s="2854"/>
      <c r="P70" s="2854"/>
      <c r="Q70" s="2854"/>
      <c r="R70" s="2854"/>
      <c r="S70" s="2854"/>
      <c r="T70" s="2854"/>
      <c r="U70" s="2854"/>
      <c r="V70" s="2854"/>
      <c r="W70" s="2854"/>
      <c r="X70" s="2854"/>
      <c r="Y70" s="2854"/>
      <c r="Z70" s="2854"/>
      <c r="AA70" s="2861"/>
      <c r="AB70" s="2861"/>
      <c r="AC70" s="2861"/>
      <c r="AD70" s="2861"/>
      <c r="AE70" s="2861"/>
      <c r="AF70" s="2861"/>
      <c r="AG70" s="2861"/>
      <c r="AH70" s="2861"/>
      <c r="AI70" s="2861"/>
    </row>
    <row r="71" s="2534" customFormat="1" ht="13.8" spans="1:35">
      <c r="A71" s="2693" t="s">
        <v>893</v>
      </c>
      <c r="B71" s="650"/>
      <c r="C71" s="650"/>
      <c r="D71" s="650" t="s">
        <v>894</v>
      </c>
      <c r="E71" s="2756" t="s">
        <v>848</v>
      </c>
      <c r="F71" s="2757"/>
      <c r="G71" s="2757"/>
      <c r="H71" s="2758"/>
      <c r="I71" s="2855"/>
      <c r="J71" s="2853"/>
      <c r="K71" s="2853"/>
      <c r="L71" s="2853"/>
      <c r="M71" s="2853"/>
      <c r="N71" s="2854"/>
      <c r="O71" s="2854"/>
      <c r="P71" s="2854"/>
      <c r="Q71" s="2854"/>
      <c r="R71" s="2854"/>
      <c r="S71" s="2854"/>
      <c r="T71" s="2854"/>
      <c r="U71" s="2854"/>
      <c r="V71" s="2854"/>
      <c r="W71" s="2854"/>
      <c r="X71" s="2854"/>
      <c r="Y71" s="2854"/>
      <c r="Z71" s="2854"/>
      <c r="AA71" s="2861"/>
      <c r="AB71" s="2861"/>
      <c r="AC71" s="2861"/>
      <c r="AD71" s="2861"/>
      <c r="AE71" s="2861"/>
      <c r="AF71" s="2861"/>
      <c r="AG71" s="2861"/>
      <c r="AH71" s="2861"/>
      <c r="AI71" s="2861"/>
    </row>
    <row r="72" s="2534" customFormat="1" ht="13.8" spans="1:35">
      <c r="A72" s="2695" t="s">
        <v>895</v>
      </c>
      <c r="B72" s="2742" t="s">
        <v>919</v>
      </c>
      <c r="C72" s="2745">
        <f ca="1">ROUND(D45/(1+'数据-取费表'!C42),0)</f>
        <v>26049</v>
      </c>
      <c r="D72" s="633" t="s">
        <v>124</v>
      </c>
      <c r="E72" s="2194"/>
      <c r="F72" s="2195"/>
      <c r="G72" s="2195"/>
      <c r="H72" s="2759"/>
      <c r="I72" s="2855"/>
      <c r="J72" s="2853"/>
      <c r="K72" s="2853"/>
      <c r="L72" s="2853"/>
      <c r="M72" s="2853"/>
      <c r="N72" s="2854"/>
      <c r="O72" s="2854"/>
      <c r="P72" s="2854"/>
      <c r="Q72" s="2854"/>
      <c r="R72" s="2854"/>
      <c r="S72" s="2854"/>
      <c r="T72" s="2854"/>
      <c r="U72" s="2854"/>
      <c r="V72" s="2854"/>
      <c r="W72" s="2854"/>
      <c r="X72" s="2854"/>
      <c r="Y72" s="2854"/>
      <c r="Z72" s="2854"/>
      <c r="AA72" s="2861"/>
      <c r="AB72" s="2861"/>
      <c r="AC72" s="2861"/>
      <c r="AD72" s="2861"/>
      <c r="AE72" s="2861"/>
      <c r="AF72" s="2861"/>
      <c r="AG72" s="2861"/>
      <c r="AH72" s="2861"/>
      <c r="AI72" s="2861"/>
    </row>
    <row r="73" s="2534" customFormat="1" ht="13.8" spans="1:35">
      <c r="A73" s="2695" t="s">
        <v>906</v>
      </c>
      <c r="B73" s="2656" t="s">
        <v>920</v>
      </c>
      <c r="C73" s="2745">
        <f ca="1">C74+C78</f>
        <v>156</v>
      </c>
      <c r="D73" s="633" t="s">
        <v>124</v>
      </c>
      <c r="E73" s="2194"/>
      <c r="F73" s="2195"/>
      <c r="G73" s="2195"/>
      <c r="H73" s="2759"/>
      <c r="I73" s="2855"/>
      <c r="J73" s="2854"/>
      <c r="K73" s="2854"/>
      <c r="L73" s="2854"/>
      <c r="M73" s="2854"/>
      <c r="N73" s="2854"/>
      <c r="O73" s="2854"/>
      <c r="P73" s="2854"/>
      <c r="Q73" s="2854"/>
      <c r="R73" s="2854"/>
      <c r="S73" s="2854"/>
      <c r="T73" s="2854"/>
      <c r="U73" s="2854"/>
      <c r="V73" s="2854"/>
      <c r="W73" s="2854"/>
      <c r="X73" s="2854"/>
      <c r="Y73" s="2854"/>
      <c r="Z73" s="2854"/>
      <c r="AA73" s="2861"/>
      <c r="AB73" s="2861"/>
      <c r="AC73" s="2861"/>
      <c r="AD73" s="2861"/>
      <c r="AE73" s="2861"/>
      <c r="AF73" s="2861"/>
      <c r="AG73" s="2861"/>
      <c r="AH73" s="2861"/>
      <c r="AI73" s="2861"/>
    </row>
    <row r="74" s="2534" customFormat="1" ht="24" spans="1:35">
      <c r="A74" s="2698" t="s">
        <v>899</v>
      </c>
      <c r="B74" s="633" t="s">
        <v>921</v>
      </c>
      <c r="C74" s="633">
        <f>ROUND(IF(G77="2016年5月1日后购买",C75/(1+'数据-取费表'!C42)+C76+C77,C75+C76+C77),0)</f>
        <v>0</v>
      </c>
      <c r="D74" s="633" t="s">
        <v>124</v>
      </c>
      <c r="E74" s="2194"/>
      <c r="F74" s="2195"/>
      <c r="G74" s="2195"/>
      <c r="H74" s="2759"/>
      <c r="I74" s="2855"/>
      <c r="J74" s="2854"/>
      <c r="K74" s="2854"/>
      <c r="L74" s="2854"/>
      <c r="M74" s="2854"/>
      <c r="N74" s="2854"/>
      <c r="O74" s="2854"/>
      <c r="P74" s="2854"/>
      <c r="Q74" s="2854"/>
      <c r="R74" s="2854"/>
      <c r="S74" s="2854"/>
      <c r="T74" s="2854"/>
      <c r="U74" s="2854"/>
      <c r="V74" s="2854"/>
      <c r="W74" s="2854"/>
      <c r="X74" s="2854"/>
      <c r="Y74" s="2854"/>
      <c r="Z74" s="2854"/>
      <c r="AA74" s="2861"/>
      <c r="AB74" s="2861"/>
      <c r="AC74" s="2861"/>
      <c r="AD74" s="2861"/>
      <c r="AE74" s="2861"/>
      <c r="AF74" s="2861"/>
      <c r="AG74" s="2861"/>
      <c r="AH74" s="2861"/>
      <c r="AI74" s="2861"/>
    </row>
    <row r="75" s="2534" customFormat="1" ht="28.8" spans="1:35">
      <c r="A75" s="2698" t="s">
        <v>922</v>
      </c>
      <c r="B75" s="633" t="s">
        <v>923</v>
      </c>
      <c r="C75" s="2760"/>
      <c r="D75" s="633" t="s">
        <v>124</v>
      </c>
      <c r="E75" s="2761" t="s">
        <v>924</v>
      </c>
      <c r="F75" s="2762"/>
      <c r="G75" s="2761" t="s">
        <v>925</v>
      </c>
      <c r="H75" s="2763"/>
      <c r="I75" s="927"/>
      <c r="J75" s="2854"/>
      <c r="K75" s="2854"/>
      <c r="L75" s="2854"/>
      <c r="M75" s="2854"/>
      <c r="N75" s="2854"/>
      <c r="O75" s="2854"/>
      <c r="P75" s="2854"/>
      <c r="Q75" s="2854"/>
      <c r="R75" s="2854"/>
      <c r="S75" s="2854"/>
      <c r="T75" s="2854"/>
      <c r="U75" s="2854"/>
      <c r="V75" s="2854"/>
      <c r="W75" s="2854"/>
      <c r="X75" s="2854"/>
      <c r="Y75" s="2854"/>
      <c r="Z75" s="2854"/>
      <c r="AA75" s="2861"/>
      <c r="AB75" s="2861"/>
      <c r="AC75" s="2861"/>
      <c r="AD75" s="2861"/>
      <c r="AE75" s="2861"/>
      <c r="AF75" s="2861"/>
      <c r="AG75" s="2861"/>
      <c r="AH75" s="2861"/>
      <c r="AI75" s="2861"/>
    </row>
    <row r="76" s="2534" customFormat="1" ht="24.75" customHeight="1" spans="1:35">
      <c r="A76" s="2698" t="s">
        <v>926</v>
      </c>
      <c r="B76" s="2764" t="s">
        <v>927</v>
      </c>
      <c r="C76" s="633">
        <f>IF(F75="购房发票",ROUND(C75*H75*D76,0),0)</f>
        <v>0</v>
      </c>
      <c r="D76" s="2765">
        <v>0.05</v>
      </c>
      <c r="E76" s="2194" t="s">
        <v>928</v>
      </c>
      <c r="F76" s="2195"/>
      <c r="G76" s="2195"/>
      <c r="H76" s="2766"/>
      <c r="I76" s="2855"/>
      <c r="J76" s="2854"/>
      <c r="K76" s="2854"/>
      <c r="L76" s="2854"/>
      <c r="M76" s="2854"/>
      <c r="N76" s="2854"/>
      <c r="O76" s="2854"/>
      <c r="P76" s="2854"/>
      <c r="Q76" s="2854"/>
      <c r="R76" s="2854"/>
      <c r="S76" s="2854"/>
      <c r="T76" s="2854"/>
      <c r="U76" s="2854"/>
      <c r="V76" s="2854"/>
      <c r="W76" s="2854"/>
      <c r="X76" s="2854"/>
      <c r="Y76" s="2854"/>
      <c r="Z76" s="2854"/>
      <c r="AA76" s="2861"/>
      <c r="AB76" s="2861"/>
      <c r="AC76" s="2861"/>
      <c r="AD76" s="2861"/>
      <c r="AE76" s="2861"/>
      <c r="AF76" s="2861"/>
      <c r="AG76" s="2861"/>
      <c r="AH76" s="2861"/>
      <c r="AI76" s="2861"/>
    </row>
    <row r="77" s="2534" customFormat="1" ht="24.75" customHeight="1" spans="1:35">
      <c r="A77" s="2698" t="s">
        <v>929</v>
      </c>
      <c r="B77" s="633" t="s">
        <v>930</v>
      </c>
      <c r="C77" s="633">
        <f>ROUND(IF(G77="个人住宅",0,IF(G77="2016年5月1日前购买",C75*D77,C75*D77/(1+'数据-取费表'!C42))),0)</f>
        <v>0</v>
      </c>
      <c r="D77" s="2767">
        <f>'数据-取费表'!B48+'数据-取费表'!B49</f>
        <v>0.0305</v>
      </c>
      <c r="E77" s="2317" t="s">
        <v>931</v>
      </c>
      <c r="F77" s="2768"/>
      <c r="G77" s="2769"/>
      <c r="H77" s="2766" t="str">
        <f>IF(G77="个人买卖住房","免征印花税"," ")</f>
        <v> </v>
      </c>
      <c r="I77" s="2855"/>
      <c r="J77" s="2854"/>
      <c r="K77" s="2854"/>
      <c r="L77" s="2854"/>
      <c r="M77" s="2854"/>
      <c r="N77" s="2854"/>
      <c r="O77" s="2854"/>
      <c r="P77" s="2854"/>
      <c r="Q77" s="2854"/>
      <c r="R77" s="2854"/>
      <c r="S77" s="2854"/>
      <c r="T77" s="2854"/>
      <c r="U77" s="2854"/>
      <c r="V77" s="2854"/>
      <c r="W77" s="2854"/>
      <c r="X77" s="2854"/>
      <c r="Y77" s="2854"/>
      <c r="Z77" s="2854"/>
      <c r="AA77" s="2861"/>
      <c r="AB77" s="2861"/>
      <c r="AC77" s="2861"/>
      <c r="AD77" s="2861"/>
      <c r="AE77" s="2861"/>
      <c r="AF77" s="2861"/>
      <c r="AG77" s="2861"/>
      <c r="AH77" s="2861"/>
      <c r="AI77" s="2861"/>
    </row>
    <row r="78" s="2534" customFormat="1" ht="24.75" customHeight="1" spans="1:35">
      <c r="A78" s="2698" t="s">
        <v>903</v>
      </c>
      <c r="B78" s="633" t="s">
        <v>932</v>
      </c>
      <c r="C78" s="2770">
        <f ca="1">ROUND(D45*D78/(1+'数据-取费表'!C42),0)</f>
        <v>156</v>
      </c>
      <c r="D78" s="2771">
        <f>'数据-取费表'!B43</f>
        <v>0.006</v>
      </c>
      <c r="E78" s="2772" t="s">
        <v>933</v>
      </c>
      <c r="F78" s="2773"/>
      <c r="G78" s="2773"/>
      <c r="H78" s="2774"/>
      <c r="I78" s="2856"/>
      <c r="J78" s="2854"/>
      <c r="K78" s="2854"/>
      <c r="L78" s="2854"/>
      <c r="M78" s="2854"/>
      <c r="N78" s="2854"/>
      <c r="O78" s="2854"/>
      <c r="P78" s="2854"/>
      <c r="Q78" s="2854"/>
      <c r="R78" s="2854"/>
      <c r="S78" s="2854"/>
      <c r="T78" s="2854"/>
      <c r="U78" s="2854"/>
      <c r="V78" s="2854"/>
      <c r="W78" s="2854"/>
      <c r="X78" s="2854"/>
      <c r="Y78" s="2854"/>
      <c r="Z78" s="2854"/>
      <c r="AA78" s="2861"/>
      <c r="AB78" s="2861"/>
      <c r="AC78" s="2861"/>
      <c r="AD78" s="2861"/>
      <c r="AE78" s="2861"/>
      <c r="AF78" s="2861"/>
      <c r="AG78" s="2861"/>
      <c r="AH78" s="2861"/>
      <c r="AI78" s="2861"/>
    </row>
    <row r="79" s="2534" customFormat="1" ht="13.8" spans="1:35">
      <c r="A79" s="2695" t="s">
        <v>911</v>
      </c>
      <c r="B79" s="2742" t="s">
        <v>934</v>
      </c>
      <c r="C79" s="2745">
        <f ca="1">C72-C73</f>
        <v>25893</v>
      </c>
      <c r="D79" s="633" t="s">
        <v>124</v>
      </c>
      <c r="E79" s="2194"/>
      <c r="F79" s="2195"/>
      <c r="G79" s="2195"/>
      <c r="H79" s="2759"/>
      <c r="I79" s="2855"/>
      <c r="J79" s="2854"/>
      <c r="K79" s="2854"/>
      <c r="L79" s="2854"/>
      <c r="M79" s="2854"/>
      <c r="N79" s="2854"/>
      <c r="O79" s="2854"/>
      <c r="P79" s="2854"/>
      <c r="Q79" s="2854"/>
      <c r="R79" s="2854"/>
      <c r="S79" s="2854"/>
      <c r="T79" s="2854"/>
      <c r="U79" s="2854"/>
      <c r="V79" s="2854"/>
      <c r="W79" s="2854"/>
      <c r="X79" s="2854"/>
      <c r="Y79" s="2854"/>
      <c r="Z79" s="2854"/>
      <c r="AA79" s="2861"/>
      <c r="AB79" s="2861"/>
      <c r="AC79" s="2861"/>
      <c r="AD79" s="2861"/>
      <c r="AE79" s="2861"/>
      <c r="AF79" s="2861"/>
      <c r="AG79" s="2861"/>
      <c r="AH79" s="2861"/>
      <c r="AI79" s="2861"/>
    </row>
    <row r="80" s="2534" customFormat="1" ht="24" spans="1:35">
      <c r="A80" s="2695" t="s">
        <v>914</v>
      </c>
      <c r="B80" s="2742" t="s">
        <v>935</v>
      </c>
      <c r="C80" s="2775">
        <f ca="1">IF(C79&lt;=0,0,C79/C73)</f>
        <v>165.980769230769</v>
      </c>
      <c r="D80" s="633" t="s">
        <v>124</v>
      </c>
      <c r="E80" s="2317" t="str">
        <f ca="1">IF(C80&gt;=200%,"增值额超过扣除项目金额200%",IF(C80&gt;=100%,"增值额超过扣除项目金额100%，未超过200%",IF(C80&gt;=50%,"增值额超过扣除项目金额50%，未超过100%",IF(C80&lt;50%,"增值额未超过扣除项目金额50%"))))</f>
        <v>增值额超过扣除项目金额200%</v>
      </c>
      <c r="F80" s="2195"/>
      <c r="G80" s="2195"/>
      <c r="H80" s="2759"/>
      <c r="I80" s="2855"/>
      <c r="J80" s="2854"/>
      <c r="K80" s="2854"/>
      <c r="L80" s="2854"/>
      <c r="M80" s="2854"/>
      <c r="N80" s="2854"/>
      <c r="O80" s="2854"/>
      <c r="P80" s="2854"/>
      <c r="Q80" s="2854"/>
      <c r="R80" s="2854"/>
      <c r="S80" s="2854"/>
      <c r="T80" s="2854"/>
      <c r="U80" s="2854"/>
      <c r="V80" s="2854"/>
      <c r="W80" s="2854"/>
      <c r="X80" s="2854"/>
      <c r="Y80" s="2854"/>
      <c r="Z80" s="2854"/>
      <c r="AA80" s="2861"/>
      <c r="AB80" s="2861"/>
      <c r="AC80" s="2861"/>
      <c r="AD80" s="2861"/>
      <c r="AE80" s="2861"/>
      <c r="AF80" s="2861"/>
      <c r="AG80" s="2861"/>
      <c r="AH80" s="2861"/>
      <c r="AI80" s="2861"/>
    </row>
    <row r="81" s="2534" customFormat="1" ht="24.75" spans="1:35">
      <c r="A81" s="2746" t="s">
        <v>936</v>
      </c>
      <c r="B81" s="2747" t="s">
        <v>937</v>
      </c>
      <c r="C81" s="2776">
        <f ca="1">ROUND(IF(C79&lt;=0,0,IF(C80&gt;=200%,C79*60%-C73*35%,IF(C80&gt;=100%,C79*50%-C73*15%,IF(C80&gt;=50%,C79*40%-C73*5%,IF(C80&lt;50%,C79*30%,0))))),0)</f>
        <v>15481</v>
      </c>
      <c r="D81" s="2777" t="s">
        <v>124</v>
      </c>
      <c r="E81" s="27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79"/>
      <c r="G81" s="2779"/>
      <c r="H81" s="2780"/>
      <c r="I81" s="2855"/>
      <c r="J81" s="2854"/>
      <c r="K81" s="2854"/>
      <c r="L81" s="2854"/>
      <c r="M81" s="2854"/>
      <c r="N81" s="2854"/>
      <c r="O81" s="2854"/>
      <c r="P81" s="2854"/>
      <c r="Q81" s="2854"/>
      <c r="R81" s="2854"/>
      <c r="S81" s="2854"/>
      <c r="T81" s="2854"/>
      <c r="U81" s="2854"/>
      <c r="V81" s="2854"/>
      <c r="W81" s="2854"/>
      <c r="X81" s="2854"/>
      <c r="Y81" s="2854"/>
      <c r="Z81" s="2854"/>
      <c r="AA81" s="2861"/>
      <c r="AB81" s="2861"/>
      <c r="AC81" s="2861"/>
      <c r="AD81" s="2861"/>
      <c r="AE81" s="2861"/>
      <c r="AF81" s="2861"/>
      <c r="AG81" s="2861"/>
      <c r="AH81" s="2861"/>
      <c r="AI81" s="2861"/>
    </row>
    <row r="82" s="2534" customFormat="1" ht="7.5" customHeight="1" spans="1:35">
      <c r="A82" s="2781"/>
      <c r="B82" s="2782"/>
      <c r="C82" s="808"/>
      <c r="D82" s="808"/>
      <c r="E82" s="2782"/>
      <c r="F82" s="2782"/>
      <c r="G82" s="2782"/>
      <c r="H82" s="2783"/>
      <c r="I82" s="2856"/>
      <c r="J82" s="2854"/>
      <c r="K82" s="2854"/>
      <c r="L82" s="2854"/>
      <c r="M82" s="2854"/>
      <c r="N82" s="2854"/>
      <c r="O82" s="2854"/>
      <c r="P82" s="2854"/>
      <c r="Q82" s="2854"/>
      <c r="R82" s="2854"/>
      <c r="S82" s="2854"/>
      <c r="T82" s="2854"/>
      <c r="U82" s="2854"/>
      <c r="V82" s="2854"/>
      <c r="W82" s="2854"/>
      <c r="X82" s="2854"/>
      <c r="Y82" s="2854"/>
      <c r="Z82" s="2854"/>
      <c r="AA82" s="2861"/>
      <c r="AB82" s="2861"/>
      <c r="AC82" s="2861"/>
      <c r="AD82" s="2861"/>
      <c r="AE82" s="2861"/>
      <c r="AF82" s="2861"/>
      <c r="AG82" s="2861"/>
      <c r="AH82" s="2861"/>
      <c r="AI82" s="2861"/>
    </row>
    <row r="83" s="2534" customFormat="1" ht="14.55" spans="1:35">
      <c r="A83" s="2754" t="s">
        <v>938</v>
      </c>
      <c r="B83" s="2755"/>
      <c r="C83" s="2755"/>
      <c r="D83" s="2755"/>
      <c r="E83" s="2755"/>
      <c r="F83" s="2755"/>
      <c r="G83" s="2755"/>
      <c r="H83" s="2755"/>
      <c r="I83" s="927"/>
      <c r="J83" s="2854"/>
      <c r="K83" s="2854"/>
      <c r="L83" s="2854"/>
      <c r="M83" s="2854"/>
      <c r="N83" s="2854"/>
      <c r="O83" s="2854"/>
      <c r="P83" s="2854"/>
      <c r="Q83" s="2854"/>
      <c r="R83" s="2854"/>
      <c r="S83" s="2854"/>
      <c r="T83" s="2854"/>
      <c r="U83" s="2854"/>
      <c r="V83" s="2854"/>
      <c r="W83" s="2854"/>
      <c r="X83" s="2854"/>
      <c r="Y83" s="2854"/>
      <c r="Z83" s="2854"/>
      <c r="AA83" s="2861"/>
      <c r="AB83" s="2861"/>
      <c r="AC83" s="2861"/>
      <c r="AD83" s="2861"/>
      <c r="AE83" s="2861"/>
      <c r="AF83" s="2861"/>
      <c r="AG83" s="2861"/>
      <c r="AH83" s="2861"/>
      <c r="AI83" s="2861"/>
    </row>
    <row r="84" s="2534" customFormat="1" ht="13.8" spans="1:35">
      <c r="A84" s="2693" t="s">
        <v>893</v>
      </c>
      <c r="B84" s="650"/>
      <c r="C84" s="650"/>
      <c r="D84" s="650" t="s">
        <v>894</v>
      </c>
      <c r="E84" s="2756" t="s">
        <v>848</v>
      </c>
      <c r="F84" s="2757"/>
      <c r="G84" s="2757"/>
      <c r="H84" s="2784"/>
      <c r="I84" s="927"/>
      <c r="J84" s="2854"/>
      <c r="K84" s="2854"/>
      <c r="L84" s="2854"/>
      <c r="M84" s="2854"/>
      <c r="N84" s="2854"/>
      <c r="O84" s="2854"/>
      <c r="P84" s="2854"/>
      <c r="Q84" s="2854"/>
      <c r="R84" s="2854"/>
      <c r="S84" s="2854"/>
      <c r="T84" s="2854"/>
      <c r="U84" s="2854"/>
      <c r="V84" s="2854"/>
      <c r="W84" s="2854"/>
      <c r="X84" s="2854"/>
      <c r="Y84" s="2854"/>
      <c r="Z84" s="2854"/>
      <c r="AA84" s="2861"/>
      <c r="AB84" s="2861"/>
      <c r="AC84" s="2861"/>
      <c r="AD84" s="2861"/>
      <c r="AE84" s="2861"/>
      <c r="AF84" s="2861"/>
      <c r="AG84" s="2861"/>
      <c r="AH84" s="2861"/>
      <c r="AI84" s="2861"/>
    </row>
    <row r="85" s="2534" customFormat="1" ht="13.8" spans="1:35">
      <c r="A85" s="2695" t="s">
        <v>895</v>
      </c>
      <c r="B85" s="2742" t="s">
        <v>919</v>
      </c>
      <c r="C85" s="2745">
        <f ca="1">ROUND(D45/(1+'数据-取费表'!C42),0)</f>
        <v>26049</v>
      </c>
      <c r="D85" s="633" t="s">
        <v>124</v>
      </c>
      <c r="E85" s="2194"/>
      <c r="F85" s="2195"/>
      <c r="G85" s="2195"/>
      <c r="H85" s="2785"/>
      <c r="I85" s="927"/>
      <c r="J85" s="2854"/>
      <c r="K85" s="2854"/>
      <c r="L85" s="2854"/>
      <c r="M85" s="2854"/>
      <c r="N85" s="2854"/>
      <c r="O85" s="2854"/>
      <c r="P85" s="2854"/>
      <c r="Q85" s="2854"/>
      <c r="R85" s="2854"/>
      <c r="S85" s="2854"/>
      <c r="T85" s="2854"/>
      <c r="U85" s="2854"/>
      <c r="V85" s="2854"/>
      <c r="W85" s="2854"/>
      <c r="X85" s="2854"/>
      <c r="Y85" s="2854"/>
      <c r="Z85" s="2854"/>
      <c r="AA85" s="2861"/>
      <c r="AB85" s="2861"/>
      <c r="AC85" s="2861"/>
      <c r="AD85" s="2861"/>
      <c r="AE85" s="2861"/>
      <c r="AF85" s="2861"/>
      <c r="AG85" s="2861"/>
      <c r="AH85" s="2861"/>
      <c r="AI85" s="2861"/>
    </row>
    <row r="86" s="2534" customFormat="1" ht="13.8" spans="1:35">
      <c r="A86" s="2695" t="s">
        <v>906</v>
      </c>
      <c r="B86" s="2656" t="s">
        <v>920</v>
      </c>
      <c r="C86" s="2745">
        <f ca="1">IF(H88="仅含出让金",C87+C90+C91+C92+C93+C94,C87+C91+C92+C93+C94)</f>
        <v>156</v>
      </c>
      <c r="D86" s="2786"/>
      <c r="E86" s="2194"/>
      <c r="F86" s="2195"/>
      <c r="G86" s="2195"/>
      <c r="H86" s="2785"/>
      <c r="I86" s="927"/>
      <c r="J86" s="2854"/>
      <c r="K86" s="2854"/>
      <c r="L86" s="2854"/>
      <c r="M86" s="2854"/>
      <c r="N86" s="2854"/>
      <c r="O86" s="2854"/>
      <c r="P86" s="2854"/>
      <c r="Q86" s="2854"/>
      <c r="R86" s="2854"/>
      <c r="S86" s="2854"/>
      <c r="T86" s="2854"/>
      <c r="U86" s="2854"/>
      <c r="V86" s="2854"/>
      <c r="W86" s="2854"/>
      <c r="X86" s="2854"/>
      <c r="Y86" s="2854"/>
      <c r="Z86" s="2854"/>
      <c r="AA86" s="2861"/>
      <c r="AB86" s="2861"/>
      <c r="AC86" s="2861"/>
      <c r="AD86" s="2861"/>
      <c r="AE86" s="2861"/>
      <c r="AF86" s="2861"/>
      <c r="AG86" s="2861"/>
      <c r="AH86" s="2861"/>
      <c r="AI86" s="2861"/>
    </row>
    <row r="87" s="2534" customFormat="1" ht="13.8" spans="1:35">
      <c r="A87" s="2698" t="s">
        <v>899</v>
      </c>
      <c r="B87" s="633" t="s">
        <v>939</v>
      </c>
      <c r="C87" s="2770">
        <f>C88+C89</f>
        <v>0</v>
      </c>
      <c r="D87" s="2771"/>
      <c r="E87" s="2772"/>
      <c r="F87" s="2773"/>
      <c r="G87" s="2773"/>
      <c r="H87" s="2774"/>
      <c r="I87" s="927"/>
      <c r="J87" s="2854"/>
      <c r="K87" s="2854"/>
      <c r="L87" s="2854"/>
      <c r="M87" s="2854"/>
      <c r="N87" s="2854"/>
      <c r="O87" s="2854"/>
      <c r="P87" s="2854"/>
      <c r="Q87" s="2854"/>
      <c r="R87" s="2854"/>
      <c r="S87" s="2854"/>
      <c r="T87" s="2854"/>
      <c r="U87" s="2854"/>
      <c r="V87" s="2854"/>
      <c r="W87" s="2854"/>
      <c r="X87" s="2854"/>
      <c r="Y87" s="2854"/>
      <c r="Z87" s="2854"/>
      <c r="AA87" s="2861"/>
      <c r="AB87" s="2861"/>
      <c r="AC87" s="2861"/>
      <c r="AD87" s="2861"/>
      <c r="AE87" s="2861"/>
      <c r="AF87" s="2861"/>
      <c r="AG87" s="2861"/>
      <c r="AH87" s="2861"/>
      <c r="AI87" s="2861"/>
    </row>
    <row r="88" s="2534" customFormat="1" ht="14.4" spans="1:35">
      <c r="A88" s="2698" t="s">
        <v>922</v>
      </c>
      <c r="B88" s="633" t="s">
        <v>940</v>
      </c>
      <c r="C88" s="2787"/>
      <c r="D88" s="2771"/>
      <c r="E88" s="2788" t="s">
        <v>941</v>
      </c>
      <c r="F88" s="2773"/>
      <c r="G88" s="2789" t="s">
        <v>942</v>
      </c>
      <c r="H88" s="2790"/>
      <c r="I88" s="927"/>
      <c r="J88" s="2857" t="s">
        <v>943</v>
      </c>
      <c r="K88" s="2854"/>
      <c r="L88" s="2854"/>
      <c r="M88" s="2854"/>
      <c r="N88" s="2854"/>
      <c r="O88" s="2854"/>
      <c r="P88" s="2854"/>
      <c r="Q88" s="2854"/>
      <c r="R88" s="2854"/>
      <c r="S88" s="2854"/>
      <c r="T88" s="2854"/>
      <c r="U88" s="2854"/>
      <c r="V88" s="2854"/>
      <c r="W88" s="2854"/>
      <c r="X88" s="2854"/>
      <c r="Y88" s="2854"/>
      <c r="Z88" s="2854"/>
      <c r="AA88" s="2861"/>
      <c r="AB88" s="2861"/>
      <c r="AC88" s="2861"/>
      <c r="AD88" s="2861"/>
      <c r="AE88" s="2861"/>
      <c r="AF88" s="2861"/>
      <c r="AG88" s="2861"/>
      <c r="AH88" s="2861"/>
      <c r="AI88" s="2861"/>
    </row>
    <row r="89" s="2534" customFormat="1" ht="13.8" spans="1:35">
      <c r="A89" s="2698" t="s">
        <v>926</v>
      </c>
      <c r="B89" s="633" t="s">
        <v>930</v>
      </c>
      <c r="C89" s="2770">
        <f>ROUND(C88*D89,0)</f>
        <v>0</v>
      </c>
      <c r="D89" s="2771">
        <f>'数据-取费表'!B48+'数据-取费表'!B49</f>
        <v>0.0305</v>
      </c>
      <c r="E89" s="2788" t="s">
        <v>944</v>
      </c>
      <c r="F89" s="2773"/>
      <c r="G89" s="2773"/>
      <c r="H89" s="2774"/>
      <c r="I89" s="927"/>
      <c r="J89" s="2854"/>
      <c r="K89" s="2854"/>
      <c r="L89" s="2854"/>
      <c r="M89" s="2854"/>
      <c r="N89" s="2854"/>
      <c r="O89" s="2854"/>
      <c r="P89" s="2854"/>
      <c r="Q89" s="2854"/>
      <c r="R89" s="2854"/>
      <c r="S89" s="2854"/>
      <c r="T89" s="2854"/>
      <c r="U89" s="2854"/>
      <c r="V89" s="2854"/>
      <c r="W89" s="2854"/>
      <c r="X89" s="2854"/>
      <c r="Y89" s="2854"/>
      <c r="Z89" s="2854"/>
      <c r="AA89" s="2861"/>
      <c r="AB89" s="2861"/>
      <c r="AC89" s="2861"/>
      <c r="AD89" s="2861"/>
      <c r="AE89" s="2861"/>
      <c r="AF89" s="2861"/>
      <c r="AG89" s="2861"/>
      <c r="AH89" s="2861"/>
      <c r="AI89" s="2861"/>
    </row>
    <row r="90" s="2534" customFormat="1" ht="14.4" spans="1:35">
      <c r="A90" s="2698" t="s">
        <v>903</v>
      </c>
      <c r="B90" s="633" t="s">
        <v>945</v>
      </c>
      <c r="C90" s="2787"/>
      <c r="D90" s="2771"/>
      <c r="E90" s="2788" t="str">
        <f>IF(H88="-","土地取得成本中已包含该笔费用"," ")</f>
        <v> </v>
      </c>
      <c r="F90" s="2773"/>
      <c r="G90" s="2791" t="s">
        <v>946</v>
      </c>
      <c r="H90" s="2792"/>
      <c r="I90" s="927"/>
      <c r="J90" s="2857" t="s">
        <v>947</v>
      </c>
      <c r="K90" s="2854"/>
      <c r="L90" s="2854"/>
      <c r="M90" s="2854"/>
      <c r="N90" s="2854"/>
      <c r="O90" s="2854"/>
      <c r="P90" s="2854"/>
      <c r="Q90" s="2854"/>
      <c r="R90" s="2854"/>
      <c r="S90" s="2854"/>
      <c r="T90" s="2854"/>
      <c r="U90" s="2854"/>
      <c r="V90" s="2854"/>
      <c r="W90" s="2854"/>
      <c r="X90" s="2854"/>
      <c r="Y90" s="2854"/>
      <c r="Z90" s="2854"/>
      <c r="AA90" s="2861"/>
      <c r="AB90" s="2861"/>
      <c r="AC90" s="2861"/>
      <c r="AD90" s="2861"/>
      <c r="AE90" s="2861"/>
      <c r="AF90" s="2861"/>
      <c r="AG90" s="2861"/>
      <c r="AH90" s="2861"/>
      <c r="AI90" s="2861"/>
    </row>
    <row r="91" s="2534" customFormat="1" ht="27.75" customHeight="1" spans="1:35">
      <c r="A91" s="2698" t="s">
        <v>948</v>
      </c>
      <c r="B91" s="633" t="s">
        <v>949</v>
      </c>
      <c r="C91" s="2770">
        <f ca="1">IF(H91="——",成本法!C33,I91)</f>
        <v>0</v>
      </c>
      <c r="D91" s="2771"/>
      <c r="E91" s="2772" t="s">
        <v>950</v>
      </c>
      <c r="F91" s="2773"/>
      <c r="G91" s="2773"/>
      <c r="H91" s="2793"/>
      <c r="I91" s="2858"/>
      <c r="J91" s="2854"/>
      <c r="K91" s="2854"/>
      <c r="L91" s="2854"/>
      <c r="M91" s="2854"/>
      <c r="N91" s="2854"/>
      <c r="O91" s="2854"/>
      <c r="P91" s="2854"/>
      <c r="Q91" s="2854"/>
      <c r="R91" s="2854"/>
      <c r="S91" s="2854"/>
      <c r="T91" s="2854"/>
      <c r="U91" s="2854"/>
      <c r="V91" s="2854"/>
      <c r="W91" s="2854"/>
      <c r="X91" s="2854"/>
      <c r="Y91" s="2854"/>
      <c r="Z91" s="2854"/>
      <c r="AA91" s="2861"/>
      <c r="AB91" s="2861"/>
      <c r="AC91" s="2861"/>
      <c r="AD91" s="2861"/>
      <c r="AE91" s="2861"/>
      <c r="AF91" s="2861"/>
      <c r="AG91" s="2861"/>
      <c r="AH91" s="2861"/>
      <c r="AI91" s="2861"/>
    </row>
    <row r="92" s="2534" customFormat="1" ht="25.5" customHeight="1" spans="1:35">
      <c r="A92" s="2698" t="s">
        <v>951</v>
      </c>
      <c r="B92" s="633" t="s">
        <v>952</v>
      </c>
      <c r="C92" s="2770">
        <f ca="1">ROUND((C87+C90+C91)*D92,0)</f>
        <v>0</v>
      </c>
      <c r="D92" s="2794"/>
      <c r="E92" s="2772" t="s">
        <v>953</v>
      </c>
      <c r="F92" s="2773"/>
      <c r="G92" s="2773"/>
      <c r="H92" s="2774"/>
      <c r="I92" s="927"/>
      <c r="J92" s="2859" t="s">
        <v>954</v>
      </c>
      <c r="K92" s="2854"/>
      <c r="L92" s="2854"/>
      <c r="M92" s="2854"/>
      <c r="N92" s="2854"/>
      <c r="O92" s="2854"/>
      <c r="P92" s="2854"/>
      <c r="Q92" s="2854"/>
      <c r="R92" s="2854"/>
      <c r="S92" s="2854"/>
      <c r="T92" s="2854"/>
      <c r="U92" s="2854"/>
      <c r="V92" s="2854"/>
      <c r="W92" s="2854"/>
      <c r="X92" s="2854"/>
      <c r="Y92" s="2854"/>
      <c r="Z92" s="2854"/>
      <c r="AA92" s="2861"/>
      <c r="AB92" s="2861"/>
      <c r="AC92" s="2861"/>
      <c r="AD92" s="2861"/>
      <c r="AE92" s="2861"/>
      <c r="AF92" s="2861"/>
      <c r="AG92" s="2861"/>
      <c r="AH92" s="2861"/>
      <c r="AI92" s="2861"/>
    </row>
    <row r="93" s="2534" customFormat="1" ht="25.5" customHeight="1" spans="1:35">
      <c r="A93" s="2698" t="s">
        <v>955</v>
      </c>
      <c r="B93" s="633" t="s">
        <v>932</v>
      </c>
      <c r="C93" s="2770">
        <f ca="1">ROUND(D45*D93/(1+'数据-取费表'!C42),0)</f>
        <v>156</v>
      </c>
      <c r="D93" s="2771">
        <f>'数据-取费表'!B43</f>
        <v>0.006</v>
      </c>
      <c r="E93" s="2772" t="s">
        <v>933</v>
      </c>
      <c r="F93" s="2773"/>
      <c r="G93" s="2773"/>
      <c r="H93" s="2774"/>
      <c r="I93" s="927"/>
      <c r="J93" s="2854"/>
      <c r="K93" s="2854"/>
      <c r="L93" s="2854"/>
      <c r="M93" s="2854"/>
      <c r="N93" s="2854"/>
      <c r="O93" s="2854"/>
      <c r="P93" s="2854"/>
      <c r="Q93" s="2854"/>
      <c r="R93" s="2854"/>
      <c r="S93" s="2854"/>
      <c r="T93" s="2854"/>
      <c r="U93" s="2854"/>
      <c r="V93" s="2854"/>
      <c r="W93" s="2854"/>
      <c r="X93" s="2854"/>
      <c r="Y93" s="2854"/>
      <c r="Z93" s="2854"/>
      <c r="AA93" s="2861"/>
      <c r="AB93" s="2861"/>
      <c r="AC93" s="2861"/>
      <c r="AD93" s="2861"/>
      <c r="AE93" s="2861"/>
      <c r="AF93" s="2861"/>
      <c r="AG93" s="2861"/>
      <c r="AH93" s="2861"/>
      <c r="AI93" s="2861"/>
    </row>
    <row r="94" s="2534" customFormat="1" ht="36.75" customHeight="1" spans="1:35">
      <c r="A94" s="2698" t="s">
        <v>956</v>
      </c>
      <c r="B94" s="633" t="s">
        <v>957</v>
      </c>
      <c r="C94" s="2787">
        <f ca="1">ROUND((C87+C90+C91)*D94,0)</f>
        <v>0</v>
      </c>
      <c r="D94" s="2771">
        <v>0.2</v>
      </c>
      <c r="E94" s="2795" t="s">
        <v>958</v>
      </c>
      <c r="F94" s="2796"/>
      <c r="G94" s="2796"/>
      <c r="H94" s="2797"/>
      <c r="I94" s="927"/>
      <c r="J94" s="2854"/>
      <c r="K94" s="2854"/>
      <c r="L94" s="2854"/>
      <c r="M94" s="2854"/>
      <c r="N94" s="2854"/>
      <c r="O94" s="2854"/>
      <c r="P94" s="2854"/>
      <c r="Q94" s="2854"/>
      <c r="R94" s="2854"/>
      <c r="S94" s="2854"/>
      <c r="T94" s="2854"/>
      <c r="U94" s="2854"/>
      <c r="V94" s="2854"/>
      <c r="W94" s="2854"/>
      <c r="X94" s="2854"/>
      <c r="Y94" s="2854"/>
      <c r="Z94" s="2854"/>
      <c r="AA94" s="2861"/>
      <c r="AB94" s="2861"/>
      <c r="AC94" s="2861"/>
      <c r="AD94" s="2861"/>
      <c r="AE94" s="2861"/>
      <c r="AF94" s="2861"/>
      <c r="AG94" s="2861"/>
      <c r="AH94" s="2861"/>
      <c r="AI94" s="2861"/>
    </row>
    <row r="95" s="2534" customFormat="1" ht="13.8" spans="1:35">
      <c r="A95" s="2695" t="s">
        <v>911</v>
      </c>
      <c r="B95" s="2742" t="s">
        <v>934</v>
      </c>
      <c r="C95" s="2745">
        <f ca="1">ROUND(C85-C86,0)</f>
        <v>25893</v>
      </c>
      <c r="D95" s="633" t="s">
        <v>124</v>
      </c>
      <c r="E95" s="2194"/>
      <c r="F95" s="2195"/>
      <c r="G95" s="2195"/>
      <c r="H95" s="2785"/>
      <c r="I95" s="927"/>
      <c r="J95" s="2854"/>
      <c r="K95" s="2854"/>
      <c r="L95" s="2854"/>
      <c r="M95" s="2854"/>
      <c r="N95" s="2854"/>
      <c r="O95" s="2854"/>
      <c r="P95" s="2854"/>
      <c r="Q95" s="2854"/>
      <c r="R95" s="2854"/>
      <c r="S95" s="2854"/>
      <c r="T95" s="2854"/>
      <c r="U95" s="2854"/>
      <c r="V95" s="2854"/>
      <c r="W95" s="2854"/>
      <c r="X95" s="2854"/>
      <c r="Y95" s="2854"/>
      <c r="Z95" s="2854"/>
      <c r="AA95" s="2861"/>
      <c r="AB95" s="2861"/>
      <c r="AC95" s="2861"/>
      <c r="AD95" s="2861"/>
      <c r="AE95" s="2861"/>
      <c r="AF95" s="2861"/>
      <c r="AG95" s="2861"/>
      <c r="AH95" s="2861"/>
      <c r="AI95" s="2861"/>
    </row>
    <row r="96" s="2534" customFormat="1" ht="24" spans="1:35">
      <c r="A96" s="2695" t="s">
        <v>914</v>
      </c>
      <c r="B96" s="2742" t="s">
        <v>935</v>
      </c>
      <c r="C96" s="2775">
        <f ca="1">IF(C95&lt;=0,0,C95/C86)</f>
        <v>165.980769230769</v>
      </c>
      <c r="D96" s="633" t="s">
        <v>124</v>
      </c>
      <c r="E96" s="2317" t="str">
        <f ca="1">IF(C96&gt;=200%,"增值额超过扣除项目金额200%",IF(C96&gt;=100%,"增值额超过扣除项目金额100%，未超过200%",IF(C96&gt;=50%,"增值额超过扣除项目金额50%，未超过100%",IF(C96&lt;50%,"增值额未超过扣除项目金额50%"))))</f>
        <v>增值额超过扣除项目金额200%</v>
      </c>
      <c r="F96" s="2195"/>
      <c r="G96" s="2195"/>
      <c r="H96" s="2785"/>
      <c r="I96" s="927"/>
      <c r="J96" s="2854"/>
      <c r="K96" s="2854"/>
      <c r="L96" s="2854"/>
      <c r="M96" s="2854"/>
      <c r="N96" s="2854"/>
      <c r="O96" s="2854"/>
      <c r="P96" s="2854"/>
      <c r="Q96" s="2854"/>
      <c r="R96" s="2854"/>
      <c r="S96" s="2854"/>
      <c r="T96" s="2854"/>
      <c r="U96" s="2854"/>
      <c r="V96" s="2854"/>
      <c r="W96" s="2854"/>
      <c r="X96" s="2854"/>
      <c r="Y96" s="2854"/>
      <c r="Z96" s="2854"/>
      <c r="AA96" s="2861"/>
      <c r="AB96" s="2861"/>
      <c r="AC96" s="2861"/>
      <c r="AD96" s="2861"/>
      <c r="AE96" s="2861"/>
      <c r="AF96" s="2861"/>
      <c r="AG96" s="2861"/>
      <c r="AH96" s="2861"/>
      <c r="AI96" s="2861"/>
    </row>
    <row r="97" s="2534" customFormat="1" ht="24.75" spans="1:35">
      <c r="A97" s="2746" t="s">
        <v>936</v>
      </c>
      <c r="B97" s="2747" t="s">
        <v>937</v>
      </c>
      <c r="C97" s="2776">
        <f ca="1">ROUND(IF(C95&lt;=0,0,IF(C96&gt;=200%,C95*60%-C86*35%,IF(C96&gt;=100%,C95*50%-C86*15%,IF(C96&gt;=50%,C95*40%-C86*5%,IF(C96&lt;50%,C95*30%,0))))),0)</f>
        <v>15481</v>
      </c>
      <c r="D97" s="2777" t="s">
        <v>124</v>
      </c>
      <c r="E97" s="27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79"/>
      <c r="G97" s="2779"/>
      <c r="H97" s="2798"/>
      <c r="I97" s="927"/>
      <c r="J97" s="2854"/>
      <c r="K97" s="2854"/>
      <c r="L97" s="2854"/>
      <c r="M97" s="2854"/>
      <c r="N97" s="2854"/>
      <c r="O97" s="2854"/>
      <c r="P97" s="2854"/>
      <c r="Q97" s="2854"/>
      <c r="R97" s="2854"/>
      <c r="S97" s="2854"/>
      <c r="T97" s="2854"/>
      <c r="U97" s="2854"/>
      <c r="V97" s="2854"/>
      <c r="W97" s="2854"/>
      <c r="X97" s="2854"/>
      <c r="Y97" s="2854"/>
      <c r="Z97" s="2854"/>
      <c r="AA97" s="2861"/>
      <c r="AB97" s="2861"/>
      <c r="AC97" s="2861"/>
      <c r="AD97" s="2861"/>
      <c r="AE97" s="2861"/>
      <c r="AF97" s="2861"/>
      <c r="AG97" s="2861"/>
      <c r="AH97" s="2861"/>
      <c r="AI97" s="2861"/>
    </row>
    <row r="98" customHeight="1" spans="1:9">
      <c r="A98" s="2688"/>
      <c r="B98" s="2538"/>
      <c r="C98" s="2538"/>
      <c r="D98" s="2538"/>
      <c r="E98" s="2689"/>
      <c r="F98" s="2689"/>
      <c r="G98" s="2689"/>
      <c r="H98" s="2637"/>
      <c r="I98" s="1086"/>
    </row>
    <row r="99" customHeight="1" spans="1:9">
      <c r="A99" s="2639" t="s">
        <v>959</v>
      </c>
      <c r="B99" s="2538"/>
      <c r="C99" s="2538"/>
      <c r="D99" s="2538"/>
      <c r="E99" s="2689"/>
      <c r="F99" s="2689"/>
      <c r="G99" s="2689"/>
      <c r="H99" s="2637"/>
      <c r="I99" s="1086"/>
    </row>
    <row r="100" ht="18.75" customHeight="1" spans="1:9">
      <c r="A100" s="2799" t="s">
        <v>960</v>
      </c>
      <c r="B100" s="2800"/>
      <c r="C100" s="2800"/>
      <c r="D100" s="2801"/>
      <c r="E100" s="2800" t="s">
        <v>961</v>
      </c>
      <c r="F100" s="2800"/>
      <c r="G100" s="2800"/>
      <c r="H100" s="2801"/>
      <c r="I100" s="1086"/>
    </row>
    <row r="101" ht="18.75" customHeight="1" spans="1:9">
      <c r="A101" s="2802" t="s">
        <v>962</v>
      </c>
      <c r="B101" s="2803"/>
      <c r="C101" s="2804" t="str">
        <f>C4</f>
        <v>比较法-办公</v>
      </c>
      <c r="D101" s="2805" t="str">
        <f>D4</f>
        <v>收益法</v>
      </c>
      <c r="E101" s="2806" t="s">
        <v>963</v>
      </c>
      <c r="F101" s="2807"/>
      <c r="G101" s="2808" t="s">
        <v>964</v>
      </c>
      <c r="H101" s="2809">
        <f ca="1">H118</f>
        <v>27351</v>
      </c>
      <c r="I101" s="1086"/>
    </row>
    <row r="102" ht="18.75" customHeight="1" spans="1:9">
      <c r="A102" s="2810" t="s">
        <v>965</v>
      </c>
      <c r="B102" s="2811" t="s">
        <v>964</v>
      </c>
      <c r="C102" s="2804">
        <f ca="1">IF(D32="楼面单价",ROUND(C19,0),C19)</f>
        <v>40174</v>
      </c>
      <c r="D102" s="2805">
        <f ca="1">IF(D32="楼面单价",ROUND(D19,0),D19)</f>
        <v>14528</v>
      </c>
      <c r="E102" s="2806"/>
      <c r="F102" s="2807"/>
      <c r="G102" s="2808" t="s">
        <v>99</v>
      </c>
      <c r="H102" s="2675">
        <f ca="1">I118</f>
        <v>27056</v>
      </c>
      <c r="I102" s="1086"/>
    </row>
    <row r="103" ht="42.75" customHeight="1" spans="1:9">
      <c r="A103" s="2810"/>
      <c r="B103" s="2811" t="s">
        <v>99</v>
      </c>
      <c r="C103" s="2812">
        <f ca="1">C20</f>
        <v>39740</v>
      </c>
      <c r="D103" s="2813">
        <f ca="1">D20</f>
        <v>14371</v>
      </c>
      <c r="E103" s="2814" t="s">
        <v>966</v>
      </c>
      <c r="F103" s="2815"/>
      <c r="G103" s="2816" t="s">
        <v>102</v>
      </c>
      <c r="H103" s="2809">
        <f>IF(D36="正常操作",H104+H105+H106,H105+H106)</f>
        <v>0</v>
      </c>
      <c r="I103" s="1086"/>
    </row>
    <row r="104" ht="18.75" customHeight="1" spans="1:9">
      <c r="A104" s="2810" t="s">
        <v>967</v>
      </c>
      <c r="B104" s="2817" t="s">
        <v>964</v>
      </c>
      <c r="C104" s="2818">
        <f ca="1">H118</f>
        <v>27351</v>
      </c>
      <c r="D104" s="2819"/>
      <c r="E104" s="2621" t="s">
        <v>968</v>
      </c>
      <c r="F104" s="2820"/>
      <c r="G104" s="2816" t="s">
        <v>102</v>
      </c>
      <c r="H104" s="2821">
        <f>IF(D36="同一抵押权人同一抵押物续贷",C36&amp;"（续贷，未扣减，详见特别提示）",C36)</f>
        <v>0</v>
      </c>
      <c r="I104" s="1086"/>
    </row>
    <row r="105" ht="18.75" customHeight="1" spans="1:9">
      <c r="A105" s="2822"/>
      <c r="B105" s="2823" t="s">
        <v>99</v>
      </c>
      <c r="C105" s="2824">
        <f ca="1">I118</f>
        <v>27056</v>
      </c>
      <c r="D105" s="2825"/>
      <c r="E105" s="2621" t="s">
        <v>969</v>
      </c>
      <c r="F105" s="2820"/>
      <c r="G105" s="2816" t="s">
        <v>102</v>
      </c>
      <c r="H105" s="2826">
        <f>C37</f>
        <v>0</v>
      </c>
      <c r="I105" s="1086"/>
    </row>
    <row r="106" ht="18.75" customHeight="1" spans="1:9">
      <c r="A106" s="2538" t="s">
        <v>970</v>
      </c>
      <c r="B106" s="2538"/>
      <c r="C106" s="2538"/>
      <c r="D106" s="2538"/>
      <c r="E106" s="2827" t="s">
        <v>971</v>
      </c>
      <c r="F106" s="2820"/>
      <c r="G106" s="2816" t="s">
        <v>102</v>
      </c>
      <c r="H106" s="2826">
        <f>C38</f>
        <v>0</v>
      </c>
      <c r="I106" s="1086"/>
    </row>
    <row r="107" ht="18.75" customHeight="1" spans="1:9">
      <c r="A107" s="1086"/>
      <c r="B107" s="1086"/>
      <c r="C107" s="1086"/>
      <c r="D107" s="1086"/>
      <c r="E107" s="2828" t="str">
        <f>IF(项目基本情况!E8="已注销","——","3.房地产抵押价值")</f>
        <v>——</v>
      </c>
      <c r="F107" s="2807"/>
      <c r="G107" s="2808" t="s">
        <v>964</v>
      </c>
      <c r="H107" s="2809" t="str">
        <f ca="1">IF(E107="——","——",H101-H103)</f>
        <v>——</v>
      </c>
      <c r="I107" s="1086"/>
    </row>
    <row r="108" ht="18.75" customHeight="1" spans="1:9">
      <c r="A108" s="1086"/>
      <c r="B108" s="1086"/>
      <c r="C108" s="1086"/>
      <c r="D108" s="1086"/>
      <c r="E108" s="2828"/>
      <c r="F108" s="2807"/>
      <c r="G108" s="2808" t="s">
        <v>99</v>
      </c>
      <c r="H108" s="2675" t="e">
        <f ca="1">IF(H107=H101,H102,ROUND(H107*10000/'数据-汇总表'!E3,0))</f>
        <v>#VALUE!</v>
      </c>
      <c r="I108" s="1086"/>
    </row>
    <row r="109" ht="18.75" customHeight="1" spans="1:9">
      <c r="A109" s="1086"/>
      <c r="B109" s="1086"/>
      <c r="C109" s="1086"/>
      <c r="D109" s="1086"/>
      <c r="E109" s="2828" t="str">
        <f>IF(项目基本情况!E8="已注销及未注销","4.抵押担保权已注销时的房地产抵押价值",IF(项目基本情况!E8="已注销","3.抵押担保权已注销时的房地产抵押价值","——"))</f>
        <v>3.抵押担保权已注销时的房地产抵押价值</v>
      </c>
      <c r="F109" s="2807"/>
      <c r="G109" s="2808" t="s">
        <v>964</v>
      </c>
      <c r="H109" s="2829">
        <f ca="1">IF(E109="——","——",H101-H105-H106)</f>
        <v>27351</v>
      </c>
      <c r="I109" s="1086"/>
    </row>
    <row r="110" ht="18.75" customHeight="1" spans="1:9">
      <c r="A110" s="1086"/>
      <c r="B110" s="1086"/>
      <c r="C110" s="1086"/>
      <c r="D110" s="1086"/>
      <c r="E110" s="2828"/>
      <c r="F110" s="2807"/>
      <c r="G110" s="2808" t="s">
        <v>99</v>
      </c>
      <c r="H110" s="2675">
        <f ca="1">IF(H109="——","——",ROUND(H109*10000/'数据-汇总表'!E3,0))</f>
        <v>27056</v>
      </c>
      <c r="I110" s="1086"/>
    </row>
    <row r="111" ht="18.75" customHeight="1" spans="1:9">
      <c r="A111" s="1086"/>
      <c r="B111" s="1086"/>
      <c r="C111" s="1086"/>
      <c r="D111" s="1086"/>
      <c r="E111" s="2830" t="str">
        <f>IF(项目基本情况!E9="抵押净值",IF(OR(项目基本情况!E8="已注销",项目基本情况!E8="房地产抵押价值"),"4.抵押净值","5.抵押净值"),"——")</f>
        <v>——</v>
      </c>
      <c r="F111" s="2831"/>
      <c r="G111" s="2808" t="s">
        <v>964</v>
      </c>
      <c r="H111" s="2809" t="str">
        <f ca="1">IF(E111="——","——",N59)</f>
        <v>——</v>
      </c>
      <c r="I111" s="1086"/>
    </row>
    <row r="112" ht="18.75" customHeight="1" spans="1:9">
      <c r="A112" s="1086"/>
      <c r="B112" s="1086"/>
      <c r="C112" s="1086"/>
      <c r="D112" s="1086"/>
      <c r="E112" s="2832"/>
      <c r="F112" s="2833"/>
      <c r="G112" s="2834" t="s">
        <v>99</v>
      </c>
      <c r="H112" s="2835" t="str">
        <f ca="1">IF(E111="——","——",N61)</f>
        <v>——</v>
      </c>
      <c r="I112" s="1086"/>
    </row>
    <row r="113" ht="18.75" customHeight="1" spans="1:9">
      <c r="A113" s="1086"/>
      <c r="B113" s="1086"/>
      <c r="C113" s="1086"/>
      <c r="D113" s="1086"/>
      <c r="E113" s="2836" t="s">
        <v>970</v>
      </c>
      <c r="F113" s="2836"/>
      <c r="G113" s="2836"/>
      <c r="H113" s="2836"/>
      <c r="I113" s="1086"/>
    </row>
    <row r="114" ht="3.75" customHeight="1" spans="1:9">
      <c r="A114" s="2538"/>
      <c r="B114" s="2538"/>
      <c r="C114" s="2538"/>
      <c r="D114" s="2538"/>
      <c r="E114" s="2688"/>
      <c r="F114" s="2688"/>
      <c r="G114" s="2688"/>
      <c r="H114" s="2688"/>
      <c r="I114" s="2538"/>
    </row>
    <row r="115" ht="18.75" customHeight="1" spans="1:9">
      <c r="A115" s="2837" t="s">
        <v>972</v>
      </c>
      <c r="B115" s="2838"/>
      <c r="C115" s="2838"/>
      <c r="D115" s="2838"/>
      <c r="E115" s="2838"/>
      <c r="F115" s="2838"/>
      <c r="G115" s="2838"/>
      <c r="H115" s="2838"/>
      <c r="I115" s="2860"/>
    </row>
    <row r="116" ht="27" customHeight="1" spans="1:9">
      <c r="A116" s="2551" t="s">
        <v>973</v>
      </c>
      <c r="B116" s="2839" t="s">
        <v>974</v>
      </c>
      <c r="C116" s="2839" t="s">
        <v>975</v>
      </c>
      <c r="D116" s="2840" t="s">
        <v>976</v>
      </c>
      <c r="E116" s="2841"/>
      <c r="F116" s="2842" t="s">
        <v>977</v>
      </c>
      <c r="G116" s="2842"/>
      <c r="H116" s="2551" t="s">
        <v>978</v>
      </c>
      <c r="I116" s="2551"/>
    </row>
    <row r="117" ht="18.75" customHeight="1" spans="1:9">
      <c r="A117" s="2551"/>
      <c r="B117" s="2843"/>
      <c r="C117" s="2843"/>
      <c r="D117" s="2551" t="s">
        <v>979</v>
      </c>
      <c r="E117" s="2551" t="s">
        <v>806</v>
      </c>
      <c r="F117" s="2551" t="s">
        <v>979</v>
      </c>
      <c r="G117" s="2551" t="s">
        <v>806</v>
      </c>
      <c r="H117" s="2551" t="s">
        <v>979</v>
      </c>
      <c r="I117" s="2551" t="s">
        <v>806</v>
      </c>
    </row>
    <row r="118" ht="24.75" customHeight="1" spans="1:9">
      <c r="A118" s="2844" t="str">
        <f>项目基本情况!S2</f>
        <v>北京市房地产</v>
      </c>
      <c r="B118" s="2551">
        <f>M18</f>
        <v>10109.15</v>
      </c>
      <c r="C118" s="2551">
        <f>M19</f>
        <v>3208.2</v>
      </c>
      <c r="D118" s="2551">
        <f ca="1">ROUND(IF(D32="总价",C34,E118*B118/10000),0)</f>
        <v>17505</v>
      </c>
      <c r="E118" s="2551">
        <f ca="1">ROUND(IF(C33="自定义",IF(D32="楼面单价",C34,D118*10000/B118),I118-G118),0)</f>
        <v>17316</v>
      </c>
      <c r="F118" s="2551">
        <f ca="1">ROUND(IF(D32="总价",C35,G118*B118/10000),0)</f>
        <v>9846</v>
      </c>
      <c r="G118" s="2551">
        <f ca="1">ROUND(IF(D32="楼面单价",C35,F118*10000/B118),0)</f>
        <v>9740</v>
      </c>
      <c r="H118" s="2551">
        <f ca="1">ROUND(IF(D32="总价",C32,I118*B118/10000),0)</f>
        <v>27351</v>
      </c>
      <c r="I118" s="2551">
        <f ca="1">ROUND(IF(D32="楼面单价",C32,H118*10000/B118),0)</f>
        <v>27056</v>
      </c>
    </row>
    <row r="119" ht="18.75" customHeight="1" spans="1:9">
      <c r="A119" s="2551" t="s">
        <v>980</v>
      </c>
      <c r="B119" s="2551"/>
      <c r="C119" s="2551"/>
      <c r="D119" s="2845" t="str">
        <f ca="1">NUMBERSTRING(INT(D118*10000),2)&amp;"元整"</f>
        <v>壹亿柒仟伍佰零伍万元整</v>
      </c>
      <c r="E119" s="2846"/>
      <c r="F119" s="2845" t="str">
        <f ca="1">NUMBERSTRING(INT(F118*10000),2)&amp;"元整"</f>
        <v>玖仟捌佰肆拾陆万元整</v>
      </c>
      <c r="G119" s="2846"/>
      <c r="H119" s="2845" t="str">
        <f ca="1">NUMBERSTRING(INT(H118*10000),2)&amp;"元整"</f>
        <v>贰亿柒仟叁佰伍拾壹万元整</v>
      </c>
      <c r="I119" s="2846"/>
    </row>
    <row r="120" ht="18.75" customHeight="1" spans="1:19">
      <c r="A120" s="2847" t="str">
        <f>IF(项目基本情况!B9="房地产市场价值","",MID(E103,3,LEN(E103)-2))</f>
        <v>估价师知悉的法定优先受偿款</v>
      </c>
      <c r="B120" s="2848"/>
      <c r="C120" s="2849"/>
      <c r="D120" s="2847">
        <f>H103</f>
        <v>0</v>
      </c>
      <c r="E120" s="2848"/>
      <c r="F120" s="2848"/>
      <c r="G120" s="2848"/>
      <c r="H120" s="2848"/>
      <c r="I120" s="2849"/>
      <c r="J120" s="2535"/>
      <c r="K120" s="2535" t="str">
        <f>IF(D120=0,"故，本次评估不存在"&amp;A120,"故，本次评估"&amp;A120&amp;"为人民币"&amp;D120&amp;"万元整。")</f>
        <v>故，本次评估不存在估价师知悉的法定优先受偿款</v>
      </c>
      <c r="L120" s="2535"/>
      <c r="M120" s="2535"/>
      <c r="N120" s="2535"/>
      <c r="O120" s="2535"/>
      <c r="P120" s="2535"/>
      <c r="Q120" s="2535"/>
      <c r="R120" s="2535"/>
      <c r="S120" s="2535"/>
    </row>
    <row r="121" ht="18.75" customHeight="1" spans="1:27">
      <c r="A121" s="2845" t="s">
        <v>980</v>
      </c>
      <c r="B121" s="2850"/>
      <c r="C121" s="2846"/>
      <c r="D121" s="2845" t="str">
        <f>IF(D120=0,"零元整",NUMBERSTRING(INT(D120*10000),2)&amp;"元整")</f>
        <v>零元整</v>
      </c>
      <c r="E121" s="2850"/>
      <c r="F121" s="2850"/>
      <c r="G121" s="2850"/>
      <c r="H121" s="2850"/>
      <c r="I121" s="2846"/>
      <c r="AA121" s="1042"/>
    </row>
    <row r="122" ht="18.75" customHeight="1" spans="1:27">
      <c r="A122" s="2831" t="str">
        <f>IF(项目基本情况!B9="房地产市场价值","",MID(E107,3,LEN(E107)-2))</f>
        <v/>
      </c>
      <c r="B122" s="2831"/>
      <c r="C122" s="2831"/>
      <c r="D122" s="2847" t="str">
        <f ca="1">H107</f>
        <v>——</v>
      </c>
      <c r="E122" s="2848"/>
      <c r="F122" s="2848"/>
      <c r="G122" s="2848"/>
      <c r="H122" s="2848"/>
      <c r="I122" s="2849"/>
      <c r="AA122" s="1042"/>
    </row>
    <row r="123" ht="18.75" customHeight="1" spans="1:27">
      <c r="A123" s="2551" t="s">
        <v>980</v>
      </c>
      <c r="B123" s="2551"/>
      <c r="C123" s="2551"/>
      <c r="D123" s="2845" t="e">
        <f ca="1">NUMBERSTRING(INT(D122*10000),2)&amp;"元整"</f>
        <v>#VALUE!</v>
      </c>
      <c r="E123" s="2850"/>
      <c r="F123" s="2850"/>
      <c r="G123" s="2850"/>
      <c r="H123" s="2850"/>
      <c r="I123" s="2846"/>
      <c r="AA123" s="1042"/>
    </row>
    <row r="124" ht="18.75" customHeight="1" spans="1:27">
      <c r="A124" s="2831" t="str">
        <f>IF(项目基本情况!B9="房地产市场价值","",MID(E109,3,LEN(E109)-2))</f>
        <v>抵押担保权已注销时的房地产抵押价值</v>
      </c>
      <c r="B124" s="2831"/>
      <c r="C124" s="2831"/>
      <c r="D124" s="2847">
        <f ca="1">H109</f>
        <v>27351</v>
      </c>
      <c r="E124" s="2848"/>
      <c r="F124" s="2848"/>
      <c r="G124" s="2848"/>
      <c r="H124" s="2848"/>
      <c r="I124" s="2849"/>
      <c r="AA124" s="1042"/>
    </row>
    <row r="125" ht="18.75" customHeight="1" spans="1:27">
      <c r="A125" s="2551" t="s">
        <v>980</v>
      </c>
      <c r="B125" s="2551"/>
      <c r="C125" s="2551"/>
      <c r="D125" s="2845" t="str">
        <f ca="1">NUMBERSTRING(INT(D124*10000),2)&amp;"元整"</f>
        <v>贰亿柒仟叁佰伍拾壹万元整</v>
      </c>
      <c r="E125" s="2850"/>
      <c r="F125" s="2850"/>
      <c r="G125" s="2850"/>
      <c r="H125" s="2850"/>
      <c r="I125" s="2846"/>
      <c r="AA125" s="1042"/>
    </row>
    <row r="126" ht="18.75" customHeight="1" spans="1:27">
      <c r="A126" s="2831" t="str">
        <f>IF(项目基本情况!B9="房地产市场价值","",MID(E111,3,LEN(E111)-2))</f>
        <v/>
      </c>
      <c r="B126" s="2831"/>
      <c r="C126" s="2831"/>
      <c r="D126" s="2847" t="str">
        <f ca="1">H111</f>
        <v>——</v>
      </c>
      <c r="E126" s="2848"/>
      <c r="F126" s="2848"/>
      <c r="G126" s="2848"/>
      <c r="H126" s="2848"/>
      <c r="I126" s="2849"/>
      <c r="AA126" s="1042"/>
    </row>
    <row r="127" ht="18.75" customHeight="1" spans="1:27">
      <c r="A127" s="2551" t="s">
        <v>980</v>
      </c>
      <c r="B127" s="2551"/>
      <c r="C127" s="2551"/>
      <c r="D127" s="2845" t="e">
        <f ca="1">NUMBERSTRING(INT(D126*10000),2)&amp;"元整"</f>
        <v>#VALUE!</v>
      </c>
      <c r="E127" s="2850"/>
      <c r="F127" s="2850"/>
      <c r="G127" s="2850"/>
      <c r="H127" s="2850"/>
      <c r="I127" s="2846"/>
      <c r="AA127" s="1042"/>
    </row>
    <row r="128" customHeight="1" spans="1:27">
      <c r="A128" s="2282" t="s">
        <v>113</v>
      </c>
      <c r="B128" s="2282"/>
      <c r="C128" s="2282"/>
      <c r="D128" s="2282"/>
      <c r="E128" s="2282"/>
      <c r="F128" s="2282"/>
      <c r="G128" s="2282"/>
      <c r="H128" s="2282"/>
      <c r="I128" s="2282"/>
      <c r="AA128" s="1042"/>
    </row>
    <row r="129" customHeight="1" spans="1:27">
      <c r="A129" s="2862" t="s">
        <v>981</v>
      </c>
      <c r="B129" s="2863"/>
      <c r="C129" s="2864" t="s">
        <v>982</v>
      </c>
      <c r="D129" s="2865"/>
      <c r="E129" s="2865"/>
      <c r="F129" s="2865"/>
      <c r="G129" s="2865"/>
      <c r="H129" s="2866"/>
      <c r="I129" s="2881"/>
      <c r="AA129" s="1042"/>
    </row>
    <row r="130" customHeight="1" spans="1:27">
      <c r="A130" s="2867">
        <v>1</v>
      </c>
      <c r="B130" s="2868"/>
      <c r="C130" s="2868"/>
      <c r="D130" s="2869"/>
      <c r="E130" s="2869"/>
      <c r="F130" s="2869"/>
      <c r="G130" s="2869"/>
      <c r="H130" s="2870"/>
      <c r="I130" s="2882"/>
      <c r="AA130" s="1042"/>
    </row>
    <row r="131" customHeight="1" spans="1:27">
      <c r="A131" s="2867">
        <v>2</v>
      </c>
      <c r="B131" s="2868"/>
      <c r="C131" s="2868"/>
      <c r="D131" s="2869"/>
      <c r="E131" s="2869"/>
      <c r="F131" s="2869"/>
      <c r="G131" s="2869"/>
      <c r="H131" s="2870"/>
      <c r="I131" s="2882"/>
      <c r="AA131" s="1042"/>
    </row>
    <row r="132" customHeight="1" spans="1:27">
      <c r="A132" s="2867">
        <v>3</v>
      </c>
      <c r="B132" s="2868"/>
      <c r="C132" s="2868"/>
      <c r="D132" s="2869"/>
      <c r="E132" s="2869"/>
      <c r="F132" s="2869"/>
      <c r="G132" s="2869"/>
      <c r="H132" s="2870"/>
      <c r="I132" s="2882"/>
      <c r="AA132" s="1042"/>
    </row>
    <row r="133" customHeight="1" spans="1:9">
      <c r="A133" s="2871"/>
      <c r="B133" s="2872"/>
      <c r="C133" s="2872"/>
      <c r="D133" s="2873"/>
      <c r="E133" s="2873"/>
      <c r="F133" s="2873"/>
      <c r="G133" s="2873"/>
      <c r="H133" s="2874"/>
      <c r="I133" s="2883"/>
    </row>
    <row r="134" customHeight="1" spans="1:9">
      <c r="A134" s="2868"/>
      <c r="B134" s="2868"/>
      <c r="C134" s="2868"/>
      <c r="D134" s="2869"/>
      <c r="E134" s="2869"/>
      <c r="F134" s="2869"/>
      <c r="G134" s="2869"/>
      <c r="H134" s="2870"/>
      <c r="I134" s="1042"/>
    </row>
    <row r="135" customHeight="1" spans="1:9">
      <c r="A135" s="1042"/>
      <c r="B135" s="1042"/>
      <c r="C135" s="1042"/>
      <c r="D135" s="1042"/>
      <c r="E135" s="1042"/>
      <c r="F135" s="2875" t="s">
        <v>983</v>
      </c>
      <c r="G135" s="2876"/>
      <c r="H135" s="2876"/>
      <c r="I135" s="2884" t="s">
        <v>984</v>
      </c>
    </row>
    <row r="136" customHeight="1" spans="1:9">
      <c r="A136" s="1042"/>
      <c r="B136" s="2877" t="s">
        <v>985</v>
      </c>
      <c r="C136" s="1042"/>
      <c r="D136" s="1042"/>
      <c r="E136" s="1042"/>
      <c r="F136" s="1042"/>
      <c r="G136" s="1042"/>
      <c r="H136" s="1042"/>
      <c r="I136" s="1042"/>
    </row>
    <row r="137" customHeight="1" spans="1:9">
      <c r="A137" s="1042"/>
      <c r="B137" s="1042"/>
      <c r="C137" s="1042"/>
      <c r="D137" s="1042"/>
      <c r="E137" s="1042"/>
      <c r="F137" s="1042"/>
      <c r="G137" s="1042"/>
      <c r="H137" s="1042"/>
      <c r="I137" s="1042"/>
    </row>
    <row r="138" customHeight="1" spans="1:9">
      <c r="A138" s="1042"/>
      <c r="B138" s="2876"/>
      <c r="C138" s="2876"/>
      <c r="D138" s="2876"/>
      <c r="E138" s="2876"/>
      <c r="F138" s="2876"/>
      <c r="G138" s="2876"/>
      <c r="H138" s="2876"/>
      <c r="I138" s="2884" t="s">
        <v>986</v>
      </c>
    </row>
    <row r="139" customHeight="1" spans="1:9">
      <c r="A139" s="1042"/>
      <c r="B139" s="2877" t="s">
        <v>987</v>
      </c>
      <c r="C139" s="1042"/>
      <c r="D139" s="1042"/>
      <c r="E139" s="1042"/>
      <c r="F139" s="1042"/>
      <c r="G139" s="1042"/>
      <c r="H139" s="1042"/>
      <c r="I139" s="1042"/>
    </row>
    <row r="140" customHeight="1" spans="1:9">
      <c r="A140" s="1042"/>
      <c r="B140" s="2877"/>
      <c r="C140" s="1042"/>
      <c r="D140" s="1042"/>
      <c r="E140" s="1042"/>
      <c r="F140" s="1042"/>
      <c r="G140" s="1042"/>
      <c r="H140" s="1042"/>
      <c r="I140" s="1042"/>
    </row>
    <row r="141" customHeight="1" spans="1:9">
      <c r="A141" s="1042"/>
      <c r="B141" s="2876"/>
      <c r="C141" s="2876"/>
      <c r="D141" s="2876"/>
      <c r="E141" s="2876"/>
      <c r="F141" s="2876"/>
      <c r="G141" s="2876"/>
      <c r="H141" s="2876"/>
      <c r="I141" s="2884" t="s">
        <v>986</v>
      </c>
    </row>
    <row r="142" customHeight="1" spans="1:9">
      <c r="A142" s="1042"/>
      <c r="B142" s="2877"/>
      <c r="C142" s="2878"/>
      <c r="D142" s="2879"/>
      <c r="E142" s="2879"/>
      <c r="F142" s="2880"/>
      <c r="G142" s="1042"/>
      <c r="H142" s="1042"/>
      <c r="I142" s="1042"/>
    </row>
    <row r="143" s="1039" customFormat="1" customHeight="1" spans="1:35">
      <c r="A143" s="1042"/>
      <c r="B143" s="2877"/>
      <c r="C143" s="2878"/>
      <c r="D143" s="2879"/>
      <c r="E143" s="2879"/>
      <c r="F143" s="2880"/>
      <c r="G143" s="1042"/>
      <c r="H143" s="1042"/>
      <c r="I143" s="1042"/>
      <c r="J143" s="1042"/>
      <c r="K143" s="1042"/>
      <c r="L143" s="1042"/>
      <c r="M143" s="1042"/>
      <c r="N143" s="1042"/>
      <c r="O143" s="1042"/>
      <c r="P143" s="1042"/>
      <c r="Q143" s="1042"/>
      <c r="R143" s="1042"/>
      <c r="S143" s="1042"/>
      <c r="T143" s="1042"/>
      <c r="U143" s="1042"/>
      <c r="V143" s="1042"/>
      <c r="W143" s="1042"/>
      <c r="X143" s="1042"/>
      <c r="Y143" s="1042"/>
      <c r="Z143" s="1042"/>
      <c r="AA143" s="1042"/>
      <c r="AB143" s="1042"/>
      <c r="AC143" s="1042"/>
      <c r="AD143" s="1042"/>
      <c r="AE143" s="1042"/>
      <c r="AF143" s="1042"/>
      <c r="AG143" s="1042"/>
      <c r="AH143" s="1042"/>
      <c r="AI143" s="1042"/>
    </row>
    <row r="144" s="1039" customFormat="1" customHeight="1" spans="1:35">
      <c r="A144" s="1042"/>
      <c r="B144" s="1042"/>
      <c r="C144" s="1042"/>
      <c r="D144" s="1042"/>
      <c r="E144" s="1042"/>
      <c r="F144" s="1042"/>
      <c r="G144" s="1042"/>
      <c r="H144" s="1042"/>
      <c r="I144" s="1042"/>
      <c r="J144" s="1042"/>
      <c r="K144" s="1042"/>
      <c r="L144" s="1042"/>
      <c r="M144" s="1042"/>
      <c r="N144" s="1042"/>
      <c r="O144" s="1042"/>
      <c r="P144" s="1042"/>
      <c r="Q144" s="1042"/>
      <c r="R144" s="1042"/>
      <c r="S144" s="1042"/>
      <c r="T144" s="1042"/>
      <c r="U144" s="1042"/>
      <c r="V144" s="1042"/>
      <c r="W144" s="1042"/>
      <c r="X144" s="1042"/>
      <c r="Y144" s="1042"/>
      <c r="Z144" s="1042"/>
      <c r="AA144" s="1042"/>
      <c r="AB144" s="1042"/>
      <c r="AC144" s="1042"/>
      <c r="AD144" s="1042"/>
      <c r="AE144" s="1042"/>
      <c r="AF144" s="1042"/>
      <c r="AG144" s="1042"/>
      <c r="AH144" s="1042"/>
      <c r="AI144" s="1042"/>
    </row>
    <row r="145" s="1039" customFormat="1" customHeight="1" spans="1:35">
      <c r="A145" s="1042"/>
      <c r="B145" s="1042"/>
      <c r="C145" s="1042"/>
      <c r="D145" s="1042"/>
      <c r="E145" s="1042"/>
      <c r="F145" s="1042"/>
      <c r="G145" s="1042"/>
      <c r="H145" s="1042"/>
      <c r="I145" s="1042"/>
      <c r="J145" s="1042"/>
      <c r="K145" s="1042"/>
      <c r="L145" s="1042"/>
      <c r="M145" s="1042"/>
      <c r="N145" s="1042"/>
      <c r="O145" s="1042"/>
      <c r="P145" s="1042"/>
      <c r="Q145" s="1042"/>
      <c r="R145" s="1042"/>
      <c r="S145" s="1042"/>
      <c r="T145" s="1042"/>
      <c r="U145" s="1042"/>
      <c r="V145" s="1042"/>
      <c r="W145" s="1042"/>
      <c r="X145" s="1042"/>
      <c r="Y145" s="1042"/>
      <c r="Z145" s="1042"/>
      <c r="AA145" s="1042"/>
      <c r="AB145" s="1042"/>
      <c r="AC145" s="1042"/>
      <c r="AD145" s="1042"/>
      <c r="AE145" s="1042"/>
      <c r="AF145" s="1042"/>
      <c r="AG145" s="1042"/>
      <c r="AH145" s="1042"/>
      <c r="AI145" s="1042"/>
    </row>
    <row r="146" s="1042" customFormat="1" customHeight="1"/>
    <row r="147" s="1042" customFormat="1" customHeight="1"/>
    <row r="148" s="1042" customFormat="1" customHeight="1"/>
    <row r="149" s="1042" customFormat="1" customHeight="1"/>
    <row r="150" s="1042" customFormat="1" customHeight="1"/>
    <row r="151" s="1042" customFormat="1" customHeight="1"/>
    <row r="152" s="1042" customFormat="1" customHeight="1"/>
    <row r="153" s="1042" customFormat="1" customHeight="1"/>
    <row r="154" s="1042" customFormat="1" customHeight="1"/>
    <row r="155" s="1042" customFormat="1" customHeight="1"/>
    <row r="156" s="1042" customFormat="1" customHeight="1"/>
    <row r="157" s="1042" customFormat="1" customHeight="1"/>
    <row r="158" s="1042" customFormat="1" customHeight="1"/>
    <row r="159" s="1042" customFormat="1" customHeight="1"/>
    <row r="160" s="1042" customFormat="1" customHeight="1"/>
    <row r="161" s="1042" customFormat="1" customHeight="1"/>
    <row r="162" s="1042" customFormat="1" customHeight="1"/>
    <row r="163" s="1042" customFormat="1" customHeight="1"/>
    <row r="164" s="1042" customFormat="1" customHeight="1"/>
    <row r="165" s="1042" customFormat="1" customHeight="1"/>
    <row r="166" s="1042" customFormat="1" customHeight="1"/>
    <row r="167" s="1042" customFormat="1" customHeight="1"/>
    <row r="168" s="1042" customFormat="1" customHeight="1"/>
    <row r="169" s="1042" customFormat="1" customHeight="1"/>
    <row r="170" s="1042" customFormat="1" customHeight="1"/>
    <row r="171" s="1042" customFormat="1" customHeight="1"/>
    <row r="172" s="1042" customFormat="1" customHeight="1"/>
    <row r="173" s="1042" customFormat="1" customHeight="1"/>
    <row r="174" s="1042" customFormat="1" customHeight="1"/>
    <row r="175" s="1042" customFormat="1" customHeight="1"/>
    <row r="176" s="1042" customFormat="1" customHeight="1"/>
    <row r="177" s="1042" customFormat="1" customHeight="1"/>
    <row r="178" s="1042" customFormat="1" customHeight="1"/>
    <row r="179" s="1042" customFormat="1" customHeight="1"/>
    <row r="180" s="1042" customFormat="1" customHeight="1"/>
    <row r="181" s="1042" customFormat="1" customHeight="1"/>
    <row r="182" s="1042" customFormat="1" customHeight="1"/>
    <row r="183" s="1042" customFormat="1" customHeight="1"/>
    <row r="184" s="1042" customFormat="1" customHeight="1"/>
    <row r="185" s="1042" customFormat="1" customHeight="1"/>
    <row r="186" s="1042" customFormat="1" customHeight="1"/>
    <row r="187" s="1042" customFormat="1" customHeight="1"/>
    <row r="188" s="1042" customFormat="1" customHeight="1"/>
    <row r="189" s="1042" customFormat="1" customHeight="1"/>
    <row r="190" s="1042" customFormat="1" customHeight="1"/>
    <row r="191" s="1042" customFormat="1" customHeight="1"/>
    <row r="192" s="1042" customFormat="1" customHeight="1"/>
    <row r="193" s="1042" customFormat="1" customHeight="1"/>
    <row r="194" s="1042" customFormat="1" customHeight="1"/>
    <row r="195" s="1042" customFormat="1" customHeight="1"/>
    <row r="196" s="1042" customFormat="1" customHeight="1"/>
    <row r="197" s="1042" customFormat="1" customHeight="1"/>
    <row r="198" s="1042" customFormat="1" customHeight="1"/>
    <row r="199" s="1042" customFormat="1" customHeight="1"/>
    <row r="200" s="1042" customFormat="1" customHeight="1"/>
    <row r="201" s="1042" customFormat="1" customHeight="1"/>
    <row r="202" s="1042" customFormat="1" customHeight="1"/>
    <row r="203" s="1042" customFormat="1" customHeight="1"/>
    <row r="204" s="1042" customFormat="1" customHeight="1"/>
    <row r="205" s="1042" customFormat="1" customHeight="1"/>
    <row r="206" s="1042" customFormat="1" customHeight="1"/>
    <row r="207" s="1042" customFormat="1" customHeight="1"/>
    <row r="208" s="1042" customFormat="1" customHeight="1"/>
    <row r="209" s="1042" customFormat="1" customHeight="1"/>
    <row r="210" s="1042" customFormat="1" customHeight="1"/>
    <row r="211" s="1042" customFormat="1" customHeight="1"/>
    <row r="212" s="1042" customFormat="1" customHeight="1"/>
    <row r="213" s="1042" customFormat="1" customHeight="1"/>
    <row r="214" s="1042" customFormat="1" customHeight="1"/>
    <row r="215" s="1042" customFormat="1" customHeight="1"/>
    <row r="216" s="1042" customFormat="1" customHeight="1"/>
    <row r="217" s="1042" customFormat="1" customHeight="1"/>
    <row r="218" s="1042" customFormat="1" customHeight="1"/>
    <row r="219" s="1042" customFormat="1" customHeight="1"/>
    <row r="220" s="1042" customFormat="1" customHeight="1"/>
    <row r="221" s="1042" customFormat="1" customHeight="1"/>
    <row r="222" s="1042" customFormat="1" customHeight="1"/>
    <row r="223" s="1042" customFormat="1" customHeight="1"/>
    <row r="224" s="1042" customFormat="1" customHeight="1"/>
    <row r="225" s="1042" customFormat="1" customHeight="1"/>
    <row r="226" s="1042" customFormat="1" customHeight="1"/>
    <row r="227" s="1042" customFormat="1" customHeight="1"/>
    <row r="228" s="1042" customFormat="1" customHeight="1"/>
    <row r="229" s="1042" customFormat="1" customHeight="1"/>
    <row r="230" s="1042" customFormat="1" customHeight="1"/>
    <row r="231" s="1042" customFormat="1" customHeight="1"/>
    <row r="232" s="1042" customFormat="1" customHeight="1"/>
    <row r="233" s="1042" customFormat="1" customHeight="1"/>
    <row r="234" s="1042" customFormat="1" customHeight="1"/>
    <row r="235" s="1042" customFormat="1" customHeight="1"/>
    <row r="236" s="1042" customFormat="1" customHeight="1"/>
    <row r="237" s="1042" customFormat="1" customHeight="1"/>
    <row r="238" s="1042" customFormat="1" customHeight="1"/>
    <row r="239" s="1042" customFormat="1" customHeight="1"/>
    <row r="240" s="1042" customFormat="1" customHeight="1"/>
    <row r="241" s="1042" customFormat="1" customHeight="1"/>
    <row r="242" s="1042" customFormat="1" customHeight="1"/>
    <row r="243" s="1042" customFormat="1" customHeight="1"/>
    <row r="244" s="1042" customFormat="1" customHeight="1"/>
    <row r="245" s="1042" customFormat="1" customHeight="1"/>
    <row r="246" s="1042" customFormat="1" customHeight="1"/>
    <row r="247" s="1042" customFormat="1" customHeight="1"/>
    <row r="248" s="1042" customFormat="1" customHeight="1"/>
    <row r="249" s="1042" customFormat="1" customHeight="1"/>
    <row r="250" s="1042" customFormat="1" customHeight="1"/>
    <row r="251" s="1042" customFormat="1" customHeight="1"/>
    <row r="252" s="1042" customFormat="1" customHeight="1"/>
    <row r="253" s="1042" customFormat="1" customHeight="1"/>
    <row r="254" s="1042" customFormat="1" customHeight="1"/>
    <row r="255" s="1042" customFormat="1" customHeight="1"/>
    <row r="256" s="1042" customFormat="1" customHeight="1"/>
    <row r="257" s="1042" customFormat="1" customHeight="1"/>
    <row r="258" s="1042" customFormat="1" customHeight="1"/>
    <row r="259" s="1042" customFormat="1" customHeight="1"/>
    <row r="260" s="1042" customFormat="1" customHeight="1"/>
    <row r="261" s="1042" customFormat="1" customHeight="1"/>
    <row r="262" s="1042" customFormat="1" customHeight="1"/>
    <row r="263" s="1042" customFormat="1" customHeight="1"/>
    <row r="264" s="1042" customFormat="1" customHeight="1"/>
    <row r="265" s="1042" customFormat="1" customHeight="1"/>
    <row r="266" s="1042" customFormat="1" customHeight="1"/>
    <row r="267" s="1042" customFormat="1" customHeight="1"/>
    <row r="268" s="1042" customFormat="1" customHeight="1"/>
    <row r="269" s="1042" customFormat="1" customHeight="1"/>
    <row r="270" s="1042" customFormat="1" customHeight="1"/>
    <row r="271" s="1042" customFormat="1" customHeight="1"/>
    <row r="272" s="1042" customFormat="1" customHeight="1"/>
    <row r="273" s="1042" customFormat="1" customHeight="1"/>
    <row r="274" s="1042" customFormat="1" customHeight="1"/>
    <row r="275" s="1042" customFormat="1" customHeight="1"/>
    <row r="276" s="1042" customFormat="1" customHeight="1"/>
    <row r="277" s="1042" customFormat="1" customHeight="1"/>
    <row r="278" s="1042" customFormat="1" customHeight="1"/>
    <row r="279" s="1042" customFormat="1" customHeight="1"/>
    <row r="280" s="1042" customFormat="1" customHeight="1"/>
    <row r="281" s="1042" customFormat="1" customHeight="1"/>
    <row r="282" s="1042" customFormat="1" customHeight="1"/>
    <row r="283" s="1042" customFormat="1" customHeight="1"/>
    <row r="284" s="1042" customFormat="1" customHeight="1"/>
    <row r="285" s="1042" customFormat="1" customHeight="1"/>
    <row r="286" s="1042" customFormat="1" customHeight="1"/>
    <row r="287" s="1042" customFormat="1" customHeight="1"/>
    <row r="288" s="1042" customFormat="1" customHeight="1"/>
    <row r="289" s="1042" customFormat="1" customHeight="1"/>
    <row r="290" s="1042" customFormat="1" customHeight="1"/>
    <row r="291" s="1042" customFormat="1" customHeight="1"/>
    <row r="292" s="1042" customFormat="1" customHeight="1"/>
    <row r="293" s="1042" customFormat="1" customHeight="1"/>
    <row r="294" s="1042" customFormat="1" customHeight="1"/>
    <row r="295" s="1042" customFormat="1" customHeight="1"/>
    <row r="296" s="1042" customFormat="1" customHeight="1"/>
    <row r="297" s="1042" customFormat="1" customHeight="1"/>
    <row r="298" s="1042" customFormat="1" customHeight="1"/>
    <row r="299" s="1042" customFormat="1" customHeight="1"/>
    <row r="300" s="1042" customFormat="1" customHeight="1"/>
    <row r="301" s="1042" customFormat="1" customHeight="1"/>
    <row r="302" s="1042" customFormat="1" customHeight="1"/>
    <row r="303" s="1042" customFormat="1" customHeight="1"/>
    <row r="304" s="1042" customFormat="1" customHeight="1"/>
    <row r="305" s="1042" customFormat="1" customHeight="1"/>
    <row r="306" s="1042" customFormat="1" customHeight="1"/>
    <row r="307" s="1042" customFormat="1" customHeight="1"/>
    <row r="308" s="1042" customFormat="1" customHeight="1"/>
    <row r="309" s="1042" customFormat="1" customHeight="1"/>
    <row r="310" s="1042" customFormat="1" customHeight="1"/>
    <row r="311" s="1042" customFormat="1" customHeight="1"/>
    <row r="312" s="1042" customFormat="1" customHeight="1"/>
    <row r="313" s="1042" customFormat="1" customHeight="1"/>
    <row r="314" s="1042" customFormat="1" customHeight="1"/>
    <row r="315" s="1042" customFormat="1" customHeight="1"/>
    <row r="316" s="1042" customFormat="1" customHeight="1"/>
    <row r="317" s="1042" customFormat="1" customHeight="1"/>
    <row r="318" s="1042" customFormat="1" customHeight="1"/>
    <row r="319" s="1042" customFormat="1" customHeight="1"/>
    <row r="320" s="1042" customFormat="1" customHeight="1"/>
    <row r="321" s="1042" customFormat="1" customHeight="1"/>
    <row r="322" s="1042" customFormat="1" customHeight="1"/>
    <row r="323" s="1042" customFormat="1" customHeight="1"/>
    <row r="324" s="1042" customFormat="1" customHeight="1"/>
    <row r="325" s="1042" customFormat="1" customHeight="1"/>
    <row r="326" s="1042" customFormat="1" customHeight="1"/>
    <row r="327" s="1042" customFormat="1" customHeight="1"/>
    <row r="328" s="1042" customFormat="1" customHeight="1"/>
    <row r="329" s="1042" customFormat="1" customHeight="1"/>
    <row r="330" s="1042" customFormat="1" customHeight="1"/>
    <row r="331" s="1042" customFormat="1" customHeight="1"/>
    <row r="332" s="1042" customFormat="1" customHeight="1"/>
    <row r="333" s="1042" customFormat="1" customHeight="1"/>
    <row r="334" s="1042" customFormat="1" customHeight="1"/>
    <row r="335" s="1042" customFormat="1" customHeight="1"/>
    <row r="336" s="1042" customFormat="1" customHeight="1"/>
    <row r="337" s="1042" customFormat="1" customHeight="1"/>
    <row r="338" s="1042" customFormat="1" customHeight="1"/>
    <row r="339" s="1042" customFormat="1" customHeight="1"/>
    <row r="340" s="1042" customFormat="1" customHeight="1"/>
    <row r="341" s="1042" customFormat="1" customHeight="1"/>
    <row r="342" s="1042" customFormat="1" customHeight="1"/>
    <row r="343" s="1042" customFormat="1" customHeight="1"/>
    <row r="344" s="1042" customFormat="1" customHeight="1"/>
    <row r="345" s="1042" customFormat="1" customHeight="1"/>
    <row r="346" s="1042" customFormat="1" customHeight="1"/>
    <row r="347" s="1042" customFormat="1" customHeight="1"/>
    <row r="348" s="1042" customFormat="1" customHeight="1"/>
    <row r="349" s="1042" customFormat="1" customHeight="1"/>
    <row r="350" s="1042" customFormat="1" customHeight="1"/>
    <row r="351" s="1042" customFormat="1" customHeight="1"/>
    <row r="352" s="1042" customFormat="1" customHeight="1"/>
    <row r="353" s="1042" customFormat="1" customHeight="1"/>
    <row r="354" s="1042" customFormat="1" customHeight="1"/>
    <row r="355" s="1042" customFormat="1" customHeight="1"/>
    <row r="356" s="1042" customFormat="1" customHeight="1"/>
    <row r="357" s="1042" customFormat="1" customHeight="1"/>
    <row r="358" s="1042" customFormat="1" customHeight="1"/>
    <row r="359" s="1042" customFormat="1" customHeight="1"/>
    <row r="360" s="1042" customFormat="1" customHeight="1"/>
    <row r="361" s="1042" customFormat="1" customHeight="1"/>
    <row r="362" s="1042" customFormat="1" customHeight="1"/>
    <row r="363" s="1042" customFormat="1" customHeight="1"/>
    <row r="364" s="1042" customFormat="1" customHeight="1"/>
    <row r="365" s="1042" customFormat="1" customHeight="1"/>
    <row r="366" s="1042" customFormat="1" customHeight="1"/>
    <row r="367" s="1042" customFormat="1" customHeight="1"/>
    <row r="368" s="1042" customFormat="1" customHeight="1"/>
    <row r="369" s="1042" customFormat="1" customHeight="1"/>
    <row r="370" s="1042" customFormat="1" customHeight="1"/>
    <row r="371" s="1042" customFormat="1" customHeight="1"/>
    <row r="372" s="1042" customFormat="1" customHeight="1"/>
    <row r="373" s="1042" customFormat="1" customHeight="1"/>
    <row r="374" s="1042" customFormat="1" customHeight="1"/>
    <row r="375" s="1042" customFormat="1" customHeight="1"/>
    <row r="376" s="1042" customFormat="1" customHeight="1"/>
    <row r="377" s="1042" customFormat="1" customHeight="1"/>
    <row r="378" s="1042" customFormat="1" customHeight="1"/>
    <row r="379" s="1042" customFormat="1" customHeight="1"/>
    <row r="380" s="1042" customFormat="1" customHeight="1"/>
    <row r="381" s="1042" customFormat="1" customHeight="1"/>
    <row r="382" s="1042" customFormat="1" customHeight="1"/>
    <row r="383" s="1042" customFormat="1" customHeight="1"/>
    <row r="384" s="1042" customFormat="1" customHeight="1"/>
    <row r="385" s="1042" customFormat="1" customHeight="1"/>
    <row r="386" s="1042" customFormat="1" customHeight="1"/>
    <row r="387" s="1042" customFormat="1" customHeight="1"/>
    <row r="388" s="1042" customFormat="1" customHeight="1"/>
    <row r="389" s="1042" customFormat="1" customHeight="1"/>
    <row r="390" s="1042" customFormat="1" customHeight="1"/>
    <row r="391" s="1042" customFormat="1" customHeight="1"/>
    <row r="392" s="1042" customFormat="1" customHeight="1"/>
    <row r="393" s="1042" customFormat="1" customHeight="1"/>
    <row r="394" s="1042" customFormat="1" customHeight="1"/>
    <row r="395" s="1042" customFormat="1" customHeight="1"/>
    <row r="396" s="1042" customFormat="1" customHeight="1"/>
    <row r="397" s="1042" customFormat="1" customHeight="1"/>
    <row r="398" s="1042" customFormat="1" customHeight="1"/>
    <row r="399" s="1042" customFormat="1" customHeight="1"/>
    <row r="400" s="1042" customFormat="1" customHeight="1"/>
    <row r="401" s="1042" customFormat="1" customHeight="1"/>
    <row r="402" s="1042" customFormat="1" customHeight="1"/>
    <row r="403" s="1042" customFormat="1" customHeight="1"/>
    <row r="404" s="1042" customFormat="1" customHeight="1"/>
    <row r="405" s="1042" customFormat="1" customHeight="1"/>
    <row r="406" s="1042" customFormat="1" customHeight="1"/>
    <row r="407" s="1042" customFormat="1" customHeight="1"/>
    <row r="408" s="1042" customFormat="1" customHeight="1"/>
    <row r="409" s="2535" customFormat="1" customHeight="1" spans="10:26">
      <c r="J409" s="1042"/>
      <c r="K409" s="1042"/>
      <c r="L409" s="1042"/>
      <c r="M409" s="1042"/>
      <c r="N409" s="1042"/>
      <c r="O409" s="1042"/>
      <c r="P409" s="1042"/>
      <c r="Q409" s="1042"/>
      <c r="R409" s="1042"/>
      <c r="S409" s="1042"/>
      <c r="T409" s="1042"/>
      <c r="U409" s="1042"/>
      <c r="V409" s="1042"/>
      <c r="W409" s="1042"/>
      <c r="X409" s="1042"/>
      <c r="Y409" s="1042"/>
      <c r="Z409" s="1042"/>
    </row>
    <row r="410" s="2535" customFormat="1" customHeight="1" spans="10:26">
      <c r="J410" s="1042"/>
      <c r="K410" s="1042"/>
      <c r="L410" s="1042"/>
      <c r="M410" s="1042"/>
      <c r="N410" s="1042"/>
      <c r="O410" s="1042"/>
      <c r="P410" s="1042"/>
      <c r="Q410" s="1042"/>
      <c r="R410" s="1042"/>
      <c r="S410" s="1042"/>
      <c r="T410" s="1042"/>
      <c r="U410" s="1042"/>
      <c r="V410" s="1042"/>
      <c r="W410" s="1042"/>
      <c r="X410" s="1042"/>
      <c r="Y410" s="1042"/>
      <c r="Z410" s="1042"/>
    </row>
    <row r="411" s="2535" customFormat="1" customHeight="1" spans="10:26">
      <c r="J411" s="1042"/>
      <c r="K411" s="1042"/>
      <c r="L411" s="1042"/>
      <c r="M411" s="1042"/>
      <c r="N411" s="1042"/>
      <c r="O411" s="1042"/>
      <c r="P411" s="1042"/>
      <c r="Q411" s="1042"/>
      <c r="R411" s="1042"/>
      <c r="S411" s="1042"/>
      <c r="T411" s="1042"/>
      <c r="U411" s="1042"/>
      <c r="V411" s="1042"/>
      <c r="W411" s="1042"/>
      <c r="X411" s="1042"/>
      <c r="Y411" s="1042"/>
      <c r="Z411" s="1042"/>
    </row>
    <row r="412" s="2535" customFormat="1" customHeight="1" spans="10:26">
      <c r="J412" s="1042"/>
      <c r="K412" s="1042"/>
      <c r="L412" s="1042"/>
      <c r="M412" s="1042"/>
      <c r="N412" s="1042"/>
      <c r="O412" s="1042"/>
      <c r="P412" s="1042"/>
      <c r="Q412" s="1042"/>
      <c r="R412" s="1042"/>
      <c r="S412" s="1042"/>
      <c r="T412" s="1042"/>
      <c r="U412" s="1042"/>
      <c r="V412" s="1042"/>
      <c r="W412" s="1042"/>
      <c r="X412" s="1042"/>
      <c r="Y412" s="1042"/>
      <c r="Z412" s="1042"/>
    </row>
    <row r="413" s="2535" customFormat="1" customHeight="1" spans="10:26">
      <c r="J413" s="1042"/>
      <c r="K413" s="1042"/>
      <c r="L413" s="1042"/>
      <c r="M413" s="1042"/>
      <c r="N413" s="1042"/>
      <c r="O413" s="1042"/>
      <c r="P413" s="1042"/>
      <c r="Q413" s="1042"/>
      <c r="R413" s="1042"/>
      <c r="S413" s="1042"/>
      <c r="T413" s="1042"/>
      <c r="U413" s="1042"/>
      <c r="V413" s="1042"/>
      <c r="W413" s="1042"/>
      <c r="X413" s="1042"/>
      <c r="Y413" s="1042"/>
      <c r="Z413" s="1042"/>
    </row>
    <row r="414" s="2535" customFormat="1" customHeight="1" spans="10:26">
      <c r="J414" s="1042"/>
      <c r="K414" s="1042"/>
      <c r="L414" s="1042"/>
      <c r="M414" s="1042"/>
      <c r="N414" s="1042"/>
      <c r="O414" s="1042"/>
      <c r="P414" s="1042"/>
      <c r="Q414" s="1042"/>
      <c r="R414" s="1042"/>
      <c r="S414" s="1042"/>
      <c r="T414" s="1042"/>
      <c r="U414" s="1042"/>
      <c r="V414" s="1042"/>
      <c r="W414" s="1042"/>
      <c r="X414" s="1042"/>
      <c r="Y414" s="1042"/>
      <c r="Z414" s="1042"/>
    </row>
    <row r="415" s="2535" customFormat="1" customHeight="1" spans="10:26">
      <c r="J415" s="1042"/>
      <c r="K415" s="1042"/>
      <c r="L415" s="1042"/>
      <c r="M415" s="1042"/>
      <c r="N415" s="1042"/>
      <c r="O415" s="1042"/>
      <c r="P415" s="1042"/>
      <c r="Q415" s="1042"/>
      <c r="R415" s="1042"/>
      <c r="S415" s="1042"/>
      <c r="T415" s="1042"/>
      <c r="U415" s="1042"/>
      <c r="V415" s="1042"/>
      <c r="W415" s="1042"/>
      <c r="X415" s="1042"/>
      <c r="Y415" s="1042"/>
      <c r="Z415" s="1042"/>
    </row>
    <row r="416" s="2535" customFormat="1" customHeight="1" spans="10:26">
      <c r="J416" s="1042"/>
      <c r="K416" s="1042"/>
      <c r="L416" s="1042"/>
      <c r="M416" s="1042"/>
      <c r="N416" s="1042"/>
      <c r="O416" s="1042"/>
      <c r="P416" s="1042"/>
      <c r="Q416" s="1042"/>
      <c r="R416" s="1042"/>
      <c r="S416" s="1042"/>
      <c r="T416" s="1042"/>
      <c r="U416" s="1042"/>
      <c r="V416" s="1042"/>
      <c r="W416" s="1042"/>
      <c r="X416" s="1042"/>
      <c r="Y416" s="1042"/>
      <c r="Z416" s="1042"/>
    </row>
    <row r="417" s="2535" customFormat="1" customHeight="1" spans="10:26">
      <c r="J417" s="1042"/>
      <c r="K417" s="1042"/>
      <c r="L417" s="1042"/>
      <c r="M417" s="1042"/>
      <c r="N417" s="1042"/>
      <c r="O417" s="1042"/>
      <c r="P417" s="1042"/>
      <c r="Q417" s="1042"/>
      <c r="R417" s="1042"/>
      <c r="S417" s="1042"/>
      <c r="T417" s="1042"/>
      <c r="U417" s="1042"/>
      <c r="V417" s="1042"/>
      <c r="W417" s="1042"/>
      <c r="X417" s="1042"/>
      <c r="Y417" s="1042"/>
      <c r="Z417" s="1042"/>
    </row>
    <row r="418" s="2535" customFormat="1" customHeight="1" spans="10:26">
      <c r="J418" s="1042"/>
      <c r="K418" s="1042"/>
      <c r="L418" s="1042"/>
      <c r="M418" s="1042"/>
      <c r="N418" s="1042"/>
      <c r="O418" s="1042"/>
      <c r="P418" s="1042"/>
      <c r="Q418" s="1042"/>
      <c r="R418" s="1042"/>
      <c r="S418" s="1042"/>
      <c r="T418" s="1042"/>
      <c r="U418" s="1042"/>
      <c r="V418" s="1042"/>
      <c r="W418" s="1042"/>
      <c r="X418" s="1042"/>
      <c r="Y418" s="1042"/>
      <c r="Z418" s="1042"/>
    </row>
    <row r="419" s="2535" customFormat="1" customHeight="1" spans="10:26">
      <c r="J419" s="1042"/>
      <c r="K419" s="1042"/>
      <c r="L419" s="1042"/>
      <c r="M419" s="1042"/>
      <c r="N419" s="1042"/>
      <c r="O419" s="1042"/>
      <c r="P419" s="1042"/>
      <c r="Q419" s="1042"/>
      <c r="R419" s="1042"/>
      <c r="S419" s="1042"/>
      <c r="T419" s="1042"/>
      <c r="U419" s="1042"/>
      <c r="V419" s="1042"/>
      <c r="W419" s="1042"/>
      <c r="X419" s="1042"/>
      <c r="Y419" s="1042"/>
      <c r="Z419" s="1042"/>
    </row>
    <row r="420" s="2535" customFormat="1" customHeight="1" spans="10:26">
      <c r="J420" s="1042"/>
      <c r="K420" s="1042"/>
      <c r="L420" s="1042"/>
      <c r="M420" s="1042"/>
      <c r="N420" s="1042"/>
      <c r="O420" s="1042"/>
      <c r="P420" s="1042"/>
      <c r="Q420" s="1042"/>
      <c r="R420" s="1042"/>
      <c r="S420" s="1042"/>
      <c r="T420" s="1042"/>
      <c r="U420" s="1042"/>
      <c r="V420" s="1042"/>
      <c r="W420" s="1042"/>
      <c r="X420" s="1042"/>
      <c r="Y420" s="1042"/>
      <c r="Z420" s="1042"/>
    </row>
    <row r="421" s="2535" customFormat="1" customHeight="1" spans="10:26">
      <c r="J421" s="1042"/>
      <c r="K421" s="1042"/>
      <c r="L421" s="1042"/>
      <c r="M421" s="1042"/>
      <c r="N421" s="1042"/>
      <c r="O421" s="1042"/>
      <c r="P421" s="1042"/>
      <c r="Q421" s="1042"/>
      <c r="R421" s="1042"/>
      <c r="S421" s="1042"/>
      <c r="T421" s="1042"/>
      <c r="U421" s="1042"/>
      <c r="V421" s="1042"/>
      <c r="W421" s="1042"/>
      <c r="X421" s="1042"/>
      <c r="Y421" s="1042"/>
      <c r="Z421" s="1042"/>
    </row>
    <row r="422" s="2535" customFormat="1" customHeight="1" spans="10:26">
      <c r="J422" s="1042"/>
      <c r="K422" s="1042"/>
      <c r="L422" s="1042"/>
      <c r="M422" s="1042"/>
      <c r="N422" s="1042"/>
      <c r="O422" s="1042"/>
      <c r="P422" s="1042"/>
      <c r="Q422" s="1042"/>
      <c r="R422" s="1042"/>
      <c r="S422" s="1042"/>
      <c r="T422" s="1042"/>
      <c r="U422" s="1042"/>
      <c r="V422" s="1042"/>
      <c r="W422" s="1042"/>
      <c r="X422" s="1042"/>
      <c r="Y422" s="1042"/>
      <c r="Z422" s="1042"/>
    </row>
    <row r="423" s="2535" customFormat="1" customHeight="1" spans="10:26">
      <c r="J423" s="1042"/>
      <c r="K423" s="1042"/>
      <c r="L423" s="1042"/>
      <c r="M423" s="1042"/>
      <c r="N423" s="1042"/>
      <c r="O423" s="1042"/>
      <c r="P423" s="1042"/>
      <c r="Q423" s="1042"/>
      <c r="R423" s="1042"/>
      <c r="S423" s="1042"/>
      <c r="T423" s="1042"/>
      <c r="U423" s="1042"/>
      <c r="V423" s="1042"/>
      <c r="W423" s="1042"/>
      <c r="X423" s="1042"/>
      <c r="Y423" s="1042"/>
      <c r="Z423" s="1042"/>
    </row>
    <row r="424" s="2535" customFormat="1" customHeight="1" spans="10:26">
      <c r="J424" s="1042"/>
      <c r="K424" s="1042"/>
      <c r="L424" s="1042"/>
      <c r="M424" s="1042"/>
      <c r="N424" s="1042"/>
      <c r="O424" s="1042"/>
      <c r="P424" s="1042"/>
      <c r="Q424" s="1042"/>
      <c r="R424" s="1042"/>
      <c r="S424" s="1042"/>
      <c r="T424" s="1042"/>
      <c r="U424" s="1042"/>
      <c r="V424" s="1042"/>
      <c r="W424" s="1042"/>
      <c r="X424" s="1042"/>
      <c r="Y424" s="1042"/>
      <c r="Z424" s="1042"/>
    </row>
    <row r="425" s="2535" customFormat="1" customHeight="1" spans="10:26">
      <c r="J425" s="1042"/>
      <c r="K425" s="1042"/>
      <c r="L425" s="1042"/>
      <c r="M425" s="1042"/>
      <c r="N425" s="1042"/>
      <c r="O425" s="1042"/>
      <c r="P425" s="1042"/>
      <c r="Q425" s="1042"/>
      <c r="R425" s="1042"/>
      <c r="S425" s="1042"/>
      <c r="T425" s="1042"/>
      <c r="U425" s="1042"/>
      <c r="V425" s="1042"/>
      <c r="W425" s="1042"/>
      <c r="X425" s="1042"/>
      <c r="Y425" s="1042"/>
      <c r="Z425" s="1042"/>
    </row>
    <row r="426" s="2535" customFormat="1" customHeight="1" spans="10:26">
      <c r="J426" s="1042"/>
      <c r="K426" s="1042"/>
      <c r="L426" s="1042"/>
      <c r="M426" s="1042"/>
      <c r="N426" s="1042"/>
      <c r="O426" s="1042"/>
      <c r="P426" s="1042"/>
      <c r="Q426" s="1042"/>
      <c r="R426" s="1042"/>
      <c r="S426" s="1042"/>
      <c r="T426" s="1042"/>
      <c r="U426" s="1042"/>
      <c r="V426" s="1042"/>
      <c r="W426" s="1042"/>
      <c r="X426" s="1042"/>
      <c r="Y426" s="1042"/>
      <c r="Z426" s="1042"/>
    </row>
    <row r="427" s="2535" customFormat="1" customHeight="1" spans="10:26">
      <c r="J427" s="1042"/>
      <c r="K427" s="1042"/>
      <c r="L427" s="1042"/>
      <c r="M427" s="1042"/>
      <c r="N427" s="1042"/>
      <c r="O427" s="1042"/>
      <c r="P427" s="1042"/>
      <c r="Q427" s="1042"/>
      <c r="R427" s="1042"/>
      <c r="S427" s="1042"/>
      <c r="T427" s="1042"/>
      <c r="U427" s="1042"/>
      <c r="V427" s="1042"/>
      <c r="W427" s="1042"/>
      <c r="X427" s="1042"/>
      <c r="Y427" s="1042"/>
      <c r="Z427" s="1042"/>
    </row>
    <row r="428" s="2535" customFormat="1" customHeight="1" spans="10:26">
      <c r="J428" s="1042"/>
      <c r="K428" s="1042"/>
      <c r="L428" s="1042"/>
      <c r="M428" s="1042"/>
      <c r="N428" s="1042"/>
      <c r="O428" s="1042"/>
      <c r="P428" s="1042"/>
      <c r="Q428" s="1042"/>
      <c r="R428" s="1042"/>
      <c r="S428" s="1042"/>
      <c r="T428" s="1042"/>
      <c r="U428" s="1042"/>
      <c r="V428" s="1042"/>
      <c r="W428" s="1042"/>
      <c r="X428" s="1042"/>
      <c r="Y428" s="1042"/>
      <c r="Z428" s="1042"/>
    </row>
    <row r="429" s="2535" customFormat="1" customHeight="1" spans="10:26">
      <c r="J429" s="1042"/>
      <c r="K429" s="1042"/>
      <c r="L429" s="1042"/>
      <c r="M429" s="1042"/>
      <c r="N429" s="1042"/>
      <c r="O429" s="1042"/>
      <c r="P429" s="1042"/>
      <c r="Q429" s="1042"/>
      <c r="R429" s="1042"/>
      <c r="S429" s="1042"/>
      <c r="T429" s="1042"/>
      <c r="U429" s="1042"/>
      <c r="V429" s="1042"/>
      <c r="W429" s="1042"/>
      <c r="X429" s="1042"/>
      <c r="Y429" s="1042"/>
      <c r="Z429" s="1042"/>
    </row>
    <row r="430" s="2535" customFormat="1" customHeight="1" spans="10:26">
      <c r="J430" s="1042"/>
      <c r="K430" s="1042"/>
      <c r="L430" s="1042"/>
      <c r="M430" s="1042"/>
      <c r="N430" s="1042"/>
      <c r="O430" s="1042"/>
      <c r="P430" s="1042"/>
      <c r="Q430" s="1042"/>
      <c r="R430" s="1042"/>
      <c r="S430" s="1042"/>
      <c r="T430" s="1042"/>
      <c r="U430" s="1042"/>
      <c r="V430" s="1042"/>
      <c r="W430" s="1042"/>
      <c r="X430" s="1042"/>
      <c r="Y430" s="1042"/>
      <c r="Z430" s="1042"/>
    </row>
    <row r="431" s="2535" customFormat="1" customHeight="1" spans="10:26">
      <c r="J431" s="1042"/>
      <c r="K431" s="1042"/>
      <c r="L431" s="1042"/>
      <c r="M431" s="1042"/>
      <c r="N431" s="1042"/>
      <c r="O431" s="1042"/>
      <c r="P431" s="1042"/>
      <c r="Q431" s="1042"/>
      <c r="R431" s="1042"/>
      <c r="S431" s="1042"/>
      <c r="T431" s="1042"/>
      <c r="U431" s="1042"/>
      <c r="V431" s="1042"/>
      <c r="W431" s="1042"/>
      <c r="X431" s="1042"/>
      <c r="Y431" s="1042"/>
      <c r="Z431" s="1042"/>
    </row>
    <row r="432" s="2535" customFormat="1" customHeight="1" spans="10:26">
      <c r="J432" s="1042"/>
      <c r="K432" s="1042"/>
      <c r="L432" s="1042"/>
      <c r="M432" s="1042"/>
      <c r="N432" s="1042"/>
      <c r="O432" s="1042"/>
      <c r="P432" s="1042"/>
      <c r="Q432" s="1042"/>
      <c r="R432" s="1042"/>
      <c r="S432" s="1042"/>
      <c r="T432" s="1042"/>
      <c r="U432" s="1042"/>
      <c r="V432" s="1042"/>
      <c r="W432" s="1042"/>
      <c r="X432" s="1042"/>
      <c r="Y432" s="1042"/>
      <c r="Z432" s="1042"/>
    </row>
    <row r="433" s="2535" customFormat="1" customHeight="1" spans="10:26">
      <c r="J433" s="1042"/>
      <c r="K433" s="1042"/>
      <c r="L433" s="1042"/>
      <c r="M433" s="1042"/>
      <c r="N433" s="1042"/>
      <c r="O433" s="1042"/>
      <c r="P433" s="1042"/>
      <c r="Q433" s="1042"/>
      <c r="R433" s="1042"/>
      <c r="S433" s="1042"/>
      <c r="T433" s="1042"/>
      <c r="U433" s="1042"/>
      <c r="V433" s="1042"/>
      <c r="W433" s="1042"/>
      <c r="X433" s="1042"/>
      <c r="Y433" s="1042"/>
      <c r="Z433" s="1042"/>
    </row>
    <row r="434" s="2535" customFormat="1" customHeight="1" spans="10:26">
      <c r="J434" s="1042"/>
      <c r="K434" s="1042"/>
      <c r="L434" s="1042"/>
      <c r="M434" s="1042"/>
      <c r="N434" s="1042"/>
      <c r="O434" s="1042"/>
      <c r="P434" s="1042"/>
      <c r="Q434" s="1042"/>
      <c r="R434" s="1042"/>
      <c r="S434" s="1042"/>
      <c r="T434" s="1042"/>
      <c r="U434" s="1042"/>
      <c r="V434" s="1042"/>
      <c r="W434" s="1042"/>
      <c r="X434" s="1042"/>
      <c r="Y434" s="1042"/>
      <c r="Z434" s="1042"/>
    </row>
    <row r="435" s="2535" customFormat="1" customHeight="1" spans="10:26">
      <c r="J435" s="1042"/>
      <c r="K435" s="1042"/>
      <c r="L435" s="1042"/>
      <c r="M435" s="1042"/>
      <c r="N435" s="1042"/>
      <c r="O435" s="1042"/>
      <c r="P435" s="1042"/>
      <c r="Q435" s="1042"/>
      <c r="R435" s="1042"/>
      <c r="S435" s="1042"/>
      <c r="T435" s="1042"/>
      <c r="U435" s="1042"/>
      <c r="V435" s="1042"/>
      <c r="W435" s="1042"/>
      <c r="X435" s="1042"/>
      <c r="Y435" s="1042"/>
      <c r="Z435" s="1042"/>
    </row>
    <row r="436" s="2535" customFormat="1" customHeight="1" spans="10:26">
      <c r="J436" s="1042"/>
      <c r="K436" s="1042"/>
      <c r="L436" s="1042"/>
      <c r="M436" s="1042"/>
      <c r="N436" s="1042"/>
      <c r="O436" s="1042"/>
      <c r="P436" s="1042"/>
      <c r="Q436" s="1042"/>
      <c r="R436" s="1042"/>
      <c r="S436" s="1042"/>
      <c r="T436" s="1042"/>
      <c r="U436" s="1042"/>
      <c r="V436" s="1042"/>
      <c r="W436" s="1042"/>
      <c r="X436" s="1042"/>
      <c r="Y436" s="1042"/>
      <c r="Z436" s="1042"/>
    </row>
    <row r="437" s="2535" customFormat="1" customHeight="1" spans="10:26">
      <c r="J437" s="1042"/>
      <c r="K437" s="1042"/>
      <c r="L437" s="1042"/>
      <c r="M437" s="1042"/>
      <c r="N437" s="1042"/>
      <c r="O437" s="1042"/>
      <c r="P437" s="1042"/>
      <c r="Q437" s="1042"/>
      <c r="R437" s="1042"/>
      <c r="S437" s="1042"/>
      <c r="T437" s="1042"/>
      <c r="U437" s="1042"/>
      <c r="V437" s="1042"/>
      <c r="W437" s="1042"/>
      <c r="X437" s="1042"/>
      <c r="Y437" s="1042"/>
      <c r="Z437" s="1042"/>
    </row>
    <row r="438" s="2535" customFormat="1" customHeight="1" spans="10:26">
      <c r="J438" s="1042"/>
      <c r="K438" s="1042"/>
      <c r="L438" s="1042"/>
      <c r="M438" s="1042"/>
      <c r="N438" s="1042"/>
      <c r="O438" s="1042"/>
      <c r="P438" s="1042"/>
      <c r="Q438" s="1042"/>
      <c r="R438" s="1042"/>
      <c r="S438" s="1042"/>
      <c r="T438" s="1042"/>
      <c r="U438" s="1042"/>
      <c r="V438" s="1042"/>
      <c r="W438" s="1042"/>
      <c r="X438" s="1042"/>
      <c r="Y438" s="1042"/>
      <c r="Z438" s="1042"/>
    </row>
    <row r="439" s="2535" customFormat="1" customHeight="1" spans="10:26">
      <c r="J439" s="1042"/>
      <c r="K439" s="1042"/>
      <c r="L439" s="1042"/>
      <c r="M439" s="1042"/>
      <c r="N439" s="1042"/>
      <c r="O439" s="1042"/>
      <c r="P439" s="1042"/>
      <c r="Q439" s="1042"/>
      <c r="R439" s="1042"/>
      <c r="S439" s="1042"/>
      <c r="T439" s="1042"/>
      <c r="U439" s="1042"/>
      <c r="V439" s="1042"/>
      <c r="W439" s="1042"/>
      <c r="X439" s="1042"/>
      <c r="Y439" s="1042"/>
      <c r="Z439" s="1042"/>
    </row>
    <row r="440" s="2535" customFormat="1" customHeight="1" spans="10:26">
      <c r="J440" s="1042"/>
      <c r="K440" s="1042"/>
      <c r="L440" s="1042"/>
      <c r="M440" s="1042"/>
      <c r="N440" s="1042"/>
      <c r="O440" s="1042"/>
      <c r="P440" s="1042"/>
      <c r="Q440" s="1042"/>
      <c r="R440" s="1042"/>
      <c r="S440" s="1042"/>
      <c r="T440" s="1042"/>
      <c r="U440" s="1042"/>
      <c r="V440" s="1042"/>
      <c r="W440" s="1042"/>
      <c r="X440" s="1042"/>
      <c r="Y440" s="1042"/>
      <c r="Z440" s="1042"/>
    </row>
    <row r="441" s="2535" customFormat="1" customHeight="1" spans="10:26">
      <c r="J441" s="1042"/>
      <c r="K441" s="1042"/>
      <c r="L441" s="1042"/>
      <c r="M441" s="1042"/>
      <c r="N441" s="1042"/>
      <c r="O441" s="1042"/>
      <c r="P441" s="1042"/>
      <c r="Q441" s="1042"/>
      <c r="R441" s="1042"/>
      <c r="S441" s="1042"/>
      <c r="T441" s="1042"/>
      <c r="U441" s="1042"/>
      <c r="V441" s="1042"/>
      <c r="W441" s="1042"/>
      <c r="X441" s="1042"/>
      <c r="Y441" s="1042"/>
      <c r="Z441" s="1042"/>
    </row>
    <row r="442" s="2535" customFormat="1" customHeight="1" spans="10:26">
      <c r="J442" s="1042"/>
      <c r="K442" s="1042"/>
      <c r="L442" s="1042"/>
      <c r="M442" s="1042"/>
      <c r="N442" s="1042"/>
      <c r="O442" s="1042"/>
      <c r="P442" s="1042"/>
      <c r="Q442" s="1042"/>
      <c r="R442" s="1042"/>
      <c r="S442" s="1042"/>
      <c r="T442" s="1042"/>
      <c r="U442" s="1042"/>
      <c r="V442" s="1042"/>
      <c r="W442" s="1042"/>
      <c r="X442" s="1042"/>
      <c r="Y442" s="1042"/>
      <c r="Z442" s="1042"/>
    </row>
    <row r="443" s="2535" customFormat="1" customHeight="1" spans="10:26">
      <c r="J443" s="1042"/>
      <c r="K443" s="1042"/>
      <c r="L443" s="1042"/>
      <c r="M443" s="1042"/>
      <c r="N443" s="1042"/>
      <c r="O443" s="1042"/>
      <c r="P443" s="1042"/>
      <c r="Q443" s="1042"/>
      <c r="R443" s="1042"/>
      <c r="S443" s="1042"/>
      <c r="T443" s="1042"/>
      <c r="U443" s="1042"/>
      <c r="V443" s="1042"/>
      <c r="W443" s="1042"/>
      <c r="X443" s="1042"/>
      <c r="Y443" s="1042"/>
      <c r="Z443" s="1042"/>
    </row>
    <row r="444" s="2535" customFormat="1" customHeight="1" spans="10:26">
      <c r="J444" s="1042"/>
      <c r="K444" s="1042"/>
      <c r="L444" s="1042"/>
      <c r="M444" s="1042"/>
      <c r="N444" s="1042"/>
      <c r="O444" s="1042"/>
      <c r="P444" s="1042"/>
      <c r="Q444" s="1042"/>
      <c r="R444" s="1042"/>
      <c r="S444" s="1042"/>
      <c r="T444" s="1042"/>
      <c r="U444" s="1042"/>
      <c r="V444" s="1042"/>
      <c r="W444" s="1042"/>
      <c r="X444" s="1042"/>
      <c r="Y444" s="1042"/>
      <c r="Z444" s="1042"/>
    </row>
    <row r="445" s="2535" customFormat="1" customHeight="1" spans="10:26">
      <c r="J445" s="1042"/>
      <c r="K445" s="1042"/>
      <c r="L445" s="1042"/>
      <c r="M445" s="1042"/>
      <c r="N445" s="1042"/>
      <c r="O445" s="1042"/>
      <c r="P445" s="1042"/>
      <c r="Q445" s="1042"/>
      <c r="R445" s="1042"/>
      <c r="S445" s="1042"/>
      <c r="T445" s="1042"/>
      <c r="U445" s="1042"/>
      <c r="V445" s="1042"/>
      <c r="W445" s="1042"/>
      <c r="X445" s="1042"/>
      <c r="Y445" s="1042"/>
      <c r="Z445" s="1042"/>
    </row>
    <row r="446" s="2535" customFormat="1" customHeight="1" spans="10:26">
      <c r="J446" s="1042"/>
      <c r="K446" s="1042"/>
      <c r="L446" s="1042"/>
      <c r="M446" s="1042"/>
      <c r="N446" s="1042"/>
      <c r="O446" s="1042"/>
      <c r="P446" s="1042"/>
      <c r="Q446" s="1042"/>
      <c r="R446" s="1042"/>
      <c r="S446" s="1042"/>
      <c r="T446" s="1042"/>
      <c r="U446" s="1042"/>
      <c r="V446" s="1042"/>
      <c r="W446" s="1042"/>
      <c r="X446" s="1042"/>
      <c r="Y446" s="1042"/>
      <c r="Z446" s="1042"/>
    </row>
    <row r="447" s="2535" customFormat="1" customHeight="1" spans="10:26">
      <c r="J447" s="1042"/>
      <c r="K447" s="1042"/>
      <c r="L447" s="1042"/>
      <c r="M447" s="1042"/>
      <c r="N447" s="1042"/>
      <c r="O447" s="1042"/>
      <c r="P447" s="1042"/>
      <c r="Q447" s="1042"/>
      <c r="R447" s="1042"/>
      <c r="S447" s="1042"/>
      <c r="T447" s="1042"/>
      <c r="U447" s="1042"/>
      <c r="V447" s="1042"/>
      <c r="W447" s="1042"/>
      <c r="X447" s="1042"/>
      <c r="Y447" s="1042"/>
      <c r="Z447" s="1042"/>
    </row>
    <row r="448" s="2535" customFormat="1" customHeight="1" spans="10:26">
      <c r="J448" s="1042"/>
      <c r="K448" s="1042"/>
      <c r="L448" s="1042"/>
      <c r="M448" s="1042"/>
      <c r="N448" s="1042"/>
      <c r="O448" s="1042"/>
      <c r="P448" s="1042"/>
      <c r="Q448" s="1042"/>
      <c r="R448" s="1042"/>
      <c r="S448" s="1042"/>
      <c r="T448" s="1042"/>
      <c r="U448" s="1042"/>
      <c r="V448" s="1042"/>
      <c r="W448" s="1042"/>
      <c r="X448" s="1042"/>
      <c r="Y448" s="1042"/>
      <c r="Z448" s="1042"/>
    </row>
    <row r="449" s="2535" customFormat="1" customHeight="1" spans="10:26">
      <c r="J449" s="1042"/>
      <c r="K449" s="1042"/>
      <c r="L449" s="1042"/>
      <c r="M449" s="1042"/>
      <c r="N449" s="1042"/>
      <c r="O449" s="1042"/>
      <c r="P449" s="1042"/>
      <c r="Q449" s="1042"/>
      <c r="R449" s="1042"/>
      <c r="S449" s="1042"/>
      <c r="T449" s="1042"/>
      <c r="U449" s="1042"/>
      <c r="V449" s="1042"/>
      <c r="W449" s="1042"/>
      <c r="X449" s="1042"/>
      <c r="Y449" s="1042"/>
      <c r="Z449" s="1042"/>
    </row>
    <row r="450" s="2535" customFormat="1" customHeight="1" spans="10:26">
      <c r="J450" s="1042"/>
      <c r="K450" s="1042"/>
      <c r="L450" s="1042"/>
      <c r="M450" s="1042"/>
      <c r="N450" s="1042"/>
      <c r="O450" s="1042"/>
      <c r="P450" s="1042"/>
      <c r="Q450" s="1042"/>
      <c r="R450" s="1042"/>
      <c r="S450" s="1042"/>
      <c r="T450" s="1042"/>
      <c r="U450" s="1042"/>
      <c r="V450" s="1042"/>
      <c r="W450" s="1042"/>
      <c r="X450" s="1042"/>
      <c r="Y450" s="1042"/>
      <c r="Z450" s="1042"/>
    </row>
    <row r="451" s="2535" customFormat="1" customHeight="1" spans="10:26">
      <c r="J451" s="1042"/>
      <c r="K451" s="1042"/>
      <c r="L451" s="1042"/>
      <c r="M451" s="1042"/>
      <c r="N451" s="1042"/>
      <c r="O451" s="1042"/>
      <c r="P451" s="1042"/>
      <c r="Q451" s="1042"/>
      <c r="R451" s="1042"/>
      <c r="S451" s="1042"/>
      <c r="T451" s="1042"/>
      <c r="U451" s="1042"/>
      <c r="V451" s="1042"/>
      <c r="W451" s="1042"/>
      <c r="X451" s="1042"/>
      <c r="Y451" s="1042"/>
      <c r="Z451" s="1042"/>
    </row>
    <row r="452" s="2535" customFormat="1" customHeight="1" spans="10:26">
      <c r="J452" s="1042"/>
      <c r="K452" s="1042"/>
      <c r="L452" s="1042"/>
      <c r="M452" s="1042"/>
      <c r="N452" s="1042"/>
      <c r="O452" s="1042"/>
      <c r="P452" s="1042"/>
      <c r="Q452" s="1042"/>
      <c r="R452" s="1042"/>
      <c r="S452" s="1042"/>
      <c r="T452" s="1042"/>
      <c r="U452" s="1042"/>
      <c r="V452" s="1042"/>
      <c r="W452" s="1042"/>
      <c r="X452" s="1042"/>
      <c r="Y452" s="1042"/>
      <c r="Z452" s="1042"/>
    </row>
    <row r="453" s="2535" customFormat="1" customHeight="1" spans="10:26">
      <c r="J453" s="1042"/>
      <c r="K453" s="1042"/>
      <c r="L453" s="1042"/>
      <c r="M453" s="1042"/>
      <c r="N453" s="1042"/>
      <c r="O453" s="1042"/>
      <c r="P453" s="1042"/>
      <c r="Q453" s="1042"/>
      <c r="R453" s="1042"/>
      <c r="S453" s="1042"/>
      <c r="T453" s="1042"/>
      <c r="U453" s="1042"/>
      <c r="V453" s="1042"/>
      <c r="W453" s="1042"/>
      <c r="X453" s="1042"/>
      <c r="Y453" s="1042"/>
      <c r="Z453" s="1042"/>
    </row>
    <row r="454" s="2535" customFormat="1" customHeight="1" spans="10:26">
      <c r="J454" s="1042"/>
      <c r="K454" s="1042"/>
      <c r="L454" s="1042"/>
      <c r="M454" s="1042"/>
      <c r="N454" s="1042"/>
      <c r="O454" s="1042"/>
      <c r="P454" s="1042"/>
      <c r="Q454" s="1042"/>
      <c r="R454" s="1042"/>
      <c r="S454" s="1042"/>
      <c r="T454" s="1042"/>
      <c r="U454" s="1042"/>
      <c r="V454" s="1042"/>
      <c r="W454" s="1042"/>
      <c r="X454" s="1042"/>
      <c r="Y454" s="1042"/>
      <c r="Z454" s="1042"/>
    </row>
    <row r="455" s="2535" customFormat="1" customHeight="1" spans="10:26">
      <c r="J455" s="1042"/>
      <c r="K455" s="1042"/>
      <c r="L455" s="1042"/>
      <c r="M455" s="1042"/>
      <c r="N455" s="1042"/>
      <c r="O455" s="1042"/>
      <c r="P455" s="1042"/>
      <c r="Q455" s="1042"/>
      <c r="R455" s="1042"/>
      <c r="S455" s="1042"/>
      <c r="T455" s="1042"/>
      <c r="U455" s="1042"/>
      <c r="V455" s="1042"/>
      <c r="W455" s="1042"/>
      <c r="X455" s="1042"/>
      <c r="Y455" s="1042"/>
      <c r="Z455" s="1042"/>
    </row>
    <row r="456" s="2535" customFormat="1" customHeight="1" spans="10:26">
      <c r="J456" s="1042"/>
      <c r="K456" s="1042"/>
      <c r="L456" s="1042"/>
      <c r="M456" s="1042"/>
      <c r="N456" s="1042"/>
      <c r="O456" s="1042"/>
      <c r="P456" s="1042"/>
      <c r="Q456" s="1042"/>
      <c r="R456" s="1042"/>
      <c r="S456" s="1042"/>
      <c r="T456" s="1042"/>
      <c r="U456" s="1042"/>
      <c r="V456" s="1042"/>
      <c r="W456" s="1042"/>
      <c r="X456" s="1042"/>
      <c r="Y456" s="1042"/>
      <c r="Z456" s="1042"/>
    </row>
    <row r="457" s="2535" customFormat="1" customHeight="1" spans="10:26">
      <c r="J457" s="1042"/>
      <c r="K457" s="1042"/>
      <c r="L457" s="1042"/>
      <c r="M457" s="1042"/>
      <c r="N457" s="1042"/>
      <c r="O457" s="1042"/>
      <c r="P457" s="1042"/>
      <c r="Q457" s="1042"/>
      <c r="R457" s="1042"/>
      <c r="S457" s="1042"/>
      <c r="T457" s="1042"/>
      <c r="U457" s="1042"/>
      <c r="V457" s="1042"/>
      <c r="W457" s="1042"/>
      <c r="X457" s="1042"/>
      <c r="Y457" s="1042"/>
      <c r="Z457" s="1042"/>
    </row>
    <row r="458" s="2535" customFormat="1" customHeight="1" spans="10:26">
      <c r="J458" s="1042"/>
      <c r="K458" s="1042"/>
      <c r="L458" s="1042"/>
      <c r="M458" s="1042"/>
      <c r="N458" s="1042"/>
      <c r="O458" s="1042"/>
      <c r="P458" s="1042"/>
      <c r="Q458" s="1042"/>
      <c r="R458" s="1042"/>
      <c r="S458" s="1042"/>
      <c r="T458" s="1042"/>
      <c r="U458" s="1042"/>
      <c r="V458" s="1042"/>
      <c r="W458" s="1042"/>
      <c r="X458" s="1042"/>
      <c r="Y458" s="1042"/>
      <c r="Z458" s="1042"/>
    </row>
    <row r="459" s="2535" customFormat="1" customHeight="1" spans="10:26">
      <c r="J459" s="1042"/>
      <c r="K459" s="1042"/>
      <c r="L459" s="1042"/>
      <c r="M459" s="1042"/>
      <c r="N459" s="1042"/>
      <c r="O459" s="1042"/>
      <c r="P459" s="1042"/>
      <c r="Q459" s="1042"/>
      <c r="R459" s="1042"/>
      <c r="S459" s="1042"/>
      <c r="T459" s="1042"/>
      <c r="U459" s="1042"/>
      <c r="V459" s="1042"/>
      <c r="W459" s="1042"/>
      <c r="X459" s="1042"/>
      <c r="Y459" s="1042"/>
      <c r="Z459" s="1042"/>
    </row>
    <row r="460" s="2535" customFormat="1" customHeight="1" spans="10:26">
      <c r="J460" s="1042"/>
      <c r="K460" s="1042"/>
      <c r="L460" s="1042"/>
      <c r="M460" s="1042"/>
      <c r="N460" s="1042"/>
      <c r="O460" s="1042"/>
      <c r="P460" s="1042"/>
      <c r="Q460" s="1042"/>
      <c r="R460" s="1042"/>
      <c r="S460" s="1042"/>
      <c r="T460" s="1042"/>
      <c r="U460" s="1042"/>
      <c r="V460" s="1042"/>
      <c r="W460" s="1042"/>
      <c r="X460" s="1042"/>
      <c r="Y460" s="1042"/>
      <c r="Z460" s="1042"/>
    </row>
    <row r="461" s="2535" customFormat="1" customHeight="1" spans="10:26">
      <c r="J461" s="1042"/>
      <c r="K461" s="1042"/>
      <c r="L461" s="1042"/>
      <c r="M461" s="1042"/>
      <c r="N461" s="1042"/>
      <c r="O461" s="1042"/>
      <c r="P461" s="1042"/>
      <c r="Q461" s="1042"/>
      <c r="R461" s="1042"/>
      <c r="S461" s="1042"/>
      <c r="T461" s="1042"/>
      <c r="U461" s="1042"/>
      <c r="V461" s="1042"/>
      <c r="W461" s="1042"/>
      <c r="X461" s="1042"/>
      <c r="Y461" s="1042"/>
      <c r="Z461" s="1042"/>
    </row>
    <row r="462" s="2535" customFormat="1" customHeight="1" spans="10:26">
      <c r="J462" s="1042"/>
      <c r="K462" s="1042"/>
      <c r="L462" s="1042"/>
      <c r="M462" s="1042"/>
      <c r="N462" s="1042"/>
      <c r="O462" s="1042"/>
      <c r="P462" s="1042"/>
      <c r="Q462" s="1042"/>
      <c r="R462" s="1042"/>
      <c r="S462" s="1042"/>
      <c r="T462" s="1042"/>
      <c r="U462" s="1042"/>
      <c r="V462" s="1042"/>
      <c r="W462" s="1042"/>
      <c r="X462" s="1042"/>
      <c r="Y462" s="1042"/>
      <c r="Z462" s="1042"/>
    </row>
    <row r="463" s="2535" customFormat="1" customHeight="1" spans="10:26">
      <c r="J463" s="1042"/>
      <c r="K463" s="1042"/>
      <c r="L463" s="1042"/>
      <c r="M463" s="1042"/>
      <c r="N463" s="1042"/>
      <c r="O463" s="1042"/>
      <c r="P463" s="1042"/>
      <c r="Q463" s="1042"/>
      <c r="R463" s="1042"/>
      <c r="S463" s="1042"/>
      <c r="T463" s="1042"/>
      <c r="U463" s="1042"/>
      <c r="V463" s="1042"/>
      <c r="W463" s="1042"/>
      <c r="X463" s="1042"/>
      <c r="Y463" s="1042"/>
      <c r="Z463" s="1042"/>
    </row>
    <row r="464" s="2535" customFormat="1" customHeight="1" spans="10:26">
      <c r="J464" s="1042"/>
      <c r="K464" s="1042"/>
      <c r="L464" s="1042"/>
      <c r="M464" s="1042"/>
      <c r="N464" s="1042"/>
      <c r="O464" s="1042"/>
      <c r="P464" s="1042"/>
      <c r="Q464" s="1042"/>
      <c r="R464" s="1042"/>
      <c r="S464" s="1042"/>
      <c r="T464" s="1042"/>
      <c r="U464" s="1042"/>
      <c r="V464" s="1042"/>
      <c r="W464" s="1042"/>
      <c r="X464" s="1042"/>
      <c r="Y464" s="1042"/>
      <c r="Z464" s="1042"/>
    </row>
    <row r="465" s="2535" customFormat="1" customHeight="1" spans="10:26">
      <c r="J465" s="1042"/>
      <c r="K465" s="1042"/>
      <c r="L465" s="1042"/>
      <c r="M465" s="1042"/>
      <c r="N465" s="1042"/>
      <c r="O465" s="1042"/>
      <c r="P465" s="1042"/>
      <c r="Q465" s="1042"/>
      <c r="R465" s="1042"/>
      <c r="S465" s="1042"/>
      <c r="T465" s="1042"/>
      <c r="U465" s="1042"/>
      <c r="V465" s="1042"/>
      <c r="W465" s="1042"/>
      <c r="X465" s="1042"/>
      <c r="Y465" s="1042"/>
      <c r="Z465" s="1042"/>
    </row>
    <row r="466" s="2535" customFormat="1" customHeight="1" spans="10:26">
      <c r="J466" s="1042"/>
      <c r="K466" s="1042"/>
      <c r="L466" s="1042"/>
      <c r="M466" s="1042"/>
      <c r="N466" s="1042"/>
      <c r="O466" s="1042"/>
      <c r="P466" s="1042"/>
      <c r="Q466" s="1042"/>
      <c r="R466" s="1042"/>
      <c r="S466" s="1042"/>
      <c r="T466" s="1042"/>
      <c r="U466" s="1042"/>
      <c r="V466" s="1042"/>
      <c r="W466" s="1042"/>
      <c r="X466" s="1042"/>
      <c r="Y466" s="1042"/>
      <c r="Z466" s="1042"/>
    </row>
    <row r="467" s="2535" customFormat="1" customHeight="1" spans="10:26">
      <c r="J467" s="1042"/>
      <c r="K467" s="1042"/>
      <c r="L467" s="1042"/>
      <c r="M467" s="1042"/>
      <c r="N467" s="1042"/>
      <c r="O467" s="1042"/>
      <c r="P467" s="1042"/>
      <c r="Q467" s="1042"/>
      <c r="R467" s="1042"/>
      <c r="S467" s="1042"/>
      <c r="T467" s="1042"/>
      <c r="U467" s="1042"/>
      <c r="V467" s="1042"/>
      <c r="W467" s="1042"/>
      <c r="X467" s="1042"/>
      <c r="Y467" s="1042"/>
      <c r="Z467" s="1042"/>
    </row>
    <row r="468" s="2535" customFormat="1" customHeight="1" spans="10:26">
      <c r="J468" s="1042"/>
      <c r="K468" s="1042"/>
      <c r="L468" s="1042"/>
      <c r="M468" s="1042"/>
      <c r="N468" s="1042"/>
      <c r="O468" s="1042"/>
      <c r="P468" s="1042"/>
      <c r="Q468" s="1042"/>
      <c r="R468" s="1042"/>
      <c r="S468" s="1042"/>
      <c r="T468" s="1042"/>
      <c r="U468" s="1042"/>
      <c r="V468" s="1042"/>
      <c r="W468" s="1042"/>
      <c r="X468" s="1042"/>
      <c r="Y468" s="1042"/>
      <c r="Z468" s="1042"/>
    </row>
    <row r="469" s="2535" customFormat="1" customHeight="1" spans="10:26">
      <c r="J469" s="1042"/>
      <c r="K469" s="1042"/>
      <c r="L469" s="1042"/>
      <c r="M469" s="1042"/>
      <c r="N469" s="1042"/>
      <c r="O469" s="1042"/>
      <c r="P469" s="1042"/>
      <c r="Q469" s="1042"/>
      <c r="R469" s="1042"/>
      <c r="S469" s="1042"/>
      <c r="T469" s="1042"/>
      <c r="U469" s="1042"/>
      <c r="V469" s="1042"/>
      <c r="W469" s="1042"/>
      <c r="X469" s="1042"/>
      <c r="Y469" s="1042"/>
      <c r="Z469" s="1042"/>
    </row>
    <row r="470" s="2535" customFormat="1" customHeight="1" spans="10:26">
      <c r="J470" s="1042"/>
      <c r="K470" s="1042"/>
      <c r="L470" s="1042"/>
      <c r="M470" s="1042"/>
      <c r="N470" s="1042"/>
      <c r="O470" s="1042"/>
      <c r="P470" s="1042"/>
      <c r="Q470" s="1042"/>
      <c r="R470" s="1042"/>
      <c r="S470" s="1042"/>
      <c r="T470" s="1042"/>
      <c r="U470" s="1042"/>
      <c r="V470" s="1042"/>
      <c r="W470" s="1042"/>
      <c r="X470" s="1042"/>
      <c r="Y470" s="1042"/>
      <c r="Z470" s="1042"/>
    </row>
    <row r="471" s="2535" customFormat="1" customHeight="1" spans="10:26">
      <c r="J471" s="1042"/>
      <c r="K471" s="1042"/>
      <c r="L471" s="1042"/>
      <c r="M471" s="1042"/>
      <c r="N471" s="1042"/>
      <c r="O471" s="1042"/>
      <c r="P471" s="1042"/>
      <c r="Q471" s="1042"/>
      <c r="R471" s="1042"/>
      <c r="S471" s="1042"/>
      <c r="T471" s="1042"/>
      <c r="U471" s="1042"/>
      <c r="V471" s="1042"/>
      <c r="W471" s="1042"/>
      <c r="X471" s="1042"/>
      <c r="Y471" s="1042"/>
      <c r="Z471" s="1042"/>
    </row>
    <row r="472" s="2535" customFormat="1" customHeight="1" spans="10:26">
      <c r="J472" s="1042"/>
      <c r="K472" s="1042"/>
      <c r="L472" s="1042"/>
      <c r="M472" s="1042"/>
      <c r="N472" s="1042"/>
      <c r="O472" s="1042"/>
      <c r="P472" s="1042"/>
      <c r="Q472" s="1042"/>
      <c r="R472" s="1042"/>
      <c r="S472" s="1042"/>
      <c r="T472" s="1042"/>
      <c r="U472" s="1042"/>
      <c r="V472" s="1042"/>
      <c r="W472" s="1042"/>
      <c r="X472" s="1042"/>
      <c r="Y472" s="1042"/>
      <c r="Z472" s="1042"/>
    </row>
    <row r="473" s="2535" customFormat="1" customHeight="1" spans="10:26">
      <c r="J473" s="1042"/>
      <c r="K473" s="1042"/>
      <c r="L473" s="1042"/>
      <c r="M473" s="1042"/>
      <c r="N473" s="1042"/>
      <c r="O473" s="1042"/>
      <c r="P473" s="1042"/>
      <c r="Q473" s="1042"/>
      <c r="R473" s="1042"/>
      <c r="S473" s="1042"/>
      <c r="T473" s="1042"/>
      <c r="U473" s="1042"/>
      <c r="V473" s="1042"/>
      <c r="W473" s="1042"/>
      <c r="X473" s="1042"/>
      <c r="Y473" s="1042"/>
      <c r="Z473" s="1042"/>
    </row>
    <row r="474" s="2535" customFormat="1" customHeight="1" spans="10:26">
      <c r="J474" s="1042"/>
      <c r="K474" s="1042"/>
      <c r="L474" s="1042"/>
      <c r="M474" s="1042"/>
      <c r="N474" s="1042"/>
      <c r="O474" s="1042"/>
      <c r="P474" s="1042"/>
      <c r="Q474" s="1042"/>
      <c r="R474" s="1042"/>
      <c r="S474" s="1042"/>
      <c r="T474" s="1042"/>
      <c r="U474" s="1042"/>
      <c r="V474" s="1042"/>
      <c r="W474" s="1042"/>
      <c r="X474" s="1042"/>
      <c r="Y474" s="1042"/>
      <c r="Z474" s="1042"/>
    </row>
    <row r="475" s="2535" customFormat="1" customHeight="1" spans="10:26">
      <c r="J475" s="1042"/>
      <c r="K475" s="1042"/>
      <c r="L475" s="1042"/>
      <c r="M475" s="1042"/>
      <c r="N475" s="1042"/>
      <c r="O475" s="1042"/>
      <c r="P475" s="1042"/>
      <c r="Q475" s="1042"/>
      <c r="R475" s="1042"/>
      <c r="S475" s="1042"/>
      <c r="T475" s="1042"/>
      <c r="U475" s="1042"/>
      <c r="V475" s="1042"/>
      <c r="W475" s="1042"/>
      <c r="X475" s="1042"/>
      <c r="Y475" s="1042"/>
      <c r="Z475" s="1042"/>
    </row>
    <row r="476" s="2535" customFormat="1" customHeight="1" spans="10:26">
      <c r="J476" s="1042"/>
      <c r="K476" s="1042"/>
      <c r="L476" s="1042"/>
      <c r="M476" s="1042"/>
      <c r="N476" s="1042"/>
      <c r="O476" s="1042"/>
      <c r="P476" s="1042"/>
      <c r="Q476" s="1042"/>
      <c r="R476" s="1042"/>
      <c r="S476" s="1042"/>
      <c r="T476" s="1042"/>
      <c r="U476" s="1042"/>
      <c r="V476" s="1042"/>
      <c r="W476" s="1042"/>
      <c r="X476" s="1042"/>
      <c r="Y476" s="1042"/>
      <c r="Z476" s="1042"/>
    </row>
    <row r="477" s="2535" customFormat="1" customHeight="1" spans="10:26">
      <c r="J477" s="1042"/>
      <c r="K477" s="1042"/>
      <c r="L477" s="1042"/>
      <c r="M477" s="1042"/>
      <c r="N477" s="1042"/>
      <c r="O477" s="1042"/>
      <c r="P477" s="1042"/>
      <c r="Q477" s="1042"/>
      <c r="R477" s="1042"/>
      <c r="S477" s="1042"/>
      <c r="T477" s="1042"/>
      <c r="U477" s="1042"/>
      <c r="V477" s="1042"/>
      <c r="W477" s="1042"/>
      <c r="X477" s="1042"/>
      <c r="Y477" s="1042"/>
      <c r="Z477" s="1042"/>
    </row>
    <row r="478" s="2535" customFormat="1" customHeight="1" spans="10:26">
      <c r="J478" s="1042"/>
      <c r="K478" s="1042"/>
      <c r="L478" s="1042"/>
      <c r="M478" s="1042"/>
      <c r="N478" s="1042"/>
      <c r="O478" s="1042"/>
      <c r="P478" s="1042"/>
      <c r="Q478" s="1042"/>
      <c r="R478" s="1042"/>
      <c r="S478" s="1042"/>
      <c r="T478" s="1042"/>
      <c r="U478" s="1042"/>
      <c r="V478" s="1042"/>
      <c r="W478" s="1042"/>
      <c r="X478" s="1042"/>
      <c r="Y478" s="1042"/>
      <c r="Z478" s="1042"/>
    </row>
    <row r="479" s="2535" customFormat="1" customHeight="1" spans="10:26">
      <c r="J479" s="1042"/>
      <c r="K479" s="1042"/>
      <c r="L479" s="1042"/>
      <c r="M479" s="1042"/>
      <c r="N479" s="1042"/>
      <c r="O479" s="1042"/>
      <c r="P479" s="1042"/>
      <c r="Q479" s="1042"/>
      <c r="R479" s="1042"/>
      <c r="S479" s="1042"/>
      <c r="T479" s="1042"/>
      <c r="U479" s="1042"/>
      <c r="V479" s="1042"/>
      <c r="W479" s="1042"/>
      <c r="X479" s="1042"/>
      <c r="Y479" s="1042"/>
      <c r="Z479" s="1042"/>
    </row>
    <row r="480" s="2535" customFormat="1" customHeight="1" spans="10:26">
      <c r="J480" s="1042"/>
      <c r="K480" s="1042"/>
      <c r="L480" s="1042"/>
      <c r="M480" s="1042"/>
      <c r="N480" s="1042"/>
      <c r="O480" s="1042"/>
      <c r="P480" s="1042"/>
      <c r="Q480" s="1042"/>
      <c r="R480" s="1042"/>
      <c r="S480" s="1042"/>
      <c r="T480" s="1042"/>
      <c r="U480" s="1042"/>
      <c r="V480" s="1042"/>
      <c r="W480" s="1042"/>
      <c r="X480" s="1042"/>
      <c r="Y480" s="1042"/>
      <c r="Z480" s="1042"/>
    </row>
    <row r="481" s="2535" customFormat="1" customHeight="1" spans="10:26">
      <c r="J481" s="1042"/>
      <c r="K481" s="1042"/>
      <c r="L481" s="1042"/>
      <c r="M481" s="1042"/>
      <c r="N481" s="1042"/>
      <c r="O481" s="1042"/>
      <c r="P481" s="1042"/>
      <c r="Q481" s="1042"/>
      <c r="R481" s="1042"/>
      <c r="S481" s="1042"/>
      <c r="T481" s="1042"/>
      <c r="U481" s="1042"/>
      <c r="V481" s="1042"/>
      <c r="W481" s="1042"/>
      <c r="X481" s="1042"/>
      <c r="Y481" s="1042"/>
      <c r="Z481" s="1042"/>
    </row>
    <row r="482" s="2535" customFormat="1" customHeight="1" spans="10:26">
      <c r="J482" s="1042"/>
      <c r="K482" s="1042"/>
      <c r="L482" s="1042"/>
      <c r="M482" s="1042"/>
      <c r="N482" s="1042"/>
      <c r="O482" s="1042"/>
      <c r="P482" s="1042"/>
      <c r="Q482" s="1042"/>
      <c r="R482" s="1042"/>
      <c r="S482" s="1042"/>
      <c r="T482" s="1042"/>
      <c r="U482" s="1042"/>
      <c r="V482" s="1042"/>
      <c r="W482" s="1042"/>
      <c r="X482" s="1042"/>
      <c r="Y482" s="1042"/>
      <c r="Z482" s="1042"/>
    </row>
    <row r="483" s="2535" customFormat="1" customHeight="1" spans="10:26">
      <c r="J483" s="1042"/>
      <c r="K483" s="1042"/>
      <c r="L483" s="1042"/>
      <c r="M483" s="1042"/>
      <c r="N483" s="1042"/>
      <c r="O483" s="1042"/>
      <c r="P483" s="1042"/>
      <c r="Q483" s="1042"/>
      <c r="R483" s="1042"/>
      <c r="S483" s="1042"/>
      <c r="T483" s="1042"/>
      <c r="U483" s="1042"/>
      <c r="V483" s="1042"/>
      <c r="W483" s="1042"/>
      <c r="X483" s="1042"/>
      <c r="Y483" s="1042"/>
      <c r="Z483" s="1042"/>
    </row>
    <row r="484" s="2535" customFormat="1" customHeight="1" spans="10:26">
      <c r="J484" s="1042"/>
      <c r="K484" s="1042"/>
      <c r="L484" s="1042"/>
      <c r="M484" s="1042"/>
      <c r="N484" s="1042"/>
      <c r="O484" s="1042"/>
      <c r="P484" s="1042"/>
      <c r="Q484" s="1042"/>
      <c r="R484" s="1042"/>
      <c r="S484" s="1042"/>
      <c r="T484" s="1042"/>
      <c r="U484" s="1042"/>
      <c r="V484" s="1042"/>
      <c r="W484" s="1042"/>
      <c r="X484" s="1042"/>
      <c r="Y484" s="1042"/>
      <c r="Z484" s="1042"/>
    </row>
    <row r="485" s="2535" customFormat="1" customHeight="1" spans="10:26">
      <c r="J485" s="1042"/>
      <c r="K485" s="1042"/>
      <c r="L485" s="1042"/>
      <c r="M485" s="1042"/>
      <c r="N485" s="1042"/>
      <c r="O485" s="1042"/>
      <c r="P485" s="1042"/>
      <c r="Q485" s="1042"/>
      <c r="R485" s="1042"/>
      <c r="S485" s="1042"/>
      <c r="T485" s="1042"/>
      <c r="U485" s="1042"/>
      <c r="V485" s="1042"/>
      <c r="W485" s="1042"/>
      <c r="X485" s="1042"/>
      <c r="Y485" s="1042"/>
      <c r="Z485" s="1042"/>
    </row>
    <row r="486" s="2535" customFormat="1" customHeight="1" spans="10:26">
      <c r="J486" s="1042"/>
      <c r="K486" s="1042"/>
      <c r="L486" s="1042"/>
      <c r="M486" s="1042"/>
      <c r="N486" s="1042"/>
      <c r="O486" s="1042"/>
      <c r="P486" s="1042"/>
      <c r="Q486" s="1042"/>
      <c r="R486" s="1042"/>
      <c r="S486" s="1042"/>
      <c r="T486" s="1042"/>
      <c r="U486" s="1042"/>
      <c r="V486" s="1042"/>
      <c r="W486" s="1042"/>
      <c r="X486" s="1042"/>
      <c r="Y486" s="1042"/>
      <c r="Z486" s="1042"/>
    </row>
    <row r="487" s="2535" customFormat="1" customHeight="1" spans="10:26">
      <c r="J487" s="1042"/>
      <c r="K487" s="1042"/>
      <c r="L487" s="1042"/>
      <c r="M487" s="1042"/>
      <c r="N487" s="1042"/>
      <c r="O487" s="1042"/>
      <c r="P487" s="1042"/>
      <c r="Q487" s="1042"/>
      <c r="R487" s="1042"/>
      <c r="S487" s="1042"/>
      <c r="T487" s="1042"/>
      <c r="U487" s="1042"/>
      <c r="V487" s="1042"/>
      <c r="W487" s="1042"/>
      <c r="X487" s="1042"/>
      <c r="Y487" s="1042"/>
      <c r="Z487" s="1042"/>
    </row>
    <row r="488" s="2535" customFormat="1" customHeight="1" spans="10:26">
      <c r="J488" s="1042"/>
      <c r="K488" s="1042"/>
      <c r="L488" s="1042"/>
      <c r="M488" s="1042"/>
      <c r="N488" s="1042"/>
      <c r="O488" s="1042"/>
      <c r="P488" s="1042"/>
      <c r="Q488" s="1042"/>
      <c r="R488" s="1042"/>
      <c r="S488" s="1042"/>
      <c r="T488" s="1042"/>
      <c r="U488" s="1042"/>
      <c r="V488" s="1042"/>
      <c r="W488" s="1042"/>
      <c r="X488" s="1042"/>
      <c r="Y488" s="1042"/>
      <c r="Z488" s="1042"/>
    </row>
    <row r="489" s="2535" customFormat="1" customHeight="1" spans="10:26">
      <c r="J489" s="1042"/>
      <c r="K489" s="1042"/>
      <c r="L489" s="1042"/>
      <c r="M489" s="1042"/>
      <c r="N489" s="1042"/>
      <c r="O489" s="1042"/>
      <c r="P489" s="1042"/>
      <c r="Q489" s="1042"/>
      <c r="R489" s="1042"/>
      <c r="S489" s="1042"/>
      <c r="T489" s="1042"/>
      <c r="U489" s="1042"/>
      <c r="V489" s="1042"/>
      <c r="W489" s="1042"/>
      <c r="X489" s="1042"/>
      <c r="Y489" s="1042"/>
      <c r="Z489" s="1042"/>
    </row>
    <row r="490" s="2535" customFormat="1" customHeight="1" spans="10:26">
      <c r="J490" s="1042"/>
      <c r="K490" s="1042"/>
      <c r="L490" s="1042"/>
      <c r="M490" s="1042"/>
      <c r="N490" s="1042"/>
      <c r="O490" s="1042"/>
      <c r="P490" s="1042"/>
      <c r="Q490" s="1042"/>
      <c r="R490" s="1042"/>
      <c r="S490" s="1042"/>
      <c r="T490" s="1042"/>
      <c r="U490" s="1042"/>
      <c r="V490" s="1042"/>
      <c r="W490" s="1042"/>
      <c r="X490" s="1042"/>
      <c r="Y490" s="1042"/>
      <c r="Z490" s="1042"/>
    </row>
    <row r="491" s="2535" customFormat="1" customHeight="1" spans="10:26">
      <c r="J491" s="1042"/>
      <c r="K491" s="1042"/>
      <c r="L491" s="1042"/>
      <c r="M491" s="1042"/>
      <c r="N491" s="1042"/>
      <c r="O491" s="1042"/>
      <c r="P491" s="1042"/>
      <c r="Q491" s="1042"/>
      <c r="R491" s="1042"/>
      <c r="S491" s="1042"/>
      <c r="T491" s="1042"/>
      <c r="U491" s="1042"/>
      <c r="V491" s="1042"/>
      <c r="W491" s="1042"/>
      <c r="X491" s="1042"/>
      <c r="Y491" s="1042"/>
      <c r="Z491" s="1042"/>
    </row>
    <row r="492" s="2535" customFormat="1" customHeight="1" spans="10:26">
      <c r="J492" s="1042"/>
      <c r="K492" s="1042"/>
      <c r="L492" s="1042"/>
      <c r="M492" s="1042"/>
      <c r="N492" s="1042"/>
      <c r="O492" s="1042"/>
      <c r="P492" s="1042"/>
      <c r="Q492" s="1042"/>
      <c r="R492" s="1042"/>
      <c r="S492" s="1042"/>
      <c r="T492" s="1042"/>
      <c r="U492" s="1042"/>
      <c r="V492" s="1042"/>
      <c r="W492" s="1042"/>
      <c r="X492" s="1042"/>
      <c r="Y492" s="1042"/>
      <c r="Z492" s="1042"/>
    </row>
    <row r="493" s="2535" customFormat="1" customHeight="1" spans="10:26">
      <c r="J493" s="1042"/>
      <c r="K493" s="1042"/>
      <c r="L493" s="1042"/>
      <c r="M493" s="1042"/>
      <c r="N493" s="1042"/>
      <c r="O493" s="1042"/>
      <c r="P493" s="1042"/>
      <c r="Q493" s="1042"/>
      <c r="R493" s="1042"/>
      <c r="S493" s="1042"/>
      <c r="T493" s="1042"/>
      <c r="U493" s="1042"/>
      <c r="V493" s="1042"/>
      <c r="W493" s="1042"/>
      <c r="X493" s="1042"/>
      <c r="Y493" s="1042"/>
      <c r="Z493" s="1042"/>
    </row>
    <row r="494" s="2535" customFormat="1" customHeight="1" spans="10:26">
      <c r="J494" s="1042"/>
      <c r="K494" s="1042"/>
      <c r="L494" s="1042"/>
      <c r="M494" s="1042"/>
      <c r="N494" s="1042"/>
      <c r="O494" s="1042"/>
      <c r="P494" s="1042"/>
      <c r="Q494" s="1042"/>
      <c r="R494" s="1042"/>
      <c r="S494" s="1042"/>
      <c r="T494" s="1042"/>
      <c r="U494" s="1042"/>
      <c r="V494" s="1042"/>
      <c r="W494" s="1042"/>
      <c r="X494" s="1042"/>
      <c r="Y494" s="1042"/>
      <c r="Z494" s="1042"/>
    </row>
    <row r="495" s="2535" customFormat="1" customHeight="1" spans="10:26">
      <c r="J495" s="1042"/>
      <c r="K495" s="1042"/>
      <c r="L495" s="1042"/>
      <c r="M495" s="1042"/>
      <c r="N495" s="1042"/>
      <c r="O495" s="1042"/>
      <c r="P495" s="1042"/>
      <c r="Q495" s="1042"/>
      <c r="R495" s="1042"/>
      <c r="S495" s="1042"/>
      <c r="T495" s="1042"/>
      <c r="U495" s="1042"/>
      <c r="V495" s="1042"/>
      <c r="W495" s="1042"/>
      <c r="X495" s="1042"/>
      <c r="Y495" s="1042"/>
      <c r="Z495" s="1042"/>
    </row>
    <row r="496" s="2535" customFormat="1" customHeight="1" spans="10:26">
      <c r="J496" s="1042"/>
      <c r="K496" s="1042"/>
      <c r="L496" s="1042"/>
      <c r="M496" s="1042"/>
      <c r="N496" s="1042"/>
      <c r="O496" s="1042"/>
      <c r="P496" s="1042"/>
      <c r="Q496" s="1042"/>
      <c r="R496" s="1042"/>
      <c r="S496" s="1042"/>
      <c r="T496" s="1042"/>
      <c r="U496" s="1042"/>
      <c r="V496" s="1042"/>
      <c r="W496" s="1042"/>
      <c r="X496" s="1042"/>
      <c r="Y496" s="1042"/>
      <c r="Z496" s="1042"/>
    </row>
    <row r="497" s="2535" customFormat="1" customHeight="1" spans="10:26">
      <c r="J497" s="1042"/>
      <c r="K497" s="1042"/>
      <c r="L497" s="1042"/>
      <c r="M497" s="1042"/>
      <c r="N497" s="1042"/>
      <c r="O497" s="1042"/>
      <c r="P497" s="1042"/>
      <c r="Q497" s="1042"/>
      <c r="R497" s="1042"/>
      <c r="S497" s="1042"/>
      <c r="T497" s="1042"/>
      <c r="U497" s="1042"/>
      <c r="V497" s="1042"/>
      <c r="W497" s="1042"/>
      <c r="X497" s="1042"/>
      <c r="Y497" s="1042"/>
      <c r="Z497" s="1042"/>
    </row>
    <row r="498" s="2535" customFormat="1" customHeight="1" spans="10:26">
      <c r="J498" s="1042"/>
      <c r="K498" s="1042"/>
      <c r="L498" s="1042"/>
      <c r="M498" s="1042"/>
      <c r="N498" s="1042"/>
      <c r="O498" s="1042"/>
      <c r="P498" s="1042"/>
      <c r="Q498" s="1042"/>
      <c r="R498" s="1042"/>
      <c r="S498" s="1042"/>
      <c r="T498" s="1042"/>
      <c r="U498" s="1042"/>
      <c r="V498" s="1042"/>
      <c r="W498" s="1042"/>
      <c r="X498" s="1042"/>
      <c r="Y498" s="1042"/>
      <c r="Z498" s="1042"/>
    </row>
    <row r="499" s="2535" customFormat="1" customHeight="1" spans="10:26">
      <c r="J499" s="1042"/>
      <c r="K499" s="1042"/>
      <c r="L499" s="1042"/>
      <c r="M499" s="1042"/>
      <c r="N499" s="1042"/>
      <c r="O499" s="1042"/>
      <c r="P499" s="1042"/>
      <c r="Q499" s="1042"/>
      <c r="R499" s="1042"/>
      <c r="S499" s="1042"/>
      <c r="T499" s="1042"/>
      <c r="U499" s="1042"/>
      <c r="V499" s="1042"/>
      <c r="W499" s="1042"/>
      <c r="X499" s="1042"/>
      <c r="Y499" s="1042"/>
      <c r="Z499" s="1042"/>
    </row>
    <row r="500" s="2535" customFormat="1" customHeight="1" spans="10:26">
      <c r="J500" s="1042"/>
      <c r="K500" s="1042"/>
      <c r="L500" s="1042"/>
      <c r="M500" s="1042"/>
      <c r="N500" s="1042"/>
      <c r="O500" s="1042"/>
      <c r="P500" s="1042"/>
      <c r="Q500" s="1042"/>
      <c r="R500" s="1042"/>
      <c r="S500" s="1042"/>
      <c r="T500" s="1042"/>
      <c r="U500" s="1042"/>
      <c r="V500" s="1042"/>
      <c r="W500" s="1042"/>
      <c r="X500" s="1042"/>
      <c r="Y500" s="1042"/>
      <c r="Z500" s="1042"/>
    </row>
    <row r="501" s="2535" customFormat="1" customHeight="1" spans="10:26">
      <c r="J501" s="1042"/>
      <c r="K501" s="1042"/>
      <c r="L501" s="1042"/>
      <c r="M501" s="1042"/>
      <c r="N501" s="1042"/>
      <c r="O501" s="1042"/>
      <c r="P501" s="1042"/>
      <c r="Q501" s="1042"/>
      <c r="R501" s="1042"/>
      <c r="S501" s="1042"/>
      <c r="T501" s="1042"/>
      <c r="U501" s="1042"/>
      <c r="V501" s="1042"/>
      <c r="W501" s="1042"/>
      <c r="X501" s="1042"/>
      <c r="Y501" s="1042"/>
      <c r="Z501" s="1042"/>
    </row>
    <row r="502" s="2535" customFormat="1" customHeight="1" spans="10:26">
      <c r="J502" s="1042"/>
      <c r="K502" s="1042"/>
      <c r="L502" s="1042"/>
      <c r="M502" s="1042"/>
      <c r="N502" s="1042"/>
      <c r="O502" s="1042"/>
      <c r="P502" s="1042"/>
      <c r="Q502" s="1042"/>
      <c r="R502" s="1042"/>
      <c r="S502" s="1042"/>
      <c r="T502" s="1042"/>
      <c r="U502" s="1042"/>
      <c r="V502" s="1042"/>
      <c r="W502" s="1042"/>
      <c r="X502" s="1042"/>
      <c r="Y502" s="1042"/>
      <c r="Z502" s="1042"/>
    </row>
    <row r="503" s="2535" customFormat="1" customHeight="1" spans="10:26">
      <c r="J503" s="1042"/>
      <c r="K503" s="1042"/>
      <c r="L503" s="1042"/>
      <c r="M503" s="1042"/>
      <c r="N503" s="1042"/>
      <c r="O503" s="1042"/>
      <c r="P503" s="1042"/>
      <c r="Q503" s="1042"/>
      <c r="R503" s="1042"/>
      <c r="S503" s="1042"/>
      <c r="T503" s="1042"/>
      <c r="U503" s="1042"/>
      <c r="V503" s="1042"/>
      <c r="W503" s="1042"/>
      <c r="X503" s="1042"/>
      <c r="Y503" s="1042"/>
      <c r="Z503" s="1042"/>
    </row>
    <row r="504" s="2535" customFormat="1" customHeight="1" spans="10:26">
      <c r="J504" s="1042"/>
      <c r="K504" s="1042"/>
      <c r="L504" s="1042"/>
      <c r="M504" s="1042"/>
      <c r="N504" s="1042"/>
      <c r="O504" s="1042"/>
      <c r="P504" s="1042"/>
      <c r="Q504" s="1042"/>
      <c r="R504" s="1042"/>
      <c r="S504" s="1042"/>
      <c r="T504" s="1042"/>
      <c r="U504" s="1042"/>
      <c r="V504" s="1042"/>
      <c r="W504" s="1042"/>
      <c r="X504" s="1042"/>
      <c r="Y504" s="1042"/>
      <c r="Z504" s="1042"/>
    </row>
    <row r="505" s="2535" customFormat="1" customHeight="1" spans="10:26">
      <c r="J505" s="1042"/>
      <c r="K505" s="1042"/>
      <c r="L505" s="1042"/>
      <c r="M505" s="1042"/>
      <c r="N505" s="1042"/>
      <c r="O505" s="1042"/>
      <c r="P505" s="1042"/>
      <c r="Q505" s="1042"/>
      <c r="R505" s="1042"/>
      <c r="S505" s="1042"/>
      <c r="T505" s="1042"/>
      <c r="U505" s="1042"/>
      <c r="V505" s="1042"/>
      <c r="W505" s="1042"/>
      <c r="X505" s="1042"/>
      <c r="Y505" s="1042"/>
      <c r="Z505" s="1042"/>
    </row>
    <row r="506" s="2535" customFormat="1" customHeight="1" spans="10:26">
      <c r="J506" s="1042"/>
      <c r="K506" s="1042"/>
      <c r="L506" s="1042"/>
      <c r="M506" s="1042"/>
      <c r="N506" s="1042"/>
      <c r="O506" s="1042"/>
      <c r="P506" s="1042"/>
      <c r="Q506" s="1042"/>
      <c r="R506" s="1042"/>
      <c r="S506" s="1042"/>
      <c r="T506" s="1042"/>
      <c r="U506" s="1042"/>
      <c r="V506" s="1042"/>
      <c r="W506" s="1042"/>
      <c r="X506" s="1042"/>
      <c r="Y506" s="1042"/>
      <c r="Z506" s="1042"/>
    </row>
    <row r="507" s="2535" customFormat="1" customHeight="1" spans="10:26">
      <c r="J507" s="1042"/>
      <c r="K507" s="1042"/>
      <c r="L507" s="1042"/>
      <c r="M507" s="1042"/>
      <c r="N507" s="1042"/>
      <c r="O507" s="1042"/>
      <c r="P507" s="1042"/>
      <c r="Q507" s="1042"/>
      <c r="R507" s="1042"/>
      <c r="S507" s="1042"/>
      <c r="T507" s="1042"/>
      <c r="U507" s="1042"/>
      <c r="V507" s="1042"/>
      <c r="W507" s="1042"/>
      <c r="X507" s="1042"/>
      <c r="Y507" s="1042"/>
      <c r="Z507" s="1042"/>
    </row>
    <row r="508" s="2535" customFormat="1" customHeight="1" spans="10:26">
      <c r="J508" s="1042"/>
      <c r="K508" s="1042"/>
      <c r="L508" s="1042"/>
      <c r="M508" s="1042"/>
      <c r="N508" s="1042"/>
      <c r="O508" s="1042"/>
      <c r="P508" s="1042"/>
      <c r="Q508" s="1042"/>
      <c r="R508" s="1042"/>
      <c r="S508" s="1042"/>
      <c r="T508" s="1042"/>
      <c r="U508" s="1042"/>
      <c r="V508" s="1042"/>
      <c r="W508" s="1042"/>
      <c r="X508" s="1042"/>
      <c r="Y508" s="1042"/>
      <c r="Z508" s="1042"/>
    </row>
    <row r="509" s="2535" customFormat="1" customHeight="1" spans="10:26">
      <c r="J509" s="1042"/>
      <c r="K509" s="1042"/>
      <c r="L509" s="1042"/>
      <c r="M509" s="1042"/>
      <c r="N509" s="1042"/>
      <c r="O509" s="1042"/>
      <c r="P509" s="1042"/>
      <c r="Q509" s="1042"/>
      <c r="R509" s="1042"/>
      <c r="S509" s="1042"/>
      <c r="T509" s="1042"/>
      <c r="U509" s="1042"/>
      <c r="V509" s="1042"/>
      <c r="W509" s="1042"/>
      <c r="X509" s="1042"/>
      <c r="Y509" s="1042"/>
      <c r="Z509" s="1042"/>
    </row>
    <row r="510" s="2535" customFormat="1" customHeight="1" spans="10:26">
      <c r="J510" s="1042"/>
      <c r="K510" s="1042"/>
      <c r="L510" s="1042"/>
      <c r="M510" s="1042"/>
      <c r="N510" s="1042"/>
      <c r="O510" s="1042"/>
      <c r="P510" s="1042"/>
      <c r="Q510" s="1042"/>
      <c r="R510" s="1042"/>
      <c r="S510" s="1042"/>
      <c r="T510" s="1042"/>
      <c r="U510" s="1042"/>
      <c r="V510" s="1042"/>
      <c r="W510" s="1042"/>
      <c r="X510" s="1042"/>
      <c r="Y510" s="1042"/>
      <c r="Z510" s="1042"/>
    </row>
    <row r="511" s="2535" customFormat="1" customHeight="1" spans="10:26">
      <c r="J511" s="1042"/>
      <c r="K511" s="1042"/>
      <c r="L511" s="1042"/>
      <c r="M511" s="1042"/>
      <c r="N511" s="1042"/>
      <c r="O511" s="1042"/>
      <c r="P511" s="1042"/>
      <c r="Q511" s="1042"/>
      <c r="R511" s="1042"/>
      <c r="S511" s="1042"/>
      <c r="T511" s="1042"/>
      <c r="U511" s="1042"/>
      <c r="V511" s="1042"/>
      <c r="W511" s="1042"/>
      <c r="X511" s="1042"/>
      <c r="Y511" s="1042"/>
      <c r="Z511" s="1042"/>
    </row>
    <row r="512" s="2535" customFormat="1" customHeight="1" spans="10:26">
      <c r="J512" s="1042"/>
      <c r="K512" s="1042"/>
      <c r="L512" s="1042"/>
      <c r="M512" s="1042"/>
      <c r="N512" s="1042"/>
      <c r="O512" s="1042"/>
      <c r="P512" s="1042"/>
      <c r="Q512" s="1042"/>
      <c r="R512" s="1042"/>
      <c r="S512" s="1042"/>
      <c r="T512" s="1042"/>
      <c r="U512" s="1042"/>
      <c r="V512" s="1042"/>
      <c r="W512" s="1042"/>
      <c r="X512" s="1042"/>
      <c r="Y512" s="1042"/>
      <c r="Z512" s="104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27" sqref="L27"/>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988</v>
      </c>
      <c r="B1" s="2517"/>
      <c r="C1" s="392"/>
      <c r="D1" s="392"/>
      <c r="E1" s="392"/>
      <c r="F1" s="392"/>
      <c r="G1" s="2519">
        <f>MATCH(B1,'数据-取费表'!A6:A16,0)+5</f>
        <v>7</v>
      </c>
    </row>
    <row r="2" s="382" customFormat="1" ht="18" customHeight="1" spans="1:7">
      <c r="A2" s="394" t="s">
        <v>989</v>
      </c>
      <c r="B2" s="395">
        <f ca="1">IF(D2="——",C52,C52-E2)</f>
        <v>20002</v>
      </c>
      <c r="C2" s="393" t="s">
        <v>990</v>
      </c>
      <c r="D2" s="2521" t="s">
        <v>124</v>
      </c>
      <c r="E2" s="2522" t="e">
        <f ca="1">SUMIF(INDIRECT("'"&amp;G2&amp;"'"&amp;"!A:A"),"承租人权益价值",INDIRECT("'"&amp;G2&amp;"'"&amp;"!c:c"))</f>
        <v>#REF!</v>
      </c>
      <c r="F2" s="2523" t="s">
        <v>990</v>
      </c>
      <c r="G2" s="2524"/>
    </row>
    <row r="3" s="382" customFormat="1" ht="18" customHeight="1" spans="1:7">
      <c r="A3" s="397" t="s">
        <v>991</v>
      </c>
      <c r="B3" s="398">
        <f ca="1">ROUND(B2*10000/(IF(B1="",'数据-汇总表'!E3,INDIRECT("'数据-取费表'!k"&amp;$G$1))),0)</f>
        <v>19786</v>
      </c>
      <c r="C3" s="393" t="s">
        <v>992</v>
      </c>
      <c r="D3" s="393"/>
      <c r="E3" s="393"/>
      <c r="F3" s="393"/>
      <c r="G3" s="393"/>
    </row>
    <row r="4" s="383" customFormat="1" ht="15.6" spans="1:7">
      <c r="A4" s="399" t="s">
        <v>993</v>
      </c>
      <c r="B4" s="400"/>
      <c r="C4" s="400"/>
      <c r="D4" s="400"/>
      <c r="E4" s="400"/>
      <c r="F4" s="400"/>
      <c r="G4" s="401"/>
    </row>
    <row r="5" s="384" customFormat="1" ht="13.5" customHeight="1" spans="1:7">
      <c r="A5" s="402" t="s">
        <v>994</v>
      </c>
      <c r="B5" s="403" t="s">
        <v>995</v>
      </c>
      <c r="C5" s="404">
        <f ca="1">C6+C7+C8</f>
        <v>10046</v>
      </c>
      <c r="D5" s="404" t="s">
        <v>996</v>
      </c>
      <c r="E5" s="405" t="s">
        <v>997</v>
      </c>
      <c r="F5" s="405" t="s">
        <v>894</v>
      </c>
      <c r="G5" s="406"/>
    </row>
    <row r="6" s="384" customFormat="1" ht="13.5" customHeight="1" spans="1:7">
      <c r="A6" s="407" t="s">
        <v>998</v>
      </c>
      <c r="B6" s="408" t="s">
        <v>999</v>
      </c>
      <c r="C6" s="409">
        <f>基准地价修正!E33</f>
        <v>9553</v>
      </c>
      <c r="D6" s="410"/>
      <c r="E6" s="411"/>
      <c r="F6" s="411"/>
      <c r="G6" s="412"/>
    </row>
    <row r="7" s="384" customFormat="1" ht="13.5" customHeight="1" spans="1:7">
      <c r="A7" s="407" t="s">
        <v>1000</v>
      </c>
      <c r="B7" s="408" t="s">
        <v>1001</v>
      </c>
      <c r="C7" s="413">
        <f>ROUND(C6*F7,0)</f>
        <v>291</v>
      </c>
      <c r="D7" s="413"/>
      <c r="E7" s="411"/>
      <c r="F7" s="414">
        <f>IF(项目基本情况!B8="出让",0,'数据-取费表'!B48+'数据-取费表'!B49)</f>
        <v>0.0305</v>
      </c>
      <c r="G7" s="412"/>
    </row>
    <row r="8" s="385" customFormat="1" spans="1:7">
      <c r="A8" s="407" t="s">
        <v>1002</v>
      </c>
      <c r="B8" s="408" t="s">
        <v>1003</v>
      </c>
      <c r="C8" s="413">
        <f ca="1">IF(G8="已包含在土地购买价格中","0",IF(B1="",'数据-取费表'!B29,IF(G9="全部缴纳",C9+C10,H9)))</f>
        <v>202</v>
      </c>
      <c r="D8" s="415"/>
      <c r="E8" s="413"/>
      <c r="F8" s="414"/>
      <c r="G8" s="2525" t="s">
        <v>1004</v>
      </c>
    </row>
    <row r="9" s="384" customFormat="1" ht="13.5" customHeight="1" spans="1:9">
      <c r="A9" s="417" t="s">
        <v>1005</v>
      </c>
      <c r="B9" s="418" t="s">
        <v>1006</v>
      </c>
      <c r="C9" s="419">
        <f ca="1">ROUND(D9*E9/10000,0)</f>
        <v>0</v>
      </c>
      <c r="D9" s="420">
        <f ca="1">IF(B1="",'数据-汇总表'!E5,IF(INDIRECT("'数据-取费表'!c"&amp;$G$1)="住宅",INDIRECT("'数据-取费表'!k"&amp;$G$1),0))</f>
        <v>0</v>
      </c>
      <c r="E9" s="419">
        <f>'数据-取费表'!B27</f>
        <v>0</v>
      </c>
      <c r="F9" s="414"/>
      <c r="G9" s="2529"/>
      <c r="H9" s="2530"/>
      <c r="I9" s="2531" t="s">
        <v>1007</v>
      </c>
    </row>
    <row r="10" s="384" customFormat="1" ht="13.5" customHeight="1" spans="1:7">
      <c r="A10" s="417" t="s">
        <v>1008</v>
      </c>
      <c r="B10" s="418" t="s">
        <v>1009</v>
      </c>
      <c r="C10" s="419">
        <f ca="1">ROUND(D10*E10/10000,0)</f>
        <v>202</v>
      </c>
      <c r="D10" s="420">
        <f ca="1">IF(B1="",'数据-汇总表'!E6,IF(INDIRECT("'数据-取费表'!c"&amp;$G$1)="住宅",INDIRECT("'数据-取费表'!s"&amp;$G$1),INDIRECT("'数据-取费表'!k"&amp;$G$1)+INDIRECT("'数据-取费表'!s"&amp;$G$1)))</f>
        <v>10109.15</v>
      </c>
      <c r="E10" s="419">
        <f>'数据-取费表'!B28</f>
        <v>200</v>
      </c>
      <c r="F10" s="414"/>
      <c r="G10" s="421"/>
    </row>
    <row r="11" s="384" customFormat="1" ht="13.5" hidden="1" customHeight="1" spans="1:7">
      <c r="A11" s="422" t="s">
        <v>1010</v>
      </c>
      <c r="B11" s="408" t="s">
        <v>1011</v>
      </c>
      <c r="C11" s="404"/>
      <c r="D11" s="423"/>
      <c r="E11" s="411"/>
      <c r="F11" s="411"/>
      <c r="G11" s="412"/>
    </row>
    <row r="12" s="384" customFormat="1" ht="13.5" hidden="1" customHeight="1" spans="1:7">
      <c r="A12" s="422" t="s">
        <v>1012</v>
      </c>
      <c r="B12" s="408" t="s">
        <v>930</v>
      </c>
      <c r="C12" s="404">
        <v>0</v>
      </c>
      <c r="D12" s="423"/>
      <c r="E12" s="424"/>
      <c r="F12" s="414">
        <v>0.0305</v>
      </c>
      <c r="G12" s="412"/>
    </row>
    <row r="13" s="384" customFormat="1" ht="13.5" hidden="1" customHeight="1" spans="1:7">
      <c r="A13" s="422" t="s">
        <v>1013</v>
      </c>
      <c r="B13" s="408" t="s">
        <v>1014</v>
      </c>
      <c r="C13" s="404"/>
      <c r="D13" s="423"/>
      <c r="E13" s="411"/>
      <c r="F13" s="411"/>
      <c r="G13" s="412"/>
    </row>
    <row r="14" s="384" customFormat="1" ht="13.5" hidden="1" customHeight="1" spans="1:7">
      <c r="A14" s="422" t="s">
        <v>1015</v>
      </c>
      <c r="B14" s="408" t="s">
        <v>1003</v>
      </c>
      <c r="C14" s="404"/>
      <c r="D14" s="423"/>
      <c r="E14" s="411"/>
      <c r="F14" s="411"/>
      <c r="G14" s="412" t="s">
        <v>1016</v>
      </c>
    </row>
    <row r="15" s="384" customFormat="1" ht="13.5" hidden="1" customHeight="1" spans="1:7">
      <c r="A15" s="422" t="s">
        <v>1017</v>
      </c>
      <c r="B15" s="408" t="s">
        <v>1018</v>
      </c>
      <c r="C15" s="413"/>
      <c r="D15" s="423"/>
      <c r="E15" s="411"/>
      <c r="F15" s="411"/>
      <c r="G15" s="412" t="s">
        <v>1019</v>
      </c>
    </row>
    <row r="16" s="384" customFormat="1" ht="13.5" hidden="1" customHeight="1" spans="1:7">
      <c r="A16" s="422" t="s">
        <v>1020</v>
      </c>
      <c r="B16" s="408" t="s">
        <v>1003</v>
      </c>
      <c r="C16" s="413"/>
      <c r="D16" s="423"/>
      <c r="E16" s="411"/>
      <c r="F16" s="411"/>
      <c r="G16" s="412"/>
    </row>
    <row r="17" s="384" customFormat="1" ht="13.5" hidden="1" customHeight="1" spans="1:7">
      <c r="A17" s="422" t="s">
        <v>1021</v>
      </c>
      <c r="B17" s="408" t="s">
        <v>1022</v>
      </c>
      <c r="C17" s="425"/>
      <c r="D17" s="426"/>
      <c r="E17" s="425"/>
      <c r="F17" s="425"/>
      <c r="G17" s="412" t="s">
        <v>1019</v>
      </c>
    </row>
    <row r="18" s="384" customFormat="1" ht="13.5" hidden="1" customHeight="1" spans="1:7">
      <c r="A18" s="422" t="s">
        <v>1023</v>
      </c>
      <c r="B18" s="408" t="s">
        <v>1024</v>
      </c>
      <c r="C18" s="413">
        <v>0</v>
      </c>
      <c r="D18" s="423"/>
      <c r="E18" s="411"/>
      <c r="F18" s="414">
        <v>0.0305</v>
      </c>
      <c r="G18" s="412" t="s">
        <v>1025</v>
      </c>
    </row>
    <row r="19" s="385" customFormat="1" ht="13.5" customHeight="1" spans="1:7">
      <c r="A19" s="402" t="s">
        <v>1026</v>
      </c>
      <c r="B19" s="403" t="s">
        <v>1027</v>
      </c>
      <c r="C19" s="404" t="str">
        <f ca="1">IF(G19="已包含在土地取得成本中","0",ROUND(D19*E19/10000,0))</f>
        <v>0</v>
      </c>
      <c r="D19" s="428">
        <f ca="1">D9+D10</f>
        <v>10109.15</v>
      </c>
      <c r="E19" s="404">
        <f>'数据-取费表'!B31</f>
        <v>200</v>
      </c>
      <c r="F19" s="429"/>
      <c r="G19" s="2525" t="s">
        <v>1028</v>
      </c>
    </row>
    <row r="20" s="384" customFormat="1" ht="13.5" customHeight="1" spans="1:7">
      <c r="A20" s="402" t="s">
        <v>1029</v>
      </c>
      <c r="B20" s="403" t="s">
        <v>1030</v>
      </c>
      <c r="C20" s="430">
        <f ca="1">ROUND((C5+C19)*F20,0)</f>
        <v>201</v>
      </c>
      <c r="D20" s="430"/>
      <c r="E20" s="430"/>
      <c r="F20" s="431">
        <f>'数据-取费表'!B37</f>
        <v>0.02</v>
      </c>
      <c r="G20" s="435" t="s">
        <v>1031</v>
      </c>
    </row>
    <row r="21" s="384" customFormat="1" ht="13.5" customHeight="1" spans="1:7">
      <c r="A21" s="402" t="s">
        <v>1032</v>
      </c>
      <c r="B21" s="403" t="s">
        <v>1033</v>
      </c>
      <c r="C21" s="433">
        <f>F21</f>
        <v>0.02</v>
      </c>
      <c r="D21" s="434" t="s">
        <v>1034</v>
      </c>
      <c r="E21" s="430"/>
      <c r="F21" s="431">
        <f>'数据-取费表'!B38</f>
        <v>0.02</v>
      </c>
      <c r="G21" s="435" t="s">
        <v>1035</v>
      </c>
    </row>
    <row r="22" s="384" customFormat="1" ht="13.5" customHeight="1" spans="1:7">
      <c r="A22" s="402" t="s">
        <v>1036</v>
      </c>
      <c r="B22" s="403" t="s">
        <v>1037</v>
      </c>
      <c r="C22" s="436">
        <f ca="1">ROUND(SUM(C23:C25),0)</f>
        <v>638</v>
      </c>
      <c r="D22" s="433">
        <f ca="1">C26</f>
        <v>0.0006</v>
      </c>
      <c r="E22" s="434" t="s">
        <v>1034</v>
      </c>
      <c r="F22" s="437">
        <f ca="1">'数据-取费表'!B40</f>
        <v>0.0415</v>
      </c>
      <c r="G22" s="435" t="str">
        <f>IF('数据-取费表'!B22&lt;=1,"单利计息","复利计息")</f>
        <v>复利计息</v>
      </c>
    </row>
    <row r="23" s="384" customFormat="1" ht="13.5" customHeight="1" spans="1:7">
      <c r="A23" s="438" t="s">
        <v>998</v>
      </c>
      <c r="B23" s="408" t="s">
        <v>1038</v>
      </c>
      <c r="C23" s="439">
        <f ca="1">ROUND(IF('数据-取费表'!B22&lt;=1,C5*F22*'数据-取费表'!B23,C5*(POWER((1+F22),'数据-取费表'!B23)-1)),0)</f>
        <v>632</v>
      </c>
      <c r="D23" s="440"/>
      <c r="E23" s="440"/>
      <c r="F23" s="441"/>
      <c r="G23" s="442" t="s">
        <v>1039</v>
      </c>
    </row>
    <row r="24" s="384" customFormat="1" ht="13.5" customHeight="1" spans="1:7">
      <c r="A24" s="438" t="s">
        <v>1000</v>
      </c>
      <c r="B24" s="408" t="s">
        <v>1040</v>
      </c>
      <c r="C24" s="439">
        <f ca="1">ROUND(IF('数据-取费表'!B22&lt;=1,C19*F22*('数据-取费表'!B19/2+'数据-取费表'!B21),C19*(POWER((1+F22),('数据-取费表'!B19/2+'数据-取费表'!B21))-1)),0)</f>
        <v>0</v>
      </c>
      <c r="D24" s="440"/>
      <c r="E24" s="440"/>
      <c r="F24" s="441"/>
      <c r="G24" s="442" t="s">
        <v>1041</v>
      </c>
    </row>
    <row r="25" s="384" customFormat="1" ht="24" spans="1:7">
      <c r="A25" s="438" t="s">
        <v>1002</v>
      </c>
      <c r="B25" s="408" t="s">
        <v>1042</v>
      </c>
      <c r="C25" s="439">
        <f ca="1">ROUND(IF('数据-取费表'!B22&lt;=1,C20*F22*'数据-取费表'!B23/2,C20*(POWER((1+F22),'数据-取费表'!B23/2)-1)),0)</f>
        <v>6</v>
      </c>
      <c r="D25" s="440"/>
      <c r="E25" s="443"/>
      <c r="F25" s="441"/>
      <c r="G25" s="444" t="s">
        <v>1043</v>
      </c>
    </row>
    <row r="26" s="384" customFormat="1" spans="1:7">
      <c r="A26" s="438" t="s">
        <v>1044</v>
      </c>
      <c r="B26" s="408" t="s">
        <v>1045</v>
      </c>
      <c r="C26" s="440">
        <f ca="1">ROUND(IF('数据-取费表'!B22&lt;=1,F21*F22*'数据-取费表'!B23/2,F21*(POWER((1+F22),'数据-取费表'!B23/2)-1)),4)</f>
        <v>0.0006</v>
      </c>
      <c r="D26" s="440"/>
      <c r="E26" s="443"/>
      <c r="F26" s="441"/>
      <c r="G26" s="445"/>
    </row>
    <row r="27" s="384" customFormat="1" ht="26.4" spans="1:7">
      <c r="A27" s="402" t="s">
        <v>1046</v>
      </c>
      <c r="B27" s="446" t="s">
        <v>1047</v>
      </c>
      <c r="C27" s="447">
        <f ca="1">C28</f>
        <v>2049</v>
      </c>
      <c r="D27" s="433">
        <f ca="1">C29</f>
        <v>0.004</v>
      </c>
      <c r="E27" s="434" t="s">
        <v>1034</v>
      </c>
      <c r="F27" s="448">
        <f ca="1">IF(B1="",'数据-取费表'!Q16,INDIRECT("'数据-取费表'!q"&amp;$G$1))</f>
        <v>0.2</v>
      </c>
      <c r="G27" s="449" t="s">
        <v>1048</v>
      </c>
    </row>
    <row r="28" s="384" customFormat="1" ht="13.5" customHeight="1" spans="1:7">
      <c r="A28" s="438" t="s">
        <v>998</v>
      </c>
      <c r="B28" s="450" t="s">
        <v>1049</v>
      </c>
      <c r="C28" s="451">
        <f ca="1">ROUND((C5+C19+C20)*F27*'数据-取费表'!B21/'数据-取费表'!B20,0)</f>
        <v>2049</v>
      </c>
      <c r="D28" s="433"/>
      <c r="E28" s="434"/>
      <c r="F28" s="448"/>
      <c r="G28" s="449"/>
    </row>
    <row r="29" s="384" customFormat="1" ht="13.5" customHeight="1" spans="1:7">
      <c r="A29" s="438" t="s">
        <v>1000</v>
      </c>
      <c r="B29" s="450" t="s">
        <v>1050</v>
      </c>
      <c r="C29" s="440">
        <f ca="1">ROUND(C21*F27*'数据-取费表'!B21/'数据-取费表'!B20,4)</f>
        <v>0.004</v>
      </c>
      <c r="D29" s="433"/>
      <c r="E29" s="434"/>
      <c r="F29" s="448"/>
      <c r="G29" s="449"/>
    </row>
    <row r="30" s="384" customFormat="1" ht="13.5" customHeight="1" spans="1:7">
      <c r="A30" s="402" t="s">
        <v>1051</v>
      </c>
      <c r="B30" s="403" t="s">
        <v>1052</v>
      </c>
      <c r="C30" s="433">
        <f>ROUND(F30/(1+'数据-取费表'!C42),4)</f>
        <v>0.0533</v>
      </c>
      <c r="D30" s="434" t="s">
        <v>1034</v>
      </c>
      <c r="E30" s="443"/>
      <c r="F30" s="437">
        <f>'数据-取费表'!B41</f>
        <v>0.056</v>
      </c>
      <c r="G30" s="435" t="s">
        <v>1053</v>
      </c>
    </row>
    <row r="31" ht="16.5" customHeight="1" spans="1:7">
      <c r="A31" s="452">
        <v>1</v>
      </c>
      <c r="B31" s="403" t="s">
        <v>1054</v>
      </c>
      <c r="C31" s="404">
        <f ca="1">ROUND((C5+C19+C20+C22+C27)/(1-C21-D22-D27-C30),0)</f>
        <v>14027</v>
      </c>
      <c r="D31" s="453"/>
      <c r="E31" s="404"/>
      <c r="F31" s="454"/>
      <c r="G31" s="435" t="s">
        <v>1055</v>
      </c>
    </row>
    <row r="32" s="383" customFormat="1" ht="15.6" spans="1:7">
      <c r="A32" s="455" t="s">
        <v>1056</v>
      </c>
      <c r="B32" s="456"/>
      <c r="C32" s="456"/>
      <c r="D32" s="456"/>
      <c r="E32" s="456"/>
      <c r="F32" s="456"/>
      <c r="G32" s="457"/>
    </row>
    <row r="33" s="384" customFormat="1" ht="13.5" customHeight="1" spans="1:7">
      <c r="A33" s="402" t="s">
        <v>994</v>
      </c>
      <c r="B33" s="403" t="s">
        <v>1057</v>
      </c>
      <c r="C33" s="458">
        <f ca="1">SUM(C34:C38)</f>
        <v>5485</v>
      </c>
      <c r="D33" s="430"/>
      <c r="E33" s="405"/>
      <c r="F33" s="443"/>
      <c r="G33" s="435"/>
    </row>
    <row r="34" s="386" customFormat="1" ht="13.5" customHeight="1" spans="1:7">
      <c r="A34" s="438" t="s">
        <v>998</v>
      </c>
      <c r="B34" s="408" t="s">
        <v>1058</v>
      </c>
      <c r="C34" s="413">
        <f ca="1">IF(B1="",IF(F34=100%,'数据-取费表'!M16,'数据-取费表'!O16),IF(F34=100%,INDIRECT("'数据-取费表'!m"&amp;$G$1)+INDIRECT("'数据-取费表'!t"&amp;$G$1),INDIRECT("'数据-取费表'!o"&amp;$G$1)+INDIRECT("'数据-取费表'!aq"&amp;$G$1)))</f>
        <v>5055</v>
      </c>
      <c r="D34" s="410"/>
      <c r="E34" s="413"/>
      <c r="F34" s="459">
        <f ca="1">IF('数据-取费表'!B24=0,1,IF(B1="",'数据-取费表'!N16,INDIRECT("'数据-取费表'!n"&amp;$G$1)))</f>
        <v>1</v>
      </c>
      <c r="G34" s="412" t="s">
        <v>1059</v>
      </c>
    </row>
    <row r="35" ht="13.5" customHeight="1" spans="1:7">
      <c r="A35" s="438" t="s">
        <v>1000</v>
      </c>
      <c r="B35" s="408" t="s">
        <v>1060</v>
      </c>
      <c r="C35" s="413">
        <f ca="1">ROUND(C34*F35,0)</f>
        <v>152</v>
      </c>
      <c r="D35" s="413"/>
      <c r="E35" s="413"/>
      <c r="F35" s="460">
        <f>'数据-取费表'!B33</f>
        <v>0.03</v>
      </c>
      <c r="G35" s="412" t="s">
        <v>1061</v>
      </c>
    </row>
    <row r="36" ht="24" spans="1:7">
      <c r="A36" s="438" t="s">
        <v>1002</v>
      </c>
      <c r="B36" s="408" t="s">
        <v>1062</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1063</v>
      </c>
    </row>
    <row r="37" s="386" customFormat="1" ht="13.5" customHeight="1" spans="1:7">
      <c r="A37" s="438" t="s">
        <v>1044</v>
      </c>
      <c r="B37" s="408" t="s">
        <v>1064</v>
      </c>
      <c r="C37" s="451">
        <f ca="1">ROUND(E37*D37*F34/10000,0)</f>
        <v>202</v>
      </c>
      <c r="D37" s="410">
        <f ca="1">D19</f>
        <v>10109.15</v>
      </c>
      <c r="E37" s="451">
        <f>'数据-取费表'!B35</f>
        <v>200</v>
      </c>
      <c r="F37" s="460"/>
      <c r="G37" s="462" t="s">
        <v>1065</v>
      </c>
    </row>
    <row r="38" ht="13.5" customHeight="1" spans="1:7">
      <c r="A38" s="438" t="s">
        <v>1066</v>
      </c>
      <c r="B38" s="408" t="s">
        <v>930</v>
      </c>
      <c r="C38" s="413">
        <f ca="1">ROUND(C34*F38,0)</f>
        <v>76</v>
      </c>
      <c r="D38" s="413"/>
      <c r="E38" s="413"/>
      <c r="F38" s="460">
        <f>'数据-取费表'!B36</f>
        <v>0.015</v>
      </c>
      <c r="G38" s="412" t="s">
        <v>1061</v>
      </c>
    </row>
    <row r="39" s="384" customFormat="1" ht="13.5" customHeight="1" spans="1:7">
      <c r="A39" s="402" t="s">
        <v>1026</v>
      </c>
      <c r="B39" s="403" t="s">
        <v>1030</v>
      </c>
      <c r="C39" s="430">
        <f ca="1">ROUND(C33*F20,0)</f>
        <v>110</v>
      </c>
      <c r="D39" s="430"/>
      <c r="E39" s="430"/>
      <c r="F39" s="431">
        <f>F20</f>
        <v>0.02</v>
      </c>
      <c r="G39" s="435" t="s">
        <v>1067</v>
      </c>
    </row>
    <row r="40" s="384" customFormat="1" ht="13.5" customHeight="1" spans="1:7">
      <c r="A40" s="402" t="s">
        <v>1029</v>
      </c>
      <c r="B40" s="403" t="s">
        <v>1033</v>
      </c>
      <c r="C40" s="2528">
        <f>F21</f>
        <v>0.02</v>
      </c>
      <c r="D40" s="434" t="s">
        <v>1068</v>
      </c>
      <c r="E40" s="430"/>
      <c r="F40" s="431">
        <f>F21</f>
        <v>0.02</v>
      </c>
      <c r="G40" s="435" t="s">
        <v>1069</v>
      </c>
    </row>
    <row r="41" s="384" customFormat="1" ht="13.5" customHeight="1" spans="1:7">
      <c r="A41" s="402" t="s">
        <v>1032</v>
      </c>
      <c r="B41" s="403" t="s">
        <v>1037</v>
      </c>
      <c r="C41" s="430">
        <f ca="1">ROUND(SUM(C42:C43),0)</f>
        <v>173</v>
      </c>
      <c r="D41" s="433">
        <f ca="1">C44</f>
        <v>0.0006</v>
      </c>
      <c r="E41" s="434" t="s">
        <v>1068</v>
      </c>
      <c r="F41" s="437">
        <f ca="1">F22</f>
        <v>0.0415</v>
      </c>
      <c r="G41" s="435" t="str">
        <f>IF('数据-取费表'!B22&lt;=1,"单利计息","复利计息")</f>
        <v>复利计息</v>
      </c>
    </row>
    <row r="42" ht="13.5" customHeight="1" spans="1:7">
      <c r="A42" s="438" t="s">
        <v>998</v>
      </c>
      <c r="B42" s="408" t="s">
        <v>1038</v>
      </c>
      <c r="C42" s="440">
        <f ca="1">ROUND(IF('数据-取费表'!B22&lt;=1,C33*F22*'数据-取费表'!B21/2,C33*(POWER((1+F22),'数据-取费表'!B21/2)-1)),0)</f>
        <v>170</v>
      </c>
      <c r="D42" s="440"/>
      <c r="E42" s="440"/>
      <c r="F42" s="441"/>
      <c r="G42" s="464" t="s">
        <v>1070</v>
      </c>
    </row>
    <row r="43" ht="13.5" customHeight="1" spans="1:7">
      <c r="A43" s="438" t="s">
        <v>1000</v>
      </c>
      <c r="B43" s="408" t="s">
        <v>1040</v>
      </c>
      <c r="C43" s="440">
        <f ca="1">ROUND(IF('数据-取费表'!B22&lt;=1,C39*F22*'数据-取费表'!B21/2,C39*(POWER((1+F22),'数据-取费表'!B21/2)-1)),0)</f>
        <v>3</v>
      </c>
      <c r="D43" s="440"/>
      <c r="E43" s="440"/>
      <c r="F43" s="441"/>
      <c r="G43" s="465"/>
    </row>
    <row r="44" ht="13.5" customHeight="1" spans="1:7">
      <c r="A44" s="438" t="s">
        <v>1002</v>
      </c>
      <c r="B44" s="408" t="s">
        <v>1042</v>
      </c>
      <c r="C44" s="440">
        <f ca="1">ROUND(IF('数据-取费表'!B22&lt;=1,C40*F22*'数据-取费表'!B21/2,C40*(POWER((1+F22),'数据-取费表'!B21/2)-1)),4)</f>
        <v>0.0006</v>
      </c>
      <c r="D44" s="440"/>
      <c r="E44" s="440"/>
      <c r="F44" s="441"/>
      <c r="G44" s="466"/>
    </row>
    <row r="45" s="384" customFormat="1" ht="13.5" customHeight="1" spans="1:7">
      <c r="A45" s="402" t="s">
        <v>1036</v>
      </c>
      <c r="B45" s="446" t="s">
        <v>1047</v>
      </c>
      <c r="C45" s="447">
        <f ca="1">C46</f>
        <v>1119</v>
      </c>
      <c r="D45" s="433">
        <f ca="1">C47</f>
        <v>0.004</v>
      </c>
      <c r="E45" s="434" t="s">
        <v>1068</v>
      </c>
      <c r="F45" s="448">
        <f ca="1">F27</f>
        <v>0.2</v>
      </c>
      <c r="G45" s="449" t="s">
        <v>1071</v>
      </c>
    </row>
    <row r="46" s="384" customFormat="1" ht="13.5" customHeight="1" spans="1:7">
      <c r="A46" s="438" t="s">
        <v>998</v>
      </c>
      <c r="B46" s="450" t="s">
        <v>1072</v>
      </c>
      <c r="C46" s="451">
        <f ca="1">ROUND((C33+C39)*F27,0)</f>
        <v>1119</v>
      </c>
      <c r="D46" s="467"/>
      <c r="E46" s="434"/>
      <c r="F46" s="448"/>
      <c r="G46" s="449"/>
    </row>
    <row r="47" s="384" customFormat="1" ht="13.5" customHeight="1" spans="1:7">
      <c r="A47" s="438" t="s">
        <v>1000</v>
      </c>
      <c r="B47" s="450" t="s">
        <v>1073</v>
      </c>
      <c r="C47" s="440">
        <f ca="1">ROUND(C40*F27,4)</f>
        <v>0.004</v>
      </c>
      <c r="D47" s="467"/>
      <c r="E47" s="434"/>
      <c r="F47" s="448"/>
      <c r="G47" s="449"/>
    </row>
    <row r="48" s="384" customFormat="1" ht="13.5" customHeight="1" spans="1:7">
      <c r="A48" s="402" t="s">
        <v>1046</v>
      </c>
      <c r="B48" s="403" t="s">
        <v>1052</v>
      </c>
      <c r="C48" s="2528">
        <f>ROUND(F30/(1+'数据-取费表'!C42),4)</f>
        <v>0.0533</v>
      </c>
      <c r="D48" s="434" t="s">
        <v>1068</v>
      </c>
      <c r="E48" s="430"/>
      <c r="F48" s="437">
        <f>F30</f>
        <v>0.056</v>
      </c>
      <c r="G48" s="435" t="s">
        <v>1074</v>
      </c>
    </row>
    <row r="49" ht="16.5" customHeight="1" spans="1:7">
      <c r="A49" s="402" t="s">
        <v>1051</v>
      </c>
      <c r="B49" s="403" t="s">
        <v>1075</v>
      </c>
      <c r="C49" s="430">
        <f ca="1">ROUND((C33+C39+C41+C45)/(1-C40-D41-D45-C48),0)</f>
        <v>7469</v>
      </c>
      <c r="D49" s="430"/>
      <c r="E49" s="430"/>
      <c r="F49" s="468"/>
      <c r="G49" s="435" t="s">
        <v>1076</v>
      </c>
    </row>
    <row r="50" s="386" customFormat="1" ht="24" spans="1:7">
      <c r="A50" s="402" t="s">
        <v>1077</v>
      </c>
      <c r="B50" s="403" t="s">
        <v>1078</v>
      </c>
      <c r="C50" s="430"/>
      <c r="D50" s="430"/>
      <c r="E50" s="430"/>
      <c r="F50" s="468">
        <f>IF('数据-取费表'!B24=0,'数据-取费表'!N16,1)</f>
        <v>0.8</v>
      </c>
      <c r="G50" s="449" t="s">
        <v>1079</v>
      </c>
    </row>
    <row r="51" ht="16.5" customHeight="1" spans="1:7">
      <c r="A51" s="402" t="s">
        <v>1080</v>
      </c>
      <c r="B51" s="403" t="s">
        <v>1081</v>
      </c>
      <c r="C51" s="430">
        <f ca="1">ROUND(C49*F50,0)</f>
        <v>5975</v>
      </c>
      <c r="D51" s="430"/>
      <c r="E51" s="430"/>
      <c r="F51" s="468"/>
      <c r="G51" s="435" t="s">
        <v>1082</v>
      </c>
    </row>
    <row r="52" s="383" customFormat="1" ht="16.35" spans="1:7">
      <c r="A52" s="469" t="s">
        <v>1083</v>
      </c>
      <c r="B52" s="470"/>
      <c r="C52" s="471">
        <f ca="1">C31+C51</f>
        <v>20002</v>
      </c>
      <c r="D52" s="470"/>
      <c r="E52" s="470"/>
      <c r="F52" s="470"/>
      <c r="G52" s="472"/>
    </row>
    <row r="55" ht="15" spans="2:3">
      <c r="B55" s="473" t="s">
        <v>1084</v>
      </c>
      <c r="C55" s="474"/>
    </row>
    <row r="56" spans="2:3">
      <c r="B56" s="475" t="s">
        <v>1085</v>
      </c>
      <c r="C56" s="477">
        <f ca="1">1-C57</f>
        <v>0.701</v>
      </c>
    </row>
    <row r="57" spans="2:3">
      <c r="B57" s="475" t="s">
        <v>1086</v>
      </c>
      <c r="C57" s="476">
        <f ca="1">ROUND(C51/C52,3)</f>
        <v>0.299</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28" customWidth="1"/>
    <col min="2" max="9" width="10" style="3728" customWidth="1"/>
    <col min="10" max="16384" width="9" style="3728"/>
  </cols>
  <sheetData>
    <row r="36" spans="1:2">
      <c r="A36" s="3727" t="s">
        <v>75</v>
      </c>
      <c r="B36" s="3727" t="s">
        <v>76</v>
      </c>
    </row>
    <row r="37" ht="27.75" customHeight="1" spans="1:9">
      <c r="A37" s="3727"/>
      <c r="B37" s="3729" t="str">
        <f>项目基本情况!B1</f>
        <v>北京市房地产抵押价值预评估</v>
      </c>
      <c r="C37" s="3729"/>
      <c r="D37" s="3729"/>
      <c r="E37" s="3729"/>
      <c r="F37" s="3729"/>
      <c r="G37" s="3729"/>
      <c r="H37" s="3729"/>
      <c r="I37" s="3729"/>
    </row>
    <row r="38" spans="1:2">
      <c r="A38" s="3730"/>
      <c r="B38" s="3730"/>
    </row>
    <row r="39" spans="1:2">
      <c r="A39" s="3727" t="s">
        <v>75</v>
      </c>
      <c r="B39" s="3727" t="s">
        <v>77</v>
      </c>
    </row>
    <row r="40" spans="1:2">
      <c r="A40" s="3727"/>
      <c r="B40" s="3731">
        <f>项目基本情况!B5</f>
        <v>0</v>
      </c>
    </row>
    <row r="41" spans="1:2">
      <c r="A41" s="3727"/>
      <c r="B41" s="3727"/>
    </row>
    <row r="42" spans="1:2">
      <c r="A42" s="3727" t="s">
        <v>75</v>
      </c>
      <c r="B42" s="3727" t="s">
        <v>78</v>
      </c>
    </row>
    <row r="43" spans="1:2">
      <c r="A43" s="3727"/>
      <c r="B43" s="3731" t="s">
        <v>79</v>
      </c>
    </row>
    <row r="44" spans="1:2">
      <c r="A44" s="3727"/>
      <c r="B44" s="3727"/>
    </row>
    <row r="45" spans="1:2">
      <c r="A45" s="3727" t="s">
        <v>75</v>
      </c>
      <c r="B45" s="3727" t="s">
        <v>80</v>
      </c>
    </row>
    <row r="46" s="3727" customFormat="1" spans="2:2">
      <c r="B46" s="3731" t="str">
        <f ca="1">项目基本情况!K4</f>
        <v>（注册号：0)、（注册号：0)</v>
      </c>
    </row>
    <row r="47" spans="1:2">
      <c r="A47" s="3727"/>
      <c r="B47" s="3727" t="str">
        <f ca="1">项目基本情况!K5</f>
        <v>（注册号：0)、（注册号：0)</v>
      </c>
    </row>
    <row r="48" spans="1:2">
      <c r="A48" s="3727" t="s">
        <v>75</v>
      </c>
      <c r="B48" s="3727" t="s">
        <v>81</v>
      </c>
    </row>
    <row r="49" spans="2:2">
      <c r="B49" s="373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988</v>
      </c>
      <c r="B1" s="2517"/>
      <c r="C1" s="2518" t="s">
        <v>1087</v>
      </c>
      <c r="D1" s="392"/>
      <c r="E1" s="392"/>
      <c r="F1" s="392"/>
      <c r="G1" s="2519">
        <f>MATCH(B1,'数据-取费表'!A6:A16,0)+5</f>
        <v>7</v>
      </c>
      <c r="H1" s="1864" t="str">
        <f>IF(ISERROR(FIND("住宅",B1)),"非住宅","住宅")</f>
        <v>非住宅</v>
      </c>
    </row>
    <row r="2" s="382" customFormat="1" ht="18" customHeight="1" spans="1:7">
      <c r="A2" s="394" t="s">
        <v>989</v>
      </c>
      <c r="B2" s="2520">
        <f ca="1">ROUND(IF(D2="——",C52/10000,C52/10000-E2),4)</f>
        <v>6538.7111</v>
      </c>
      <c r="C2" s="393" t="s">
        <v>990</v>
      </c>
      <c r="D2" s="2521" t="s">
        <v>124</v>
      </c>
      <c r="E2" s="2522" t="e">
        <f ca="1">SUMIF(INDIRECT("'"&amp;G2&amp;"'"&amp;"!A:A"),"承租人权益价值",INDIRECT("'"&amp;G2&amp;"'"&amp;"!c:c"))</f>
        <v>#REF!</v>
      </c>
      <c r="F2" s="2523" t="s">
        <v>990</v>
      </c>
      <c r="G2" s="2524"/>
    </row>
    <row r="3" s="382" customFormat="1" ht="18" customHeight="1" spans="1:7">
      <c r="A3" s="397" t="s">
        <v>991</v>
      </c>
      <c r="B3" s="398">
        <f ca="1">ROUND(B2*10000/(IF(B1="",'数据-汇总表'!E3,INDIRECT("'数据-取费表'!k"&amp;$G$1))),0)</f>
        <v>6468</v>
      </c>
      <c r="C3" s="393" t="s">
        <v>992</v>
      </c>
      <c r="D3" s="393"/>
      <c r="E3" s="393"/>
      <c r="F3" s="393"/>
      <c r="G3" s="393"/>
    </row>
    <row r="4" s="383" customFormat="1" ht="15.6" spans="1:7">
      <c r="A4" s="399" t="s">
        <v>993</v>
      </c>
      <c r="B4" s="400"/>
      <c r="C4" s="400"/>
      <c r="D4" s="400"/>
      <c r="E4" s="400"/>
      <c r="F4" s="400"/>
      <c r="G4" s="401"/>
    </row>
    <row r="5" s="384" customFormat="1" ht="13.5" customHeight="1" spans="1:7">
      <c r="A5" s="402" t="s">
        <v>994</v>
      </c>
      <c r="B5" s="403" t="s">
        <v>995</v>
      </c>
      <c r="C5" s="404">
        <f ca="1">C6+C7+C8</f>
        <v>2021830</v>
      </c>
      <c r="D5" s="404" t="s">
        <v>996</v>
      </c>
      <c r="E5" s="405" t="s">
        <v>997</v>
      </c>
      <c r="F5" s="405" t="s">
        <v>894</v>
      </c>
      <c r="G5" s="406"/>
    </row>
    <row r="6" s="384" customFormat="1" ht="13.5" customHeight="1" spans="1:7">
      <c r="A6" s="407" t="s">
        <v>998</v>
      </c>
      <c r="B6" s="408" t="s">
        <v>999</v>
      </c>
      <c r="C6" s="409"/>
      <c r="D6" s="410"/>
      <c r="E6" s="411"/>
      <c r="F6" s="411"/>
      <c r="G6" s="412"/>
    </row>
    <row r="7" s="384" customFormat="1" ht="13.5" customHeight="1" spans="1:7">
      <c r="A7" s="407" t="s">
        <v>1000</v>
      </c>
      <c r="B7" s="408" t="s">
        <v>1001</v>
      </c>
      <c r="C7" s="413">
        <f>ROUND(C6*F7,0)</f>
        <v>0</v>
      </c>
      <c r="D7" s="413"/>
      <c r="E7" s="411"/>
      <c r="F7" s="414">
        <f>IF(项目基本情况!B8="出让",0,'数据-取费表'!B48+'数据-取费表'!B49)</f>
        <v>0.0305</v>
      </c>
      <c r="G7" s="412"/>
    </row>
    <row r="8" s="385" customFormat="1" spans="1:7">
      <c r="A8" s="407" t="s">
        <v>1002</v>
      </c>
      <c r="B8" s="408" t="s">
        <v>1003</v>
      </c>
      <c r="C8" s="413">
        <f ca="1">IF(G8="已包含在土地购买价格中",0,C9+C10)</f>
        <v>2021830</v>
      </c>
      <c r="D8" s="415"/>
      <c r="E8" s="413"/>
      <c r="F8" s="414"/>
      <c r="G8" s="2525"/>
    </row>
    <row r="9" s="384" customFormat="1" ht="13.5" customHeight="1" spans="1:7">
      <c r="A9" s="417" t="s">
        <v>1005</v>
      </c>
      <c r="B9" s="418" t="s">
        <v>1006</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1008</v>
      </c>
      <c r="B10" s="418" t="s">
        <v>1009</v>
      </c>
      <c r="C10" s="419">
        <f ca="1">ROUND(D10*E10,0)</f>
        <v>2021830</v>
      </c>
      <c r="D10" s="420">
        <f ca="1">IF(B1="",'数据-汇总表'!E6,IF(INDIRECT("'数据-取费表'!c"&amp;$G$1)="住宅",INDIRECT("'数据-取费表'!s"&amp;$G$1),INDIRECT("'数据-取费表'!k"&amp;$G$1)+INDIRECT("'数据-取费表'!s"&amp;$G$1)))</f>
        <v>10109.15</v>
      </c>
      <c r="E10" s="419">
        <f>'数据-取费表'!B28</f>
        <v>200</v>
      </c>
      <c r="F10" s="414"/>
      <c r="G10" s="421"/>
    </row>
    <row r="11" s="384" customFormat="1" ht="13.5" hidden="1" customHeight="1" spans="1:7">
      <c r="A11" s="422" t="s">
        <v>1010</v>
      </c>
      <c r="B11" s="408" t="s">
        <v>1011</v>
      </c>
      <c r="C11" s="404"/>
      <c r="D11" s="423"/>
      <c r="E11" s="411"/>
      <c r="F11" s="411"/>
      <c r="G11" s="412"/>
    </row>
    <row r="12" s="384" customFormat="1" ht="13.5" hidden="1" customHeight="1" spans="1:7">
      <c r="A12" s="422" t="s">
        <v>1012</v>
      </c>
      <c r="B12" s="408" t="s">
        <v>930</v>
      </c>
      <c r="C12" s="404">
        <v>0</v>
      </c>
      <c r="D12" s="423"/>
      <c r="E12" s="424"/>
      <c r="F12" s="414">
        <v>0.0305</v>
      </c>
      <c r="G12" s="412"/>
    </row>
    <row r="13" s="384" customFormat="1" ht="13.5" hidden="1" customHeight="1" spans="1:7">
      <c r="A13" s="422" t="s">
        <v>1013</v>
      </c>
      <c r="B13" s="408" t="s">
        <v>1014</v>
      </c>
      <c r="C13" s="404"/>
      <c r="D13" s="423"/>
      <c r="E13" s="411"/>
      <c r="F13" s="411"/>
      <c r="G13" s="412"/>
    </row>
    <row r="14" s="384" customFormat="1" ht="13.5" hidden="1" customHeight="1" spans="1:7">
      <c r="A14" s="422" t="s">
        <v>1015</v>
      </c>
      <c r="B14" s="408" t="s">
        <v>1003</v>
      </c>
      <c r="C14" s="404"/>
      <c r="D14" s="423"/>
      <c r="E14" s="411"/>
      <c r="F14" s="411"/>
      <c r="G14" s="412" t="s">
        <v>1016</v>
      </c>
    </row>
    <row r="15" s="384" customFormat="1" ht="13.5" hidden="1" customHeight="1" spans="1:7">
      <c r="A15" s="422" t="s">
        <v>1017</v>
      </c>
      <c r="B15" s="408" t="s">
        <v>1018</v>
      </c>
      <c r="C15" s="413"/>
      <c r="D15" s="423"/>
      <c r="E15" s="411"/>
      <c r="F15" s="411"/>
      <c r="G15" s="412" t="s">
        <v>1019</v>
      </c>
    </row>
    <row r="16" s="384" customFormat="1" ht="13.5" hidden="1" customHeight="1" spans="1:7">
      <c r="A16" s="422" t="s">
        <v>1020</v>
      </c>
      <c r="B16" s="408" t="s">
        <v>1003</v>
      </c>
      <c r="C16" s="413"/>
      <c r="D16" s="423"/>
      <c r="E16" s="411"/>
      <c r="F16" s="411"/>
      <c r="G16" s="412"/>
    </row>
    <row r="17" s="384" customFormat="1" ht="13.5" hidden="1" customHeight="1" spans="1:7">
      <c r="A17" s="422" t="s">
        <v>1021</v>
      </c>
      <c r="B17" s="408" t="s">
        <v>1022</v>
      </c>
      <c r="C17" s="425"/>
      <c r="D17" s="426"/>
      <c r="E17" s="425"/>
      <c r="F17" s="425"/>
      <c r="G17" s="412" t="s">
        <v>1019</v>
      </c>
    </row>
    <row r="18" s="384" customFormat="1" ht="13.5" hidden="1" customHeight="1" spans="1:7">
      <c r="A18" s="422" t="s">
        <v>1023</v>
      </c>
      <c r="B18" s="408" t="s">
        <v>1024</v>
      </c>
      <c r="C18" s="413">
        <v>0</v>
      </c>
      <c r="D18" s="423"/>
      <c r="E18" s="411"/>
      <c r="F18" s="414">
        <v>0.0305</v>
      </c>
      <c r="G18" s="412" t="s">
        <v>1025</v>
      </c>
    </row>
    <row r="19" s="385" customFormat="1" ht="13.5" customHeight="1" spans="1:7">
      <c r="A19" s="402" t="s">
        <v>1026</v>
      </c>
      <c r="B19" s="403" t="s">
        <v>1027</v>
      </c>
      <c r="C19" s="404">
        <f ca="1">IF(G19="已包含在土地取得成本中","0",ROUND(D19*E19,0))</f>
        <v>2021830</v>
      </c>
      <c r="D19" s="428">
        <f ca="1">D9+D10</f>
        <v>10109.15</v>
      </c>
      <c r="E19" s="404">
        <f>'数据-取费表'!B31</f>
        <v>200</v>
      </c>
      <c r="F19" s="429"/>
      <c r="G19" s="2525"/>
    </row>
    <row r="20" s="384" customFormat="1" ht="13.5" customHeight="1" spans="1:7">
      <c r="A20" s="402" t="s">
        <v>1029</v>
      </c>
      <c r="B20" s="403" t="s">
        <v>1030</v>
      </c>
      <c r="C20" s="430">
        <f ca="1">ROUND((C5+C19)*F20,0)</f>
        <v>80873</v>
      </c>
      <c r="D20" s="430"/>
      <c r="E20" s="430"/>
      <c r="F20" s="431">
        <f>'数据-取费表'!B37</f>
        <v>0.02</v>
      </c>
      <c r="G20" s="435" t="s">
        <v>1031</v>
      </c>
    </row>
    <row r="21" s="384" customFormat="1" ht="13.5" customHeight="1" spans="1:7">
      <c r="A21" s="402" t="s">
        <v>1032</v>
      </c>
      <c r="B21" s="403" t="s">
        <v>1033</v>
      </c>
      <c r="C21" s="433">
        <f>F21</f>
        <v>0.02</v>
      </c>
      <c r="D21" s="434" t="s">
        <v>1034</v>
      </c>
      <c r="E21" s="430"/>
      <c r="F21" s="431">
        <f>'数据-取费表'!B38</f>
        <v>0.02</v>
      </c>
      <c r="G21" s="435" t="s">
        <v>1035</v>
      </c>
    </row>
    <row r="22" s="384" customFormat="1" ht="13.5" customHeight="1" spans="1:7">
      <c r="A22" s="402" t="s">
        <v>1036</v>
      </c>
      <c r="B22" s="403" t="s">
        <v>1037</v>
      </c>
      <c r="C22" s="2526">
        <f ca="1">ROUND(SUM(C23:C25),0)</f>
        <v>256816</v>
      </c>
      <c r="D22" s="433">
        <f ca="1">C26</f>
        <v>0.0006</v>
      </c>
      <c r="E22" s="434" t="s">
        <v>1034</v>
      </c>
      <c r="F22" s="437">
        <f ca="1">'数据-取费表'!B40</f>
        <v>0.0415</v>
      </c>
      <c r="G22" s="435" t="str">
        <f>IF('数据-取费表'!B22&lt;=1,"单利计息","复利计息")</f>
        <v>复利计息</v>
      </c>
    </row>
    <row r="23" s="384" customFormat="1" ht="13.5" customHeight="1" spans="1:7">
      <c r="A23" s="438" t="s">
        <v>998</v>
      </c>
      <c r="B23" s="408" t="s">
        <v>1038</v>
      </c>
      <c r="C23" s="2527">
        <f ca="1">ROUND(IF('数据-取费表'!B22&lt;=1,C5*F22*'数据-取费表'!B22,C5*(POWER((1+F22),'数据-取费表'!B22)-1)),0)</f>
        <v>127156</v>
      </c>
      <c r="D23" s="440"/>
      <c r="E23" s="440"/>
      <c r="F23" s="441"/>
      <c r="G23" s="442" t="s">
        <v>1039</v>
      </c>
    </row>
    <row r="24" s="384" customFormat="1" ht="13.5" customHeight="1" spans="1:7">
      <c r="A24" s="438" t="s">
        <v>1000</v>
      </c>
      <c r="B24" s="408" t="s">
        <v>1040</v>
      </c>
      <c r="C24" s="2527">
        <f ca="1">ROUND(IF('数据-取费表'!B22&lt;=1,C19*F22*('数据-取费表'!B19/2+'数据-取费表'!B20),C19*(POWER((1+F22),('数据-取费表'!B19/2+'数据-取费表'!B20))-1)),0)</f>
        <v>127156</v>
      </c>
      <c r="D24" s="440"/>
      <c r="E24" s="440"/>
      <c r="F24" s="441"/>
      <c r="G24" s="442" t="s">
        <v>1041</v>
      </c>
    </row>
    <row r="25" s="384" customFormat="1" ht="24" spans="1:7">
      <c r="A25" s="438" t="s">
        <v>1002</v>
      </c>
      <c r="B25" s="408" t="s">
        <v>1042</v>
      </c>
      <c r="C25" s="2527">
        <f ca="1">ROUND(IF('数据-取费表'!B22&lt;=1,C20*F22*'数据-取费表'!B22/2,C20*(POWER((1+F22),'数据-取费表'!B22/2)-1)),0)</f>
        <v>2504</v>
      </c>
      <c r="D25" s="440"/>
      <c r="E25" s="443"/>
      <c r="F25" s="441"/>
      <c r="G25" s="444" t="s">
        <v>1043</v>
      </c>
    </row>
    <row r="26" s="384" customFormat="1" spans="1:7">
      <c r="A26" s="438" t="s">
        <v>1044</v>
      </c>
      <c r="B26" s="408" t="s">
        <v>1045</v>
      </c>
      <c r="C26" s="440">
        <f ca="1">ROUND(IF('数据-取费表'!B22&lt;=1,F21*F22*'数据-取费表'!B22/2,F21*(POWER((1+F22),'数据-取费表'!B22/2)-1)),4)</f>
        <v>0.0006</v>
      </c>
      <c r="D26" s="440"/>
      <c r="E26" s="443"/>
      <c r="F26" s="441"/>
      <c r="G26" s="445"/>
    </row>
    <row r="27" s="384" customFormat="1" ht="26.4" spans="1:7">
      <c r="A27" s="402" t="s">
        <v>1046</v>
      </c>
      <c r="B27" s="446" t="s">
        <v>1047</v>
      </c>
      <c r="C27" s="447">
        <f ca="1">C28</f>
        <v>824907</v>
      </c>
      <c r="D27" s="433">
        <f ca="1">C29</f>
        <v>0.004</v>
      </c>
      <c r="E27" s="434" t="s">
        <v>1034</v>
      </c>
      <c r="F27" s="448">
        <f ca="1">IF(B1="",'数据-取费表'!Q16,INDIRECT("'数据-取费表'!q"&amp;$G$1))</f>
        <v>0.2</v>
      </c>
      <c r="G27" s="449" t="s">
        <v>1048</v>
      </c>
    </row>
    <row r="28" s="384" customFormat="1" ht="13.5" customHeight="1" spans="1:7">
      <c r="A28" s="438" t="s">
        <v>998</v>
      </c>
      <c r="B28" s="450" t="s">
        <v>1049</v>
      </c>
      <c r="C28" s="451">
        <f ca="1">ROUND((C5+C19+C20)*F27,0)</f>
        <v>824907</v>
      </c>
      <c r="D28" s="433"/>
      <c r="E28" s="434"/>
      <c r="F28" s="448"/>
      <c r="G28" s="449"/>
    </row>
    <row r="29" s="384" customFormat="1" ht="13.5" customHeight="1" spans="1:7">
      <c r="A29" s="438" t="s">
        <v>1000</v>
      </c>
      <c r="B29" s="450" t="s">
        <v>1050</v>
      </c>
      <c r="C29" s="440">
        <f ca="1">ROUND(C21*F27,4)</f>
        <v>0.004</v>
      </c>
      <c r="D29" s="433"/>
      <c r="E29" s="434"/>
      <c r="F29" s="448"/>
      <c r="G29" s="449"/>
    </row>
    <row r="30" s="384" customFormat="1" ht="13.5" customHeight="1" spans="1:7">
      <c r="A30" s="402" t="s">
        <v>1051</v>
      </c>
      <c r="B30" s="403" t="s">
        <v>1052</v>
      </c>
      <c r="C30" s="433">
        <f>ROUND(F30/(1+'数据-取费表'!C42),4)</f>
        <v>0.0533</v>
      </c>
      <c r="D30" s="434" t="s">
        <v>1034</v>
      </c>
      <c r="E30" s="443"/>
      <c r="F30" s="437">
        <f>'数据-取费表'!B41</f>
        <v>0.056</v>
      </c>
      <c r="G30" s="435" t="s">
        <v>1053</v>
      </c>
    </row>
    <row r="31" ht="16.5" customHeight="1" spans="1:7">
      <c r="A31" s="452">
        <v>1</v>
      </c>
      <c r="B31" s="403" t="s">
        <v>1054</v>
      </c>
      <c r="C31" s="404">
        <f ca="1">ROUND((C5+C19+C20+C22+C27)/(1-C21-D22-D27-C30),0)</f>
        <v>5646086</v>
      </c>
      <c r="D31" s="453"/>
      <c r="E31" s="404"/>
      <c r="F31" s="454"/>
      <c r="G31" s="435" t="s">
        <v>1055</v>
      </c>
    </row>
    <row r="32" s="383" customFormat="1" ht="15.6" spans="1:7">
      <c r="A32" s="455" t="s">
        <v>1088</v>
      </c>
      <c r="B32" s="456"/>
      <c r="C32" s="456"/>
      <c r="D32" s="456"/>
      <c r="E32" s="456"/>
      <c r="F32" s="456"/>
      <c r="G32" s="457"/>
    </row>
    <row r="33" s="384" customFormat="1" ht="13.5" customHeight="1" spans="1:7">
      <c r="A33" s="402" t="s">
        <v>994</v>
      </c>
      <c r="B33" s="403" t="s">
        <v>1089</v>
      </c>
      <c r="C33" s="458">
        <f ca="1">SUM(C34:C38)</f>
        <v>54842139</v>
      </c>
      <c r="D33" s="430"/>
      <c r="E33" s="405"/>
      <c r="F33" s="443"/>
      <c r="G33" s="435"/>
    </row>
    <row r="34" s="386" customFormat="1" ht="13.5" customHeight="1" spans="1:7">
      <c r="A34" s="438" t="s">
        <v>998</v>
      </c>
      <c r="B34" s="408" t="s">
        <v>1058</v>
      </c>
      <c r="C34" s="413">
        <f ca="1">ROUND(IF(B1="",SUMPRODUCT('数据-取费表'!K6:K14,'数据-取费表'!L6:L14),INDIRECT("'数据-取费表'!l"&amp;$G$1)*INDIRECT("'数据-取费表'!k"&amp;$G$1)+'数据-取费表'!L14*INDIRECT("'数据-取费表'!S"&amp;$G$1)),0)</f>
        <v>50545750</v>
      </c>
      <c r="D34" s="410"/>
      <c r="E34" s="413"/>
      <c r="F34" s="459"/>
      <c r="G34" s="412"/>
    </row>
    <row r="35" ht="13.5" customHeight="1" spans="1:7">
      <c r="A35" s="438" t="s">
        <v>1000</v>
      </c>
      <c r="B35" s="408" t="s">
        <v>1060</v>
      </c>
      <c r="C35" s="413">
        <f ca="1">ROUND(C34*F35,0)</f>
        <v>1516373</v>
      </c>
      <c r="D35" s="413"/>
      <c r="E35" s="413"/>
      <c r="F35" s="460">
        <f>'数据-取费表'!B33</f>
        <v>0.03</v>
      </c>
      <c r="G35" s="412" t="s">
        <v>1061</v>
      </c>
    </row>
    <row r="36" ht="24" spans="1:7">
      <c r="A36" s="438" t="s">
        <v>1002</v>
      </c>
      <c r="B36" s="408" t="s">
        <v>1062</v>
      </c>
      <c r="C36" s="413">
        <f ca="1">ROUND(IF(B1="",SUM('数据-取费表'!AP6:AP13)*F36,IF(INDIRECT("'数据-取费表'!c"&amp;$G$1)="住宅",INDIRECT("'数据-取费表'!k"&amp;$G$1)*INDIRECT("'数据-取费表'!l"&amp;$G$1)*F36,0)),0)</f>
        <v>0</v>
      </c>
      <c r="D36" s="413"/>
      <c r="E36" s="413"/>
      <c r="F36" s="460">
        <f>'数据-取费表'!B34</f>
        <v>0</v>
      </c>
      <c r="G36" s="461" t="s">
        <v>1063</v>
      </c>
    </row>
    <row r="37" s="386" customFormat="1" ht="13.5" customHeight="1" spans="1:7">
      <c r="A37" s="438" t="s">
        <v>1044</v>
      </c>
      <c r="B37" s="408" t="s">
        <v>1064</v>
      </c>
      <c r="C37" s="451">
        <f ca="1">ROUND(E37*D37,0)</f>
        <v>2021830</v>
      </c>
      <c r="D37" s="410">
        <f ca="1">D19</f>
        <v>10109.15</v>
      </c>
      <c r="E37" s="451">
        <f>'数据-取费表'!B35</f>
        <v>200</v>
      </c>
      <c r="F37" s="460"/>
      <c r="G37" s="462"/>
    </row>
    <row r="38" ht="13.5" customHeight="1" spans="1:7">
      <c r="A38" s="438" t="s">
        <v>1066</v>
      </c>
      <c r="B38" s="408" t="s">
        <v>930</v>
      </c>
      <c r="C38" s="413">
        <f ca="1">ROUND(C34*F38,0)</f>
        <v>758186</v>
      </c>
      <c r="D38" s="413"/>
      <c r="E38" s="413"/>
      <c r="F38" s="460">
        <f>'数据-取费表'!B36</f>
        <v>0.015</v>
      </c>
      <c r="G38" s="412" t="s">
        <v>1061</v>
      </c>
    </row>
    <row r="39" s="384" customFormat="1" ht="13.5" customHeight="1" spans="1:7">
      <c r="A39" s="402" t="s">
        <v>1026</v>
      </c>
      <c r="B39" s="403" t="s">
        <v>1030</v>
      </c>
      <c r="C39" s="430">
        <f ca="1">ROUND(C33*F20,0)</f>
        <v>1096843</v>
      </c>
      <c r="D39" s="430"/>
      <c r="E39" s="430"/>
      <c r="F39" s="431">
        <f>F20</f>
        <v>0.02</v>
      </c>
      <c r="G39" s="435" t="s">
        <v>1067</v>
      </c>
    </row>
    <row r="40" s="384" customFormat="1" ht="13.5" customHeight="1" spans="1:7">
      <c r="A40" s="402" t="s">
        <v>1029</v>
      </c>
      <c r="B40" s="403" t="s">
        <v>1033</v>
      </c>
      <c r="C40" s="2528">
        <f>F21</f>
        <v>0.02</v>
      </c>
      <c r="D40" s="434" t="s">
        <v>1068</v>
      </c>
      <c r="E40" s="430"/>
      <c r="F40" s="431">
        <f>F21</f>
        <v>0.02</v>
      </c>
      <c r="G40" s="435" t="s">
        <v>1069</v>
      </c>
    </row>
    <row r="41" s="384" customFormat="1" ht="13.5" customHeight="1" spans="1:7">
      <c r="A41" s="402" t="s">
        <v>1032</v>
      </c>
      <c r="B41" s="403" t="s">
        <v>1037</v>
      </c>
      <c r="C41" s="430">
        <f ca="1">ROUND(SUM(C42:C43),0)</f>
        <v>1732221</v>
      </c>
      <c r="D41" s="433">
        <f ca="1">C44</f>
        <v>0.0006</v>
      </c>
      <c r="E41" s="434" t="s">
        <v>1068</v>
      </c>
      <c r="F41" s="437">
        <f ca="1">F22</f>
        <v>0.0415</v>
      </c>
      <c r="G41" s="435" t="str">
        <f>IF('数据-取费表'!B22&lt;=1,"单利计息","复利计息")</f>
        <v>复利计息</v>
      </c>
    </row>
    <row r="42" ht="13.5" customHeight="1" spans="1:7">
      <c r="A42" s="438" t="s">
        <v>998</v>
      </c>
      <c r="B42" s="408" t="s">
        <v>1038</v>
      </c>
      <c r="C42" s="440">
        <f ca="1">ROUND(IF('数据-取费表'!B22&lt;=1,C33*F22*'数据-取费表'!B20/2,C33*(POWER((1+F22),'数据-取费表'!B20/2)-1)),0)</f>
        <v>1698256</v>
      </c>
      <c r="D42" s="440"/>
      <c r="E42" s="440"/>
      <c r="F42" s="441"/>
      <c r="G42" s="464" t="s">
        <v>1090</v>
      </c>
    </row>
    <row r="43" ht="13.5" customHeight="1" spans="1:7">
      <c r="A43" s="438" t="s">
        <v>1000</v>
      </c>
      <c r="B43" s="408" t="s">
        <v>1040</v>
      </c>
      <c r="C43" s="440">
        <f ca="1">ROUND(IF('数据-取费表'!B22&lt;=1,C39*F22*'数据-取费表'!B20/2,C39*(POWER((1+F22),'数据-取费表'!B20/2)-1)),0)</f>
        <v>33965</v>
      </c>
      <c r="D43" s="440"/>
      <c r="E43" s="440"/>
      <c r="F43" s="441"/>
      <c r="G43" s="465"/>
    </row>
    <row r="44" ht="13.5" customHeight="1" spans="1:7">
      <c r="A44" s="438" t="s">
        <v>1002</v>
      </c>
      <c r="B44" s="408" t="s">
        <v>1042</v>
      </c>
      <c r="C44" s="440">
        <f ca="1">ROUND(IF('数据-取费表'!B22&lt;=1,C40*F22*'数据-取费表'!B20/2,C40*(POWER((1+F22),'数据-取费表'!B20/2)-1)),4)</f>
        <v>0.0006</v>
      </c>
      <c r="D44" s="440"/>
      <c r="E44" s="440"/>
      <c r="F44" s="441"/>
      <c r="G44" s="466"/>
    </row>
    <row r="45" s="384" customFormat="1" ht="13.5" customHeight="1" spans="1:7">
      <c r="A45" s="402" t="s">
        <v>1036</v>
      </c>
      <c r="B45" s="446" t="s">
        <v>1047</v>
      </c>
      <c r="C45" s="447">
        <f ca="1">C46</f>
        <v>11187796</v>
      </c>
      <c r="D45" s="433">
        <f ca="1">C47</f>
        <v>0.004</v>
      </c>
      <c r="E45" s="434" t="s">
        <v>1068</v>
      </c>
      <c r="F45" s="448">
        <f ca="1">F27</f>
        <v>0.2</v>
      </c>
      <c r="G45" s="449" t="s">
        <v>1071</v>
      </c>
    </row>
    <row r="46" s="384" customFormat="1" ht="13.5" customHeight="1" spans="1:7">
      <c r="A46" s="438" t="s">
        <v>998</v>
      </c>
      <c r="B46" s="450" t="s">
        <v>1072</v>
      </c>
      <c r="C46" s="451">
        <f ca="1">ROUND((C33+C39)*F27,0)</f>
        <v>11187796</v>
      </c>
      <c r="D46" s="467"/>
      <c r="E46" s="434"/>
      <c r="F46" s="448"/>
      <c r="G46" s="449"/>
    </row>
    <row r="47" s="384" customFormat="1" ht="13.5" customHeight="1" spans="1:7">
      <c r="A47" s="438" t="s">
        <v>1000</v>
      </c>
      <c r="B47" s="450" t="s">
        <v>1073</v>
      </c>
      <c r="C47" s="440">
        <f ca="1">ROUND(C40*F27,4)</f>
        <v>0.004</v>
      </c>
      <c r="D47" s="467"/>
      <c r="E47" s="434"/>
      <c r="F47" s="448"/>
      <c r="G47" s="449"/>
    </row>
    <row r="48" s="384" customFormat="1" ht="13.5" customHeight="1" spans="1:7">
      <c r="A48" s="402" t="s">
        <v>1046</v>
      </c>
      <c r="B48" s="403" t="s">
        <v>1052</v>
      </c>
      <c r="C48" s="463">
        <f>ROUND(F30/(1+'数据-取费表'!C42),4)</f>
        <v>0.0533</v>
      </c>
      <c r="D48" s="434" t="s">
        <v>1068</v>
      </c>
      <c r="E48" s="430"/>
      <c r="F48" s="437">
        <f>F30</f>
        <v>0.056</v>
      </c>
      <c r="G48" s="435" t="s">
        <v>1074</v>
      </c>
    </row>
    <row r="49" ht="16.5" customHeight="1" spans="1:7">
      <c r="A49" s="402" t="s">
        <v>1051</v>
      </c>
      <c r="B49" s="403" t="s">
        <v>1091</v>
      </c>
      <c r="C49" s="430">
        <f ca="1">ROUND((C33+C39+C41+C45)/(1-C40-D41-D45-C48),0)</f>
        <v>74676281</v>
      </c>
      <c r="D49" s="430"/>
      <c r="E49" s="430"/>
      <c r="F49" s="468"/>
      <c r="G49" s="435" t="s">
        <v>1076</v>
      </c>
    </row>
    <row r="50" s="386" customFormat="1" spans="1:7">
      <c r="A50" s="402" t="s">
        <v>1077</v>
      </c>
      <c r="B50" s="403" t="s">
        <v>1078</v>
      </c>
      <c r="C50" s="430"/>
      <c r="D50" s="430"/>
      <c r="E50" s="430"/>
      <c r="F50" s="468">
        <f>IF('数据-取费表'!B24=0,'数据-取费表'!N16,1)</f>
        <v>0.8</v>
      </c>
      <c r="G50" s="449"/>
    </row>
    <row r="51" ht="16.5" customHeight="1" spans="1:7">
      <c r="A51" s="402" t="s">
        <v>1080</v>
      </c>
      <c r="B51" s="403" t="s">
        <v>1092</v>
      </c>
      <c r="C51" s="430">
        <f ca="1">ROUND(C49*F50,0)</f>
        <v>59741025</v>
      </c>
      <c r="D51" s="430"/>
      <c r="E51" s="430"/>
      <c r="F51" s="468"/>
      <c r="G51" s="435" t="s">
        <v>1082</v>
      </c>
    </row>
    <row r="52" s="383" customFormat="1" ht="16.35" spans="1:7">
      <c r="A52" s="469" t="s">
        <v>1083</v>
      </c>
      <c r="B52" s="470"/>
      <c r="C52" s="471">
        <f ca="1">C31+C51</f>
        <v>65387111</v>
      </c>
      <c r="D52" s="470"/>
      <c r="E52" s="470"/>
      <c r="F52" s="470"/>
      <c r="G52" s="472"/>
    </row>
    <row r="55" ht="15" spans="2:3">
      <c r="B55" s="473" t="s">
        <v>1084</v>
      </c>
      <c r="C55" s="474"/>
    </row>
    <row r="56" spans="2:3">
      <c r="B56" s="475" t="s">
        <v>1085</v>
      </c>
      <c r="C56" s="477">
        <f ca="1">1-C57</f>
        <v>0.086</v>
      </c>
    </row>
    <row r="57" spans="2:3">
      <c r="B57" s="475" t="s">
        <v>1086</v>
      </c>
      <c r="C57" s="476">
        <f ca="1">ROUND(C51/C52,3)</f>
        <v>0.914</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1139" customWidth="1"/>
    <col min="2" max="2" width="25.7777777777778" style="2431" customWidth="1"/>
    <col min="3" max="3" width="10.3333333333333" style="2432" customWidth="1"/>
    <col min="4" max="4" width="9.88888888888889" style="2431" customWidth="1"/>
    <col min="5" max="5" width="9.44444444444444" style="1139" customWidth="1"/>
    <col min="6" max="6" width="10.1111111111111" style="2431" customWidth="1"/>
    <col min="7" max="7" width="10.7777777777778" style="2431" customWidth="1"/>
    <col min="8" max="8" width="10" style="2431" customWidth="1"/>
    <col min="9" max="11" width="9.44444444444444" style="2431" customWidth="1"/>
    <col min="12" max="12" width="9" style="2431" customWidth="1"/>
    <col min="13" max="13" width="10.4444444444444" style="2431" customWidth="1"/>
    <col min="14" max="254" width="9" style="2431" customWidth="1"/>
    <col min="255" max="16384" width="6.66666666666667" style="2431"/>
  </cols>
  <sheetData>
    <row r="1" ht="20.4" spans="1:11">
      <c r="A1" s="390" t="s">
        <v>1093</v>
      </c>
      <c r="B1" s="2240"/>
      <c r="C1" s="2433"/>
      <c r="D1" s="2434"/>
      <c r="E1" s="2435"/>
      <c r="F1" s="2435"/>
      <c r="G1" s="2436"/>
      <c r="H1" s="2435"/>
      <c r="I1" s="2435"/>
      <c r="J1" s="2435"/>
      <c r="K1" s="2504">
        <f>MATCH(C1,'数据-取费表'!A6:A16,0)+5</f>
        <v>7</v>
      </c>
    </row>
    <row r="2" ht="18" customHeight="1" spans="1:11">
      <c r="A2" s="394" t="s">
        <v>989</v>
      </c>
      <c r="B2" s="398">
        <f ca="1">C32</f>
        <v>0</v>
      </c>
      <c r="C2" s="2437" t="s">
        <v>1094</v>
      </c>
      <c r="D2" s="2437"/>
      <c r="E2" s="2435"/>
      <c r="F2" s="2435"/>
      <c r="G2" s="2435"/>
      <c r="H2" s="2435"/>
      <c r="I2" s="2435"/>
      <c r="J2" s="2435"/>
      <c r="K2" s="2435"/>
    </row>
    <row r="3" ht="18" customHeight="1" spans="1:11">
      <c r="A3" s="397" t="s">
        <v>991</v>
      </c>
      <c r="B3" s="398">
        <f ca="1">ROUND(B2*10000/IF(C1="",'数据-汇总表'!E3,INDIRECT("'数据-取费表'!K"&amp;$K$1)),0)</f>
        <v>0</v>
      </c>
      <c r="C3" s="2437" t="s">
        <v>1095</v>
      </c>
      <c r="D3" s="2437"/>
      <c r="E3" s="2435"/>
      <c r="F3" s="2435"/>
      <c r="G3" s="2435"/>
      <c r="H3" s="2435"/>
      <c r="I3" s="2435"/>
      <c r="J3" s="2435"/>
      <c r="K3" s="2435"/>
    </row>
    <row r="4" s="2422" customFormat="1" ht="16.5" customHeight="1" spans="1:11">
      <c r="A4" s="2438" t="s">
        <v>1096</v>
      </c>
      <c r="B4" s="2439"/>
      <c r="C4" s="2440">
        <f>SUM(C8:K8)</f>
        <v>0</v>
      </c>
      <c r="D4" s="2439"/>
      <c r="E4" s="2439"/>
      <c r="F4" s="2439"/>
      <c r="G4" s="2439"/>
      <c r="H4" s="2439"/>
      <c r="I4" s="2439"/>
      <c r="J4" s="2439"/>
      <c r="K4" s="2505"/>
    </row>
    <row r="5" s="2423" customFormat="1" ht="14.4" spans="1:33">
      <c r="A5" s="2441" t="s">
        <v>1097</v>
      </c>
      <c r="B5" s="2442" t="s">
        <v>1098</v>
      </c>
      <c r="C5" s="2443"/>
      <c r="D5" s="2443"/>
      <c r="E5" s="2443"/>
      <c r="F5" s="2443"/>
      <c r="G5" s="2443"/>
      <c r="H5" s="2443"/>
      <c r="I5" s="2443"/>
      <c r="J5" s="2443"/>
      <c r="K5" s="2443"/>
      <c r="L5" s="2506"/>
      <c r="M5" s="2506"/>
      <c r="N5" s="2506"/>
      <c r="O5" s="2506"/>
      <c r="P5" s="2506"/>
      <c r="Q5" s="2506"/>
      <c r="R5" s="2506"/>
      <c r="S5" s="2506"/>
      <c r="T5" s="2506"/>
      <c r="U5" s="2506"/>
      <c r="V5" s="2506"/>
      <c r="W5" s="2506"/>
      <c r="X5" s="2506"/>
      <c r="Y5" s="2506"/>
      <c r="Z5" s="2506"/>
      <c r="AA5" s="2506"/>
      <c r="AB5" s="2506"/>
      <c r="AC5" s="2506"/>
      <c r="AD5" s="2506"/>
      <c r="AE5" s="2506"/>
      <c r="AF5" s="2506"/>
      <c r="AG5" s="2506"/>
    </row>
    <row r="6" s="2424" customFormat="1" ht="13.5" customHeight="1" spans="1:33">
      <c r="A6" s="2444" t="s">
        <v>899</v>
      </c>
      <c r="B6" s="2203" t="s">
        <v>1099</v>
      </c>
      <c r="C6" s="2445"/>
      <c r="D6" s="2445"/>
      <c r="E6" s="2445"/>
      <c r="F6" s="2445"/>
      <c r="G6" s="2445"/>
      <c r="H6" s="2445"/>
      <c r="I6" s="2445"/>
      <c r="J6" s="2445"/>
      <c r="K6" s="2507"/>
      <c r="L6" s="2508"/>
      <c r="M6" s="2508"/>
      <c r="N6" s="2508"/>
      <c r="O6" s="2508"/>
      <c r="P6" s="2508"/>
      <c r="Q6" s="2508"/>
      <c r="R6" s="2508"/>
      <c r="S6" s="2508"/>
      <c r="T6" s="2508"/>
      <c r="U6" s="2508"/>
      <c r="V6" s="2508"/>
      <c r="W6" s="2508"/>
      <c r="X6" s="2508"/>
      <c r="Y6" s="2508"/>
      <c r="Z6" s="2508"/>
      <c r="AA6" s="2508"/>
      <c r="AB6" s="2508"/>
      <c r="AC6" s="2508"/>
      <c r="AD6" s="2508"/>
      <c r="AE6" s="2508"/>
      <c r="AF6" s="2508"/>
      <c r="AG6" s="2508"/>
    </row>
    <row r="7" s="2424" customFormat="1" ht="13.5" customHeight="1" spans="1:33">
      <c r="A7" s="2444" t="s">
        <v>903</v>
      </c>
      <c r="B7" s="2203" t="s">
        <v>456</v>
      </c>
      <c r="C7" s="2446">
        <f>SUMIF('数据-汇总表'!$C19:$C33,假设开发法!C5,'数据-汇总表'!$E19:$E33)</f>
        <v>0</v>
      </c>
      <c r="D7" s="2446">
        <f>SUMIF('数据-汇总表'!$C19:$C33,假设开发法!D5,'数据-汇总表'!$E19:$E33)</f>
        <v>0</v>
      </c>
      <c r="E7" s="2446">
        <f>SUMIF('数据-汇总表'!$C19:$C33,假设开发法!E5,'数据-汇总表'!$E19:$E33)</f>
        <v>0</v>
      </c>
      <c r="F7" s="2446">
        <f>SUMIF('数据-汇总表'!$C19:$C33,假设开发法!F5,'数据-汇总表'!$E19:$E33)</f>
        <v>0</v>
      </c>
      <c r="G7" s="2446">
        <f>SUMIF('数据-汇总表'!$C19:$C33,假设开发法!G5,'数据-汇总表'!$E19:$E33)</f>
        <v>0</v>
      </c>
      <c r="H7" s="2446">
        <f>SUMIF('数据-汇总表'!$C19:$C33,假设开发法!H5,'数据-汇总表'!$E19:$E33)</f>
        <v>0</v>
      </c>
      <c r="I7" s="2446">
        <f>SUMIF('数据-汇总表'!$C19:$C33,假设开发法!I5,'数据-汇总表'!$E19:$E33)</f>
        <v>0</v>
      </c>
      <c r="J7" s="2446">
        <f>SUMIF('数据-汇总表'!$C19:$C33,假设开发法!J5,'数据-汇总表'!$E19:$E33)</f>
        <v>0</v>
      </c>
      <c r="K7" s="2509">
        <f>SUMIF('数据-汇总表'!$C19:$C33,假设开发法!K5,'数据-汇总表'!$E19:$E33)</f>
        <v>0</v>
      </c>
      <c r="L7" s="2508"/>
      <c r="M7" s="2508"/>
      <c r="N7" s="2508"/>
      <c r="O7" s="2508"/>
      <c r="P7" s="2508"/>
      <c r="Q7" s="2508"/>
      <c r="R7" s="2508"/>
      <c r="S7" s="2508"/>
      <c r="T7" s="2508"/>
      <c r="U7" s="2508"/>
      <c r="V7" s="2508"/>
      <c r="W7" s="2508"/>
      <c r="X7" s="2508"/>
      <c r="Y7" s="2508"/>
      <c r="Z7" s="2508"/>
      <c r="AA7" s="2508"/>
      <c r="AB7" s="2508"/>
      <c r="AC7" s="2508"/>
      <c r="AD7" s="2508"/>
      <c r="AE7" s="2508"/>
      <c r="AF7" s="2508"/>
      <c r="AG7" s="2508"/>
    </row>
    <row r="8" s="2424" customFormat="1" ht="13.5" customHeight="1" spans="1:33">
      <c r="A8" s="2447" t="s">
        <v>948</v>
      </c>
      <c r="B8" s="2448" t="s">
        <v>1100</v>
      </c>
      <c r="C8" s="2449"/>
      <c r="D8" s="2449"/>
      <c r="E8" s="2449"/>
      <c r="F8" s="2450"/>
      <c r="G8" s="2450"/>
      <c r="H8" s="2450"/>
      <c r="I8" s="2450"/>
      <c r="J8" s="2450"/>
      <c r="K8" s="2510"/>
      <c r="L8" s="2508"/>
      <c r="M8" s="2508"/>
      <c r="N8" s="2508"/>
      <c r="O8" s="2508"/>
      <c r="P8" s="2508"/>
      <c r="Q8" s="2508"/>
      <c r="R8" s="2508"/>
      <c r="S8" s="2508"/>
      <c r="T8" s="2508"/>
      <c r="U8" s="2508"/>
      <c r="V8" s="2508"/>
      <c r="W8" s="2508"/>
      <c r="X8" s="2508"/>
      <c r="Y8" s="2508"/>
      <c r="Z8" s="2508"/>
      <c r="AA8" s="2508"/>
      <c r="AB8" s="2508"/>
      <c r="AC8" s="2508"/>
      <c r="AD8" s="2508"/>
      <c r="AE8" s="2508"/>
      <c r="AF8" s="2508"/>
      <c r="AG8" s="2508"/>
    </row>
    <row r="9" s="2422" customFormat="1" ht="16.5" customHeight="1" spans="1:11">
      <c r="A9" s="2438" t="s">
        <v>1101</v>
      </c>
      <c r="B9" s="2439"/>
      <c r="C9" s="2439"/>
      <c r="D9" s="2439"/>
      <c r="E9" s="2439"/>
      <c r="F9" s="2439"/>
      <c r="G9" s="2439"/>
      <c r="H9" s="2439"/>
      <c r="I9" s="2439"/>
      <c r="J9" s="2439"/>
      <c r="K9" s="2505"/>
    </row>
    <row r="10" s="2425" customFormat="1" ht="13.5" customHeight="1" spans="1:11">
      <c r="A10" s="2441" t="s">
        <v>1097</v>
      </c>
      <c r="B10" s="2451" t="s">
        <v>1098</v>
      </c>
      <c r="C10" s="2452" t="s">
        <v>1102</v>
      </c>
      <c r="D10" s="2453" t="s">
        <v>1103</v>
      </c>
      <c r="E10" s="2453" t="s">
        <v>1104</v>
      </c>
      <c r="F10" s="2453" t="s">
        <v>1105</v>
      </c>
      <c r="G10" s="2451"/>
      <c r="H10" s="2454"/>
      <c r="I10" s="2454"/>
      <c r="J10" s="2454"/>
      <c r="K10" s="2511"/>
    </row>
    <row r="11" s="2426" customFormat="1" ht="13.5" customHeight="1" spans="1:11">
      <c r="A11" s="2455" t="s">
        <v>1005</v>
      </c>
      <c r="B11" s="2456" t="s">
        <v>1106</v>
      </c>
      <c r="C11" s="2457">
        <f ca="1">IF(C1="",'数据-取费表'!P16,INDIRECT("'数据-取费表'!p"&amp;$K$1)+INDIRECT("'数据-取费表'!ar"&amp;$K$1))</f>
        <v>0</v>
      </c>
      <c r="D11" s="2458"/>
      <c r="E11" s="2206"/>
      <c r="F11" s="2459">
        <f ca="1">1-IF('数据-取费表'!B24=0,1,IF(C1="",'数据-取费表'!N16,INDIRECT("'数据-取费表'!n"&amp;$K$1)))</f>
        <v>0</v>
      </c>
      <c r="G11" s="2451"/>
      <c r="H11" s="2454"/>
      <c r="I11" s="2454"/>
      <c r="J11" s="2454"/>
      <c r="K11" s="2511"/>
    </row>
    <row r="12" s="2426" customFormat="1" ht="13.5" customHeight="1" spans="1:11">
      <c r="A12" s="2455" t="s">
        <v>1008</v>
      </c>
      <c r="B12" s="2456" t="s">
        <v>1107</v>
      </c>
      <c r="C12" s="1097">
        <f ca="1">ROUND(C11*F12,0)</f>
        <v>0</v>
      </c>
      <c r="D12" s="2458"/>
      <c r="E12" s="2206"/>
      <c r="F12" s="2459">
        <f>'数据-取费表'!B33</f>
        <v>0.03</v>
      </c>
      <c r="G12" s="2451" t="s">
        <v>1108</v>
      </c>
      <c r="H12" s="2454"/>
      <c r="I12" s="2454"/>
      <c r="J12" s="2454"/>
      <c r="K12" s="2511"/>
    </row>
    <row r="13" s="2426" customFormat="1" ht="13.5" customHeight="1" spans="1:11">
      <c r="A13" s="2455" t="s">
        <v>1109</v>
      </c>
      <c r="B13" s="2456" t="s">
        <v>1110</v>
      </c>
      <c r="C13" s="1097">
        <f ca="1">ROUND(IF(C1="",SUMIF('数据-取费表'!C:C,"住宅",'数据-取费表'!P:P)*F13,IF(INDIRECT("'数据-取费表'!c"&amp;$K$1)="住宅",INDIRECT("'数据-取费表'!P"&amp;$K$1)*F13,0)),0)</f>
        <v>0</v>
      </c>
      <c r="D13" s="2460"/>
      <c r="E13" s="2206"/>
      <c r="F13" s="2459">
        <f>'数据-取费表'!B34</f>
        <v>0</v>
      </c>
      <c r="G13" s="2451" t="s">
        <v>1111</v>
      </c>
      <c r="H13" s="2454"/>
      <c r="I13" s="2454"/>
      <c r="J13" s="2454"/>
      <c r="K13" s="2511"/>
    </row>
    <row r="14" s="2427" customFormat="1" ht="13.5" customHeight="1" spans="1:33">
      <c r="A14" s="2455" t="s">
        <v>1112</v>
      </c>
      <c r="B14" s="2456" t="s">
        <v>1113</v>
      </c>
      <c r="C14" s="1097">
        <f ca="1">ROUND(D14*E14*F11/10000,0)</f>
        <v>0</v>
      </c>
      <c r="D14" s="2460">
        <f ca="1">IF(C1="",'数据-汇总表'!E3,INDIRECT("'数据-取费表'!K"&amp;$K$1)+INDIRECT("'数据-取费表'!S"&amp;$K$1))</f>
        <v>10109.15</v>
      </c>
      <c r="E14" s="1097">
        <f>'数据-取费表'!B35</f>
        <v>200</v>
      </c>
      <c r="F14" s="2461"/>
      <c r="G14" s="2451" t="s">
        <v>1114</v>
      </c>
      <c r="H14" s="2454"/>
      <c r="I14" s="2454"/>
      <c r="J14" s="2454"/>
      <c r="K14" s="2511"/>
      <c r="L14" s="2426"/>
      <c r="M14" s="2426"/>
      <c r="N14" s="2426"/>
      <c r="O14" s="2426"/>
      <c r="P14" s="2426"/>
      <c r="Q14" s="2426"/>
      <c r="R14" s="2426"/>
      <c r="S14" s="2426"/>
      <c r="T14" s="2426"/>
      <c r="U14" s="2426"/>
      <c r="V14" s="2426"/>
      <c r="W14" s="2426"/>
      <c r="X14" s="2426"/>
      <c r="Y14" s="2426"/>
      <c r="Z14" s="2426"/>
      <c r="AA14" s="2426"/>
      <c r="AB14" s="2426"/>
      <c r="AC14" s="2426"/>
      <c r="AD14" s="2426"/>
      <c r="AE14" s="2426"/>
      <c r="AF14" s="2426"/>
      <c r="AG14" s="2426"/>
    </row>
    <row r="15" s="2427" customFormat="1" ht="13.5" customHeight="1" spans="1:33">
      <c r="A15" s="2455" t="s">
        <v>1115</v>
      </c>
      <c r="B15" s="2456" t="s">
        <v>1116</v>
      </c>
      <c r="C15" s="2462">
        <f ca="1">ROUND(C11*F15,0)</f>
        <v>0</v>
      </c>
      <c r="D15" s="2463"/>
      <c r="E15" s="2462"/>
      <c r="F15" s="2459">
        <f>'数据-取费表'!B36</f>
        <v>0.015</v>
      </c>
      <c r="G15" s="2203" t="s">
        <v>1117</v>
      </c>
      <c r="H15" s="2318"/>
      <c r="I15" s="2318"/>
      <c r="J15" s="2318"/>
      <c r="K15" s="2319"/>
      <c r="L15" s="2426"/>
      <c r="M15" s="2426"/>
      <c r="N15" s="2426"/>
      <c r="O15" s="2426"/>
      <c r="P15" s="2426"/>
      <c r="Q15" s="2426"/>
      <c r="R15" s="2426"/>
      <c r="S15" s="2426"/>
      <c r="T15" s="2426"/>
      <c r="U15" s="2426"/>
      <c r="V15" s="2426"/>
      <c r="W15" s="2426"/>
      <c r="X15" s="2426"/>
      <c r="Y15" s="2426"/>
      <c r="Z15" s="2426"/>
      <c r="AA15" s="2426"/>
      <c r="AB15" s="2426"/>
      <c r="AC15" s="2426"/>
      <c r="AD15" s="2426"/>
      <c r="AE15" s="2426"/>
      <c r="AF15" s="2426"/>
      <c r="AG15" s="2426"/>
    </row>
    <row r="16" s="2427" customFormat="1" ht="13.5" customHeight="1" spans="1:33">
      <c r="A16" s="2455" t="s">
        <v>922</v>
      </c>
      <c r="B16" s="2456" t="s">
        <v>1118</v>
      </c>
      <c r="C16" s="2462">
        <f ca="1">SUM(C11:C15)</f>
        <v>0</v>
      </c>
      <c r="D16" s="2463"/>
      <c r="E16" s="2462"/>
      <c r="F16" s="2459"/>
      <c r="G16" s="2203"/>
      <c r="H16" s="2464"/>
      <c r="I16" s="2318"/>
      <c r="J16" s="2318"/>
      <c r="K16" s="2319"/>
      <c r="L16" s="2426"/>
      <c r="M16" s="2426"/>
      <c r="N16" s="2426"/>
      <c r="O16" s="2426"/>
      <c r="P16" s="2426"/>
      <c r="Q16" s="2426"/>
      <c r="R16" s="2426"/>
      <c r="S16" s="2426"/>
      <c r="T16" s="2426"/>
      <c r="U16" s="2426"/>
      <c r="V16" s="2426"/>
      <c r="W16" s="2426"/>
      <c r="X16" s="2426"/>
      <c r="Y16" s="2426"/>
      <c r="Z16" s="2426"/>
      <c r="AA16" s="2426"/>
      <c r="AB16" s="2426"/>
      <c r="AC16" s="2426"/>
      <c r="AD16" s="2426"/>
      <c r="AE16" s="2426"/>
      <c r="AF16" s="2426"/>
      <c r="AG16" s="2426"/>
    </row>
    <row r="17" s="2427" customFormat="1" ht="13.5" customHeight="1" spans="1:33">
      <c r="A17" s="2455" t="s">
        <v>926</v>
      </c>
      <c r="B17" s="2456" t="s">
        <v>1119</v>
      </c>
      <c r="C17" s="1097">
        <f ca="1">ROUND(D17*E17/10000,0)</f>
        <v>0</v>
      </c>
      <c r="D17" s="2460">
        <f ca="1">D14</f>
        <v>10109.15</v>
      </c>
      <c r="E17" s="1097">
        <f>'数据-取费表'!B32</f>
        <v>0</v>
      </c>
      <c r="F17" s="2463"/>
      <c r="G17" s="2203" t="s">
        <v>1120</v>
      </c>
      <c r="H17" s="2464"/>
      <c r="I17" s="2318"/>
      <c r="J17" s="2318"/>
      <c r="K17" s="2319"/>
      <c r="L17" s="2426"/>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row>
    <row r="18" s="2426" customFormat="1" ht="13.5" customHeight="1" spans="1:11">
      <c r="A18" s="2455" t="s">
        <v>1121</v>
      </c>
      <c r="B18" s="2456" t="s">
        <v>1122</v>
      </c>
      <c r="C18" s="1097">
        <f ca="1">C19+C20-IF(C1="",'数据-取费表'!B29,IF(G18="已全部缴纳",C19+C20,H18))</f>
        <v>0</v>
      </c>
      <c r="D18" s="2460"/>
      <c r="E18" s="1097"/>
      <c r="F18" s="2461"/>
      <c r="G18" s="2465"/>
      <c r="H18" s="2466"/>
      <c r="I18" s="2512" t="s">
        <v>1123</v>
      </c>
      <c r="J18" s="2318"/>
      <c r="K18" s="2319"/>
    </row>
    <row r="19" s="2426" customFormat="1" ht="13.5" customHeight="1" spans="1:11">
      <c r="A19" s="2455" t="s">
        <v>1005</v>
      </c>
      <c r="B19" s="2456" t="s">
        <v>443</v>
      </c>
      <c r="C19" s="1097">
        <f ca="1">ROUND(D19*E19/10000,0)</f>
        <v>0</v>
      </c>
      <c r="D19" s="2460">
        <f ca="1">IF(C1="",'数据-汇总表'!E5,IF(INDIRECT("'数据-取费表'!c"&amp;$K$1)="住宅",INDIRECT("'数据-取费表'!k"&amp;$K$1),0))</f>
        <v>0</v>
      </c>
      <c r="E19" s="1097">
        <f>'数据-取费表'!B27</f>
        <v>0</v>
      </c>
      <c r="F19" s="2461"/>
      <c r="G19" s="2317"/>
      <c r="H19" s="2467"/>
      <c r="I19" s="2468"/>
      <c r="J19" s="2468"/>
      <c r="K19" s="2513"/>
    </row>
    <row r="20" s="2426" customFormat="1" ht="13.5" customHeight="1" spans="1:11">
      <c r="A20" s="2455" t="s">
        <v>1008</v>
      </c>
      <c r="B20" s="2456" t="s">
        <v>1124</v>
      </c>
      <c r="C20" s="1097">
        <f ca="1">ROUND(D20*E20/10000,0)</f>
        <v>202</v>
      </c>
      <c r="D20" s="2460">
        <f ca="1">IF(C1="",'数据-汇总表'!E6,IF(INDIRECT("'数据-取费表'!c"&amp;$K$1)="住宅",INDIRECT("'数据-取费表'!s"&amp;$K$1),INDIRECT("'数据-取费表'!k"&amp;$K$1)+INDIRECT("'数据-取费表'!s"&amp;$K$1)))</f>
        <v>10109.15</v>
      </c>
      <c r="E20" s="1097">
        <f>'数据-取费表'!B28</f>
        <v>200</v>
      </c>
      <c r="F20" s="2461"/>
      <c r="G20" s="2317"/>
      <c r="H20" s="2468"/>
      <c r="I20" s="2468"/>
      <c r="J20" s="2468"/>
      <c r="K20" s="2513"/>
    </row>
    <row r="21" s="2426" customFormat="1" ht="13.5" customHeight="1" spans="1:11">
      <c r="A21" s="2444" t="s">
        <v>899</v>
      </c>
      <c r="B21" s="2469" t="s">
        <v>1125</v>
      </c>
      <c r="C21" s="2470">
        <f ca="1">C16+C17+C18</f>
        <v>0</v>
      </c>
      <c r="D21" s="2471"/>
      <c r="E21" s="2472"/>
      <c r="F21" s="2472"/>
      <c r="G21" s="2203" t="s">
        <v>1126</v>
      </c>
      <c r="H21" s="2318"/>
      <c r="I21" s="2318"/>
      <c r="J21" s="2318"/>
      <c r="K21" s="2319"/>
    </row>
    <row r="22" s="2426" customFormat="1" ht="13.5" customHeight="1" spans="1:11">
      <c r="A22" s="2444" t="s">
        <v>903</v>
      </c>
      <c r="B22" s="2469" t="s">
        <v>1127</v>
      </c>
      <c r="C22" s="2470">
        <f ca="1">ROUND(C21*F22,0)</f>
        <v>0</v>
      </c>
      <c r="D22" s="2472"/>
      <c r="E22" s="2472"/>
      <c r="F22" s="2473">
        <f>'数据-取费表'!B37</f>
        <v>0.02</v>
      </c>
      <c r="G22" s="2451" t="s">
        <v>1128</v>
      </c>
      <c r="H22" s="2454"/>
      <c r="I22" s="2454"/>
      <c r="J22" s="2454"/>
      <c r="K22" s="2511"/>
    </row>
    <row r="23" s="2426" customFormat="1" ht="13.5" customHeight="1" spans="1:11">
      <c r="A23" s="2444" t="s">
        <v>948</v>
      </c>
      <c r="B23" s="2469" t="s">
        <v>1129</v>
      </c>
      <c r="C23" s="2470">
        <f ca="1">ROUND(C4*F23*F11,0)</f>
        <v>0</v>
      </c>
      <c r="D23" s="2472"/>
      <c r="E23" s="2472"/>
      <c r="F23" s="2473">
        <f>'数据-取费表'!B38</f>
        <v>0.02</v>
      </c>
      <c r="G23" s="2451" t="s">
        <v>1130</v>
      </c>
      <c r="H23" s="2454"/>
      <c r="I23" s="2454"/>
      <c r="J23" s="2454"/>
      <c r="K23" s="2511"/>
    </row>
    <row r="24" s="2426" customFormat="1" ht="13.5" customHeight="1" spans="1:11">
      <c r="A24" s="2444" t="s">
        <v>951</v>
      </c>
      <c r="B24" s="2469" t="s">
        <v>1131</v>
      </c>
      <c r="C24" s="2474">
        <f>ROUND(F24/(1+'数据-取费表'!C42),4)</f>
        <v>0.029</v>
      </c>
      <c r="D24" s="2472" t="s">
        <v>1132</v>
      </c>
      <c r="E24" s="2472"/>
      <c r="F24" s="2473">
        <f>IF(项目基本情况!B8="出让",0,'数据-取费表'!B48+'数据-取费表'!B49)</f>
        <v>0.0305</v>
      </c>
      <c r="G24" s="2451" t="s">
        <v>1133</v>
      </c>
      <c r="H24" s="2475"/>
      <c r="I24" s="2475"/>
      <c r="J24" s="2475"/>
      <c r="K24" s="2514"/>
    </row>
    <row r="25" s="2426" customFormat="1" ht="13.5" customHeight="1" spans="1:11">
      <c r="A25" s="2444" t="s">
        <v>955</v>
      </c>
      <c r="B25" s="2471" t="s">
        <v>1134</v>
      </c>
      <c r="C25" s="2476">
        <f ca="1">C27</f>
        <v>0</v>
      </c>
      <c r="D25" s="2474">
        <f ca="1">C26</f>
        <v>0</v>
      </c>
      <c r="E25" s="2477" t="s">
        <v>1132</v>
      </c>
      <c r="F25" s="2478">
        <f ca="1">'数据-取费表'!B40</f>
        <v>0.0415</v>
      </c>
      <c r="G25" s="2203" t="str">
        <f>IF('数据-取费表'!B22&lt;=1,"单利计息。","复利计息。")&amp;"后续开发成本、管理费用及销售费用产生的利息。"</f>
        <v>复利计息。后续开发成本、管理费用及销售费用产生的利息。</v>
      </c>
      <c r="H25" s="2475"/>
      <c r="I25" s="2475"/>
      <c r="J25" s="2475"/>
      <c r="K25" s="2514"/>
    </row>
    <row r="26" s="2428" customFormat="1" ht="13.5" customHeight="1" spans="1:11">
      <c r="A26" s="2455" t="s">
        <v>922</v>
      </c>
      <c r="B26" s="2479" t="s">
        <v>1135</v>
      </c>
      <c r="C26" s="2480">
        <f ca="1">ROUND(IF('数据-取费表'!B22&lt;=1,(1+C24)*F25*'数据-取费表'!B24,(1+C24)*(POWER((1+F25),'数据-取费表'!B24)-1)),4)</f>
        <v>0</v>
      </c>
      <c r="D26" s="2481"/>
      <c r="E26" s="2482"/>
      <c r="F26" s="2483"/>
      <c r="G26" s="2484" t="str">
        <f>IF('数据-取费表'!B22&lt;=1,"（(1)+取得税费率/(1+5%)）×年利率×建设期","（(1)+取得税费率）/(1+5%)×((1+年利率)^建设期-1)")</f>
        <v>（(1)+取得税费率）/(1+5%)×((1+年利率)^建设期-1)</v>
      </c>
      <c r="H26" s="2318"/>
      <c r="I26" s="2318"/>
      <c r="J26" s="2318"/>
      <c r="K26" s="2319"/>
    </row>
    <row r="27" s="2428" customFormat="1" ht="13.5" customHeight="1" spans="1:11">
      <c r="A27" s="2455" t="s">
        <v>926</v>
      </c>
      <c r="B27" s="2479" t="s">
        <v>1136</v>
      </c>
      <c r="C27" s="2485">
        <f ca="1">ROUND(IF('数据-取费表'!B22&lt;=1,(C21+C22+C23)*F25*'数据-取费表'!B24/2,(C21+C22+C23)*(POWER((1+F25),'数据-取费表'!B24/2)-1)),0)</f>
        <v>0</v>
      </c>
      <c r="D27" s="2481"/>
      <c r="E27" s="2482"/>
      <c r="F27" s="2483"/>
      <c r="G27" s="2484" t="str">
        <f>IF('数据-取费表'!B22&lt;=1,"（1）-（3）项×年利率×建设期÷2","（1）-（3）项×((1+年利率)^(建设期÷2)-1)")</f>
        <v>（1）-（3）项×((1+年利率)^(建设期÷2)-1)</v>
      </c>
      <c r="H27" s="2318"/>
      <c r="I27" s="2318"/>
      <c r="J27" s="2318"/>
      <c r="K27" s="2319"/>
    </row>
    <row r="28" s="2429" customFormat="1" ht="13.5" customHeight="1" spans="1:11">
      <c r="A28" s="2444" t="s">
        <v>956</v>
      </c>
      <c r="B28" s="2486" t="s">
        <v>1137</v>
      </c>
      <c r="C28" s="2487">
        <f ca="1">C30</f>
        <v>0</v>
      </c>
      <c r="D28" s="2474">
        <f ca="1">C29</f>
        <v>0</v>
      </c>
      <c r="E28" s="2477" t="s">
        <v>1132</v>
      </c>
      <c r="F28" s="1434">
        <f ca="1">IF(C1="",'数据-取费表'!Q16,INDIRECT("'数据-取费表'!q"&amp;$K$1))</f>
        <v>0.2</v>
      </c>
      <c r="G28" s="2488"/>
      <c r="H28" s="2475"/>
      <c r="I28" s="2475"/>
      <c r="J28" s="2475"/>
      <c r="K28" s="2514"/>
    </row>
    <row r="29" s="2430" customFormat="1" ht="13.5" customHeight="1" spans="1:11">
      <c r="A29" s="2455" t="s">
        <v>922</v>
      </c>
      <c r="B29" s="2489" t="s">
        <v>1138</v>
      </c>
      <c r="C29" s="2481">
        <f ca="1">ROUND((1+C24)*F28*'数据-取费表'!B24/'数据-取费表'!B20,4)</f>
        <v>0</v>
      </c>
      <c r="D29" s="2481"/>
      <c r="E29" s="2482"/>
      <c r="F29" s="2490"/>
      <c r="G29" s="2203" t="s">
        <v>1139</v>
      </c>
      <c r="H29" s="2318"/>
      <c r="I29" s="2318"/>
      <c r="J29" s="2318"/>
      <c r="K29" s="2319"/>
    </row>
    <row r="30" s="2430" customFormat="1" ht="13.5" customHeight="1" spans="1:11">
      <c r="A30" s="2455" t="s">
        <v>926</v>
      </c>
      <c r="B30" s="2489" t="s">
        <v>1140</v>
      </c>
      <c r="C30" s="2491">
        <f ca="1">ROUND((C21+C22+C23)*F28,0)</f>
        <v>0</v>
      </c>
      <c r="D30" s="2481"/>
      <c r="E30" s="2482"/>
      <c r="F30" s="2490"/>
      <c r="G30" s="2203"/>
      <c r="H30" s="2318"/>
      <c r="I30" s="2318"/>
      <c r="J30" s="2318"/>
      <c r="K30" s="2319"/>
    </row>
    <row r="31" s="2426" customFormat="1" ht="13.5" customHeight="1" spans="1:11">
      <c r="A31" s="2492" t="s">
        <v>1141</v>
      </c>
      <c r="B31" s="2493" t="s">
        <v>1142</v>
      </c>
      <c r="C31" s="2494">
        <f>ROUND(C4*F31/(1+'数据-取费表'!C42),0)</f>
        <v>0</v>
      </c>
      <c r="D31" s="2495"/>
      <c r="E31" s="2496"/>
      <c r="F31" s="2497">
        <f>'数据-取费表'!B41</f>
        <v>0.056</v>
      </c>
      <c r="G31" s="2498" t="s">
        <v>1143</v>
      </c>
      <c r="H31" s="2499"/>
      <c r="I31" s="2499"/>
      <c r="J31" s="2499"/>
      <c r="K31" s="2515"/>
    </row>
    <row r="32" s="2425" customFormat="1" ht="13.5" customHeight="1" spans="1:11">
      <c r="A32" s="2500" t="s">
        <v>1144</v>
      </c>
      <c r="B32" s="2501"/>
      <c r="C32" s="2502">
        <f ca="1">ROUND((C4-C21-C22-C23-C25-C28-C31)/(1+C24+D25+D28),0)</f>
        <v>0</v>
      </c>
      <c r="D32" s="2501"/>
      <c r="E32" s="2501"/>
      <c r="F32" s="2501"/>
      <c r="G32" s="2503" t="s">
        <v>1145</v>
      </c>
      <c r="H32" s="2501"/>
      <c r="I32" s="2501"/>
      <c r="J32" s="2501"/>
      <c r="K32" s="2516"/>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5" workbookViewId="0">
      <selection activeCell="I40" sqref="I40"/>
    </sheetView>
  </sheetViews>
  <sheetFormatPr defaultColWidth="9" defaultRowHeight="13.2"/>
  <cols>
    <col min="1" max="1" width="9" style="386" customWidth="1"/>
    <col min="2" max="2" width="20.6666666666667" style="1034" customWidth="1"/>
    <col min="3" max="3" width="11.8888888888889" style="1034"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129" customWidth="1"/>
    <col min="12" max="12" width="16.3333333333333" style="386" customWidth="1"/>
    <col min="13" max="13" width="13" style="386" customWidth="1"/>
    <col min="14" max="14" width="13.7777777777778" style="848" customWidth="1"/>
    <col min="15" max="15" width="5.11111111111111" style="848" customWidth="1"/>
    <col min="16" max="16" width="25.7777777777778" style="848" customWidth="1"/>
    <col min="17" max="17" width="13.7777777777778" style="848" customWidth="1"/>
    <col min="18" max="18" width="20.4444444444444" style="848" customWidth="1"/>
    <col min="19" max="19" width="13.2222222222222" style="848" customWidth="1"/>
    <col min="20" max="37" width="9" style="848"/>
    <col min="38" max="16384" width="9" style="386"/>
  </cols>
  <sheetData>
    <row r="1" s="2127" customFormat="1" ht="21" spans="1:37">
      <c r="A1" s="2130" t="s">
        <v>1146</v>
      </c>
      <c r="B1" s="1422"/>
      <c r="C1" s="2131" t="s">
        <v>549</v>
      </c>
      <c r="D1" s="2132" t="s">
        <v>124</v>
      </c>
      <c r="E1" s="2133" t="s">
        <v>1147</v>
      </c>
      <c r="F1" s="2134">
        <f ca="1">J53</f>
        <v>20.67</v>
      </c>
      <c r="G1" s="2135">
        <f>MATCH(C1,'数据-取费表'!A6:A16,0)+5</f>
        <v>6</v>
      </c>
      <c r="H1" s="2136"/>
      <c r="I1" s="2302"/>
      <c r="J1" s="2302"/>
      <c r="K1" s="2303"/>
      <c r="L1" s="2302"/>
      <c r="M1" s="2302"/>
      <c r="N1" s="2304"/>
      <c r="O1" s="2304"/>
      <c r="P1" s="2304"/>
      <c r="Q1" s="2304"/>
      <c r="R1" s="2304"/>
      <c r="S1" s="2304"/>
      <c r="T1" s="2304"/>
      <c r="U1" s="2304"/>
      <c r="V1" s="2304"/>
      <c r="W1" s="2304"/>
      <c r="X1" s="2304"/>
      <c r="Y1" s="2304"/>
      <c r="Z1" s="2304"/>
      <c r="AA1" s="2304"/>
      <c r="AB1" s="2304"/>
      <c r="AC1" s="2304"/>
      <c r="AD1" s="2304"/>
      <c r="AE1" s="2304"/>
      <c r="AF1" s="2304"/>
      <c r="AG1" s="2304"/>
      <c r="AH1" s="2304"/>
      <c r="AI1" s="2304"/>
      <c r="AJ1" s="2304"/>
      <c r="AK1" s="2304"/>
    </row>
    <row r="2" ht="18" customHeight="1" spans="1:13">
      <c r="A2" s="1949" t="s">
        <v>1148</v>
      </c>
      <c r="B2" s="2414">
        <f ca="1">C40+J29+L46</f>
        <v>14528</v>
      </c>
      <c r="C2" s="2138" t="s">
        <v>1149</v>
      </c>
      <c r="D2" s="2138"/>
      <c r="E2" s="2140"/>
      <c r="F2" s="2141"/>
      <c r="G2" s="2142"/>
      <c r="H2" s="2143"/>
      <c r="I2" s="2143"/>
      <c r="J2" s="2143"/>
      <c r="K2" s="2305"/>
      <c r="L2" s="2143"/>
      <c r="M2" s="2143"/>
    </row>
    <row r="3" ht="18" customHeight="1" spans="1:13">
      <c r="A3" s="2144" t="s">
        <v>1150</v>
      </c>
      <c r="B3" s="2145">
        <f ca="1">IF(ISERROR(B2*10000/F43),0,ROUND(B2*10000/F43,0))</f>
        <v>14371</v>
      </c>
      <c r="C3" s="2138" t="s">
        <v>1151</v>
      </c>
      <c r="D3" s="2138"/>
      <c r="E3" s="2140"/>
      <c r="F3" s="2141"/>
      <c r="G3" s="2142"/>
      <c r="H3" s="2146" t="s">
        <v>1152</v>
      </c>
      <c r="I3" s="2306"/>
      <c r="J3" s="2306"/>
      <c r="K3" s="2307"/>
      <c r="L3" s="2306"/>
      <c r="M3" s="2306"/>
    </row>
    <row r="4" ht="18" customHeight="1" spans="1:13">
      <c r="A4" s="2147" t="s">
        <v>1153</v>
      </c>
      <c r="B4" s="2148" t="s">
        <v>1154</v>
      </c>
      <c r="C4" s="2148" t="s">
        <v>1155</v>
      </c>
      <c r="D4" s="2148" t="s">
        <v>1156</v>
      </c>
      <c r="E4" s="2149" t="s">
        <v>1157</v>
      </c>
      <c r="F4" s="2150"/>
      <c r="G4" s="848"/>
      <c r="H4" s="2147" t="s">
        <v>1153</v>
      </c>
      <c r="I4" s="2148" t="s">
        <v>1154</v>
      </c>
      <c r="J4" s="2148" t="s">
        <v>1155</v>
      </c>
      <c r="K4" s="2148" t="s">
        <v>1156</v>
      </c>
      <c r="L4" s="2149" t="s">
        <v>1157</v>
      </c>
      <c r="M4" s="2150"/>
    </row>
    <row r="5" ht="18" customHeight="1" spans="1:13">
      <c r="A5" s="2151">
        <v>1</v>
      </c>
      <c r="B5" s="2152" t="s">
        <v>1158</v>
      </c>
      <c r="C5" s="2153">
        <f ca="1">C6+C10+C12</f>
        <v>1662</v>
      </c>
      <c r="D5" s="2154" t="s">
        <v>1159</v>
      </c>
      <c r="E5" s="2155"/>
      <c r="F5" s="2156"/>
      <c r="G5" s="848"/>
      <c r="H5" s="2151">
        <v>1</v>
      </c>
      <c r="I5" s="2152" t="s">
        <v>1158</v>
      </c>
      <c r="J5" s="2153">
        <f ca="1">J6+J10+J12</f>
        <v>0</v>
      </c>
      <c r="K5" s="2154" t="s">
        <v>1159</v>
      </c>
      <c r="L5" s="2155"/>
      <c r="M5" s="2156"/>
    </row>
    <row r="6" ht="18" customHeight="1" spans="1:13">
      <c r="A6" s="2157" t="s">
        <v>899</v>
      </c>
      <c r="B6" s="2158" t="s">
        <v>1160</v>
      </c>
      <c r="C6" s="2159">
        <f ca="1">ROUND(F6*F8*F7*(1-F9)/10000,0)</f>
        <v>1660</v>
      </c>
      <c r="D6" s="2160" t="s">
        <v>1161</v>
      </c>
      <c r="E6" s="2161" t="s">
        <v>1162</v>
      </c>
      <c r="F6" s="2162">
        <f ca="1">INDIRECT("'数据-取费表'!u"&amp;$G$1)</f>
        <v>5</v>
      </c>
      <c r="G6" s="848"/>
      <c r="H6" s="2157" t="s">
        <v>899</v>
      </c>
      <c r="I6" s="2158" t="s">
        <v>1160</v>
      </c>
      <c r="J6" s="2235">
        <f ca="1">ROUND(M6*M8*M7*(1-M9)/10000,0)</f>
        <v>0</v>
      </c>
      <c r="K6" s="2160" t="s">
        <v>1163</v>
      </c>
      <c r="L6" s="2161" t="s">
        <v>1162</v>
      </c>
      <c r="M6" s="2162">
        <f ca="1">INDIRECT("'数据-取费表'!z"&amp;$G$1)</f>
        <v>0</v>
      </c>
    </row>
    <row r="7" ht="18" customHeight="1" spans="1:13">
      <c r="A7" s="2163"/>
      <c r="B7" s="2164"/>
      <c r="C7" s="2165"/>
      <c r="D7" s="2166"/>
      <c r="E7" s="2167" t="s">
        <v>1164</v>
      </c>
      <c r="F7" s="2162">
        <f ca="1">IF(INDIRECT("'数据-取费表'!ah"&amp;$G$1)="",INDIRECT("'数据-取费表'!k"&amp;$G$1),INDIRECT("'数据-取费表'!ah"&amp;$G$1))</f>
        <v>10109.15</v>
      </c>
      <c r="G7" s="848"/>
      <c r="H7" s="2168"/>
      <c r="I7" s="2164"/>
      <c r="J7" s="2169"/>
      <c r="K7" s="2166"/>
      <c r="L7" s="2161" t="s">
        <v>1164</v>
      </c>
      <c r="M7" s="2162">
        <f ca="1">F7</f>
        <v>10109.15</v>
      </c>
    </row>
    <row r="8" ht="18" customHeight="1" spans="1:13">
      <c r="A8" s="2168"/>
      <c r="B8" s="2164"/>
      <c r="C8" s="2169"/>
      <c r="D8" s="2166"/>
      <c r="E8" s="2161" t="s">
        <v>1165</v>
      </c>
      <c r="F8" s="2162">
        <f ca="1">INDIRECT("'数据-取费表'!ai"&amp;$G$1)</f>
        <v>365</v>
      </c>
      <c r="G8" s="848"/>
      <c r="H8" s="2168"/>
      <c r="I8" s="2164"/>
      <c r="J8" s="2169"/>
      <c r="K8" s="2166"/>
      <c r="L8" s="2161" t="s">
        <v>1165</v>
      </c>
      <c r="M8" s="2162">
        <f ca="1">INDIRECT("'数据-取费表'!ai"&amp;$G$1)</f>
        <v>365</v>
      </c>
    </row>
    <row r="9" ht="18" customHeight="1" spans="1:13">
      <c r="A9" s="2168"/>
      <c r="B9" s="2170"/>
      <c r="C9" s="2169"/>
      <c r="D9" s="2166"/>
      <c r="E9" s="2161" t="s">
        <v>1166</v>
      </c>
      <c r="F9" s="2171">
        <f ca="1">INDIRECT("'数据-取费表'!w"&amp;$G$1)</f>
        <v>0.1</v>
      </c>
      <c r="G9" s="848"/>
      <c r="H9" s="2168"/>
      <c r="I9" s="2170"/>
      <c r="J9" s="2169"/>
      <c r="K9" s="2166"/>
      <c r="L9" s="2174" t="s">
        <v>1166</v>
      </c>
      <c r="M9" s="2179">
        <f ca="1">INDIRECT("'数据-取费表'!ab"&amp;$G$1)</f>
        <v>0</v>
      </c>
    </row>
    <row r="10" ht="18" customHeight="1" spans="1:13">
      <c r="A10" s="2157" t="s">
        <v>903</v>
      </c>
      <c r="B10" s="2172" t="s">
        <v>1167</v>
      </c>
      <c r="C10" s="1096">
        <f ca="1">ROUND(IF(F10="押一",C6/12*F11,IF(F10="押二",C6/12*2*F11,IF(F10="押三",C6/12*3*F11,C11*F11))),0)</f>
        <v>2</v>
      </c>
      <c r="D10" s="2173" t="s">
        <v>1168</v>
      </c>
      <c r="E10" s="2174" t="s">
        <v>1169</v>
      </c>
      <c r="F10" s="2175" t="s">
        <v>1170</v>
      </c>
      <c r="G10" s="848"/>
      <c r="H10" s="2157" t="s">
        <v>903</v>
      </c>
      <c r="I10" s="2172" t="s">
        <v>1167</v>
      </c>
      <c r="J10" s="2235">
        <f ca="1">ROUND(IF(M10="押一",J6/12*M11,IF(M10="押二",J6/12*2*M11,IF(M10="押三",J6/12*3*M11,J11*M11))),0)</f>
        <v>0</v>
      </c>
      <c r="K10" s="2173" t="s">
        <v>1168</v>
      </c>
      <c r="L10" s="2174" t="s">
        <v>1169</v>
      </c>
      <c r="M10" s="2175"/>
    </row>
    <row r="11" ht="18" customHeight="1" spans="1:13">
      <c r="A11" s="2176"/>
      <c r="B11" s="2177" t="s">
        <v>1171</v>
      </c>
      <c r="C11" s="2178"/>
      <c r="D11" s="2415"/>
      <c r="E11" s="2174" t="s">
        <v>1172</v>
      </c>
      <c r="F11" s="2179">
        <f ca="1">'数据-取费表'!B39</f>
        <v>0.015</v>
      </c>
      <c r="G11" s="848"/>
      <c r="H11" s="2180"/>
      <c r="I11" s="2177" t="s">
        <v>1171</v>
      </c>
      <c r="J11" s="2178"/>
      <c r="K11" s="2310"/>
      <c r="L11" s="2174" t="s">
        <v>1172</v>
      </c>
      <c r="M11" s="2311">
        <f ca="1">'数据-取费表'!B39</f>
        <v>0.015</v>
      </c>
    </row>
    <row r="12" ht="18" customHeight="1" spans="1:13">
      <c r="A12" s="2181" t="s">
        <v>948</v>
      </c>
      <c r="B12" s="2182" t="s">
        <v>1173</v>
      </c>
      <c r="C12" s="2183"/>
      <c r="D12" s="2184"/>
      <c r="E12" s="2185"/>
      <c r="F12" s="2186"/>
      <c r="G12" s="848"/>
      <c r="H12" s="2181" t="s">
        <v>948</v>
      </c>
      <c r="I12" s="2182" t="s">
        <v>1173</v>
      </c>
      <c r="J12" s="2183"/>
      <c r="K12" s="2312"/>
      <c r="L12" s="2185"/>
      <c r="M12" s="2313"/>
    </row>
    <row r="13" ht="18" customHeight="1" spans="1:13">
      <c r="A13" s="2187">
        <v>2</v>
      </c>
      <c r="B13" s="2188" t="s">
        <v>1174</v>
      </c>
      <c r="C13" s="2189">
        <f ca="1">ROUND(C29*F13,0)</f>
        <v>5975</v>
      </c>
      <c r="D13" s="2190" t="s">
        <v>1175</v>
      </c>
      <c r="E13" s="2190" t="s">
        <v>1176</v>
      </c>
      <c r="F13" s="2191">
        <f ca="1">INDIRECT("'数据-取费表'!y"&amp;$G$1)</f>
        <v>0.8</v>
      </c>
      <c r="G13" s="848"/>
      <c r="H13" s="2187">
        <v>2</v>
      </c>
      <c r="I13" s="2188" t="s">
        <v>1174</v>
      </c>
      <c r="J13" s="2314">
        <f ca="1">ROUND(J14*J15,0)</f>
        <v>0</v>
      </c>
      <c r="K13" s="2213" t="s">
        <v>1175</v>
      </c>
      <c r="L13" s="2315"/>
      <c r="M13" s="2316"/>
    </row>
    <row r="14" ht="18" customHeight="1" spans="1:13">
      <c r="A14" s="2192" t="s">
        <v>922</v>
      </c>
      <c r="B14" s="2161" t="s">
        <v>1177</v>
      </c>
      <c r="C14" s="2193">
        <f ca="1">INDIRECT("'数据-取费表'!m"&amp;$G$1)+INDIRECT("'数据-取费表'!t"&amp;$G$1)</f>
        <v>5055</v>
      </c>
      <c r="D14" s="2194" t="s">
        <v>1178</v>
      </c>
      <c r="E14" s="2195"/>
      <c r="F14" s="2196"/>
      <c r="G14" s="848"/>
      <c r="H14" s="2192" t="s">
        <v>899</v>
      </c>
      <c r="I14" s="2161" t="s">
        <v>1179</v>
      </c>
      <c r="J14" s="1097">
        <f ca="1">C29</f>
        <v>7469</v>
      </c>
      <c r="K14" s="2317"/>
      <c r="L14" s="2318"/>
      <c r="M14" s="2319"/>
    </row>
    <row r="15" s="2128" customFormat="1" ht="18" customHeight="1" spans="1:37">
      <c r="A15" s="2192" t="s">
        <v>926</v>
      </c>
      <c r="B15" s="2161" t="s">
        <v>1107</v>
      </c>
      <c r="C15" s="1097">
        <f ca="1">ROUND(C14*F15,0)</f>
        <v>152</v>
      </c>
      <c r="D15" s="2197" t="s">
        <v>1180</v>
      </c>
      <c r="E15" s="2197" t="s">
        <v>1181</v>
      </c>
      <c r="F15" s="2198">
        <f>'数据-取费表'!B33</f>
        <v>0.03</v>
      </c>
      <c r="G15" s="2199"/>
      <c r="H15" s="2200" t="s">
        <v>903</v>
      </c>
      <c r="I15" s="2185" t="s">
        <v>1176</v>
      </c>
      <c r="J15" s="2313">
        <f ca="1">INDIRECT("'数据-取费表'!ad"&amp;$G$1)</f>
        <v>0</v>
      </c>
      <c r="K15" s="2320"/>
      <c r="L15" s="2321"/>
      <c r="M15" s="2322"/>
      <c r="N15" s="2199"/>
      <c r="O15" s="2199"/>
      <c r="P15" s="2199"/>
      <c r="Q15" s="2199"/>
      <c r="R15" s="2199"/>
      <c r="S15" s="2199"/>
      <c r="T15" s="2199"/>
      <c r="U15" s="2199"/>
      <c r="V15" s="2199"/>
      <c r="W15" s="2199"/>
      <c r="X15" s="2199"/>
      <c r="Y15" s="2199"/>
      <c r="Z15" s="2199"/>
      <c r="AA15" s="2199"/>
      <c r="AB15" s="2199"/>
      <c r="AC15" s="2199"/>
      <c r="AD15" s="2199"/>
      <c r="AE15" s="2199"/>
      <c r="AF15" s="2199"/>
      <c r="AG15" s="2199"/>
      <c r="AH15" s="2199"/>
      <c r="AI15" s="2199"/>
      <c r="AJ15" s="2199"/>
      <c r="AK15" s="2199"/>
    </row>
    <row r="16" ht="18" customHeight="1" spans="1:13">
      <c r="A16" s="2192" t="s">
        <v>929</v>
      </c>
      <c r="B16" s="2161" t="s">
        <v>1110</v>
      </c>
      <c r="C16" s="1097">
        <f ca="1">ROUND(INDIRECT("'数据-取费表'!m"&amp;$G$1)*F16,0)</f>
        <v>0</v>
      </c>
      <c r="D16" s="2161" t="s">
        <v>1180</v>
      </c>
      <c r="E16" s="2161" t="s">
        <v>1181</v>
      </c>
      <c r="F16" s="2201">
        <f ca="1">IF(INDIRECT("'数据-取费表'!c"&amp;$G$1)="住宅",'数据-取费表'!B34,0)</f>
        <v>0</v>
      </c>
      <c r="G16" s="848"/>
      <c r="H16" s="2187" t="s">
        <v>1182</v>
      </c>
      <c r="I16" s="2188" t="s">
        <v>1183</v>
      </c>
      <c r="J16" s="2189">
        <f ca="1">ROUND(J17+J22+J23+J24,0)</f>
        <v>113</v>
      </c>
      <c r="K16" s="2213" t="s">
        <v>1184</v>
      </c>
      <c r="L16" s="2214"/>
      <c r="M16" s="2156"/>
    </row>
    <row r="17" s="2128" customFormat="1" ht="18" customHeight="1" spans="1:37">
      <c r="A17" s="2192" t="s">
        <v>1185</v>
      </c>
      <c r="B17" s="2161" t="s">
        <v>1186</v>
      </c>
      <c r="C17" s="1097">
        <f ca="1">ROUND(F17*(F43+INDIRECT("'数据-取费表'!S"&amp;$G$1))/10000,0)</f>
        <v>202</v>
      </c>
      <c r="D17" s="2161" t="s">
        <v>1187</v>
      </c>
      <c r="E17" s="2161" t="s">
        <v>1188</v>
      </c>
      <c r="F17" s="2202">
        <f>'数据-取费表'!B35</f>
        <v>200</v>
      </c>
      <c r="G17" s="2199"/>
      <c r="H17" s="2192" t="s">
        <v>899</v>
      </c>
      <c r="I17" s="2161" t="s">
        <v>1189</v>
      </c>
      <c r="J17" s="2216">
        <f ca="1">ROUND(IF(AND(项目基本情况!B11="自然人",项目基本情况!B10="北京市"),J6*M17/(1+'数据-取费表'!C42),J18+J19+J20),2)</f>
        <v>0.96</v>
      </c>
      <c r="K17" s="2194" t="s">
        <v>1190</v>
      </c>
      <c r="L17" s="2217" t="s">
        <v>1191</v>
      </c>
      <c r="M17" s="2218" t="str">
        <f ca="1">IF(项目基本情况!B11="企业","",IF('数据-取费表'!B10="住宅",IF(M6*M7*M8/12/(1+'数据-取费表'!F30)&gt;100000,4%,2.5%),IF(M6*M7*M8/12/(1+'数据-取费表'!F30)&gt;100000,12%,7%)))</f>
        <v/>
      </c>
      <c r="N17" s="2199"/>
      <c r="O17" s="2199"/>
      <c r="P17" s="2199"/>
      <c r="Q17" s="2199"/>
      <c r="R17" s="2199"/>
      <c r="S17" s="2199"/>
      <c r="T17" s="2199"/>
      <c r="U17" s="2199"/>
      <c r="V17" s="2199"/>
      <c r="W17" s="2199"/>
      <c r="X17" s="2199"/>
      <c r="Y17" s="2199"/>
      <c r="Z17" s="2199"/>
      <c r="AA17" s="2199"/>
      <c r="AB17" s="2199"/>
      <c r="AC17" s="2199"/>
      <c r="AD17" s="2199"/>
      <c r="AE17" s="2199"/>
      <c r="AF17" s="2199"/>
      <c r="AG17" s="2199"/>
      <c r="AH17" s="2199"/>
      <c r="AI17" s="2199"/>
      <c r="AJ17" s="2199"/>
      <c r="AK17" s="2199"/>
    </row>
    <row r="18" s="2128" customFormat="1" ht="18" customHeight="1" spans="1:37">
      <c r="A18" s="2192" t="s">
        <v>1192</v>
      </c>
      <c r="B18" s="2161" t="s">
        <v>1116</v>
      </c>
      <c r="C18" s="1097">
        <f ca="1">ROUND(C14*F18,0)</f>
        <v>76</v>
      </c>
      <c r="D18" s="2161" t="s">
        <v>1180</v>
      </c>
      <c r="E18" s="2161" t="s">
        <v>1181</v>
      </c>
      <c r="F18" s="2201">
        <f>'数据-取费表'!B36</f>
        <v>0.015</v>
      </c>
      <c r="G18" s="2199"/>
      <c r="H18" s="2192" t="s">
        <v>922</v>
      </c>
      <c r="I18" s="2161" t="s">
        <v>1193</v>
      </c>
      <c r="J18" s="1097">
        <f ca="1">ROUND(J6*M18/(1+'数据-取费表'!C42),2)</f>
        <v>0</v>
      </c>
      <c r="K18" s="2217" t="s">
        <v>1194</v>
      </c>
      <c r="L18" s="2161" t="s">
        <v>1181</v>
      </c>
      <c r="M18" s="2201">
        <f>'数据-取费表'!B41</f>
        <v>0.056</v>
      </c>
      <c r="N18" s="2199"/>
      <c r="O18" s="2199"/>
      <c r="P18" s="2199"/>
      <c r="Q18" s="2199"/>
      <c r="R18" s="2199"/>
      <c r="S18" s="2199"/>
      <c r="T18" s="2199"/>
      <c r="U18" s="2199"/>
      <c r="V18" s="2199"/>
      <c r="W18" s="2199"/>
      <c r="X18" s="2199"/>
      <c r="Y18" s="2199"/>
      <c r="Z18" s="2199"/>
      <c r="AA18" s="2199"/>
      <c r="AB18" s="2199"/>
      <c r="AC18" s="2199"/>
      <c r="AD18" s="2199"/>
      <c r="AE18" s="2199"/>
      <c r="AF18" s="2199"/>
      <c r="AG18" s="2199"/>
      <c r="AH18" s="2199"/>
      <c r="AI18" s="2199"/>
      <c r="AJ18" s="2199"/>
      <c r="AK18" s="2199"/>
    </row>
    <row r="19" ht="18" customHeight="1" spans="1:13">
      <c r="A19" s="2192" t="s">
        <v>899</v>
      </c>
      <c r="B19" s="2161" t="s">
        <v>1195</v>
      </c>
      <c r="C19" s="1097">
        <f ca="1">SUM(C14:C18)</f>
        <v>5485</v>
      </c>
      <c r="D19" s="2203" t="s">
        <v>1196</v>
      </c>
      <c r="E19" s="1099"/>
      <c r="F19" s="2202"/>
      <c r="G19" s="848"/>
      <c r="H19" s="2192" t="s">
        <v>926</v>
      </c>
      <c r="I19" s="2161" t="s">
        <v>1197</v>
      </c>
      <c r="J19" s="1097">
        <f ca="1">IF(K19="按租金收入计税",ROUND(J6*M19/(1+'数据-取费表'!C42),2),ROUND(C29*M19*0.7,2))</f>
        <v>0</v>
      </c>
      <c r="K19" s="2220" t="s">
        <v>1198</v>
      </c>
      <c r="L19" s="2161" t="s">
        <v>1181</v>
      </c>
      <c r="M19" s="2201">
        <f>IF(K19="按租金收入计税",'数据-取费表'!B51,'数据-取费表'!B50)</f>
        <v>0.12</v>
      </c>
    </row>
    <row r="20" s="2128" customFormat="1" ht="18" customHeight="1" spans="1:37">
      <c r="A20" s="2192" t="s">
        <v>903</v>
      </c>
      <c r="B20" s="2161" t="s">
        <v>1199</v>
      </c>
      <c r="C20" s="1097">
        <f ca="1">ROUND(C19*F20,0)</f>
        <v>110</v>
      </c>
      <c r="D20" s="2204" t="s">
        <v>1200</v>
      </c>
      <c r="E20" s="2161" t="s">
        <v>1181</v>
      </c>
      <c r="F20" s="2201">
        <f>'数据-取费表'!B37</f>
        <v>0.02</v>
      </c>
      <c r="G20" s="2199"/>
      <c r="H20" s="2192" t="s">
        <v>929</v>
      </c>
      <c r="I20" s="2160" t="s">
        <v>1201</v>
      </c>
      <c r="J20" s="2222">
        <f ca="1">ROUND(M20*M21/10000,2)</f>
        <v>0.96</v>
      </c>
      <c r="K20" s="2223" t="s">
        <v>1202</v>
      </c>
      <c r="L20" s="2161" t="s">
        <v>1203</v>
      </c>
      <c r="M20" s="2207">
        <f>'数据-取费表'!B52</f>
        <v>3</v>
      </c>
      <c r="N20" s="2199"/>
      <c r="O20" s="2199"/>
      <c r="P20" s="2199"/>
      <c r="Q20" s="2199"/>
      <c r="R20" s="2199"/>
      <c r="S20" s="2199"/>
      <c r="T20" s="2199"/>
      <c r="U20" s="2199"/>
      <c r="V20" s="2199"/>
      <c r="W20" s="2199"/>
      <c r="X20" s="2199"/>
      <c r="Y20" s="2199"/>
      <c r="Z20" s="2199"/>
      <c r="AA20" s="2199"/>
      <c r="AB20" s="2199"/>
      <c r="AC20" s="2199"/>
      <c r="AD20" s="2199"/>
      <c r="AE20" s="2199"/>
      <c r="AF20" s="2199"/>
      <c r="AG20" s="2199"/>
      <c r="AH20" s="2199"/>
      <c r="AI20" s="2199"/>
      <c r="AJ20" s="2199"/>
      <c r="AK20" s="2199"/>
    </row>
    <row r="21" s="2128" customFormat="1" ht="18" customHeight="1" spans="1:37">
      <c r="A21" s="2192" t="s">
        <v>948</v>
      </c>
      <c r="B21" s="2161" t="s">
        <v>1204</v>
      </c>
      <c r="C21" s="1097" t="s">
        <v>124</v>
      </c>
      <c r="D21" s="2204" t="s">
        <v>1205</v>
      </c>
      <c r="E21" s="2161" t="s">
        <v>1206</v>
      </c>
      <c r="F21" s="2201">
        <f>'数据-取费表'!B38</f>
        <v>0.02</v>
      </c>
      <c r="G21" s="2199"/>
      <c r="H21" s="2205"/>
      <c r="I21" s="2323"/>
      <c r="J21" s="2226"/>
      <c r="K21" s="2227"/>
      <c r="L21" s="2161" t="s">
        <v>1207</v>
      </c>
      <c r="M21" s="2162">
        <f ca="1">INDIRECT("'数据-取费表'!r"&amp;$G$1)</f>
        <v>3208.2</v>
      </c>
      <c r="N21" s="2199"/>
      <c r="O21" s="2199"/>
      <c r="P21" s="2199"/>
      <c r="Q21" s="2199"/>
      <c r="R21" s="2199"/>
      <c r="S21" s="2199"/>
      <c r="T21" s="2199"/>
      <c r="U21" s="2199"/>
      <c r="V21" s="2199"/>
      <c r="W21" s="2199"/>
      <c r="X21" s="2199"/>
      <c r="Y21" s="2199"/>
      <c r="Z21" s="2199"/>
      <c r="AA21" s="2199"/>
      <c r="AB21" s="2199"/>
      <c r="AC21" s="2199"/>
      <c r="AD21" s="2199"/>
      <c r="AE21" s="2199"/>
      <c r="AF21" s="2199"/>
      <c r="AG21" s="2199"/>
      <c r="AH21" s="2199"/>
      <c r="AI21" s="2199"/>
      <c r="AJ21" s="2199"/>
      <c r="AK21" s="2199"/>
    </row>
    <row r="22" ht="18" customHeight="1" spans="1:13">
      <c r="A22" s="2192" t="s">
        <v>951</v>
      </c>
      <c r="B22" s="2161" t="s">
        <v>1208</v>
      </c>
      <c r="C22" s="1097"/>
      <c r="D22" s="2203" t="str">
        <f>IF(F23&lt;=1,"单利计息。","复利计息。")&amp;"建造成本、管理费用、销售费用产生的利息。"</f>
        <v>复利计息。建造成本、管理费用、销售费用产生的利息。</v>
      </c>
      <c r="E22" s="1099"/>
      <c r="F22" s="2202"/>
      <c r="G22" s="848"/>
      <c r="H22" s="2192" t="s">
        <v>903</v>
      </c>
      <c r="I22" s="2161" t="s">
        <v>1209</v>
      </c>
      <c r="J22" s="1097">
        <f ca="1">ROUND(J14*M22,2)</f>
        <v>112.04</v>
      </c>
      <c r="K22" s="2217" t="s">
        <v>1210</v>
      </c>
      <c r="L22" s="2161" t="s">
        <v>1181</v>
      </c>
      <c r="M22" s="2229">
        <f ca="1">INDIRECT("'数据-取费表'!Ak"&amp;$G$1)</f>
        <v>0.015</v>
      </c>
    </row>
    <row r="23" s="2128" customFormat="1" ht="18" customHeight="1" spans="1:37">
      <c r="A23" s="2192" t="s">
        <v>922</v>
      </c>
      <c r="B23" s="2161" t="s">
        <v>1211</v>
      </c>
      <c r="C23" s="1097">
        <f ca="1">IF('数据-取费表'!B22&lt;=1,ROUND(C19*F24*F23/2,0)+ROUND(C20*F24*F23/2,0),ROUND(C19*(POWER((1+F24),F23/2)-1),0)+ROUND(C20*(POWER((1+F24),F23/2)-1),0))</f>
        <v>173</v>
      </c>
      <c r="D23" s="2206" t="str">
        <f>IF(F23&lt;=1,"(建造成本+管理费用)×利率×(建设周期÷2)","(建造成本+管理费用)×((1+利率)^(建设周期÷2)-1)")</f>
        <v>(建造成本+管理费用)×((1+利率)^(建设周期÷2)-1)</v>
      </c>
      <c r="E23" s="2161" t="s">
        <v>1212</v>
      </c>
      <c r="F23" s="2207">
        <f>'数据-取费表'!B20</f>
        <v>1.5</v>
      </c>
      <c r="G23" s="2199"/>
      <c r="H23" s="2192" t="s">
        <v>948</v>
      </c>
      <c r="I23" s="2161" t="s">
        <v>1213</v>
      </c>
      <c r="J23" s="1097">
        <f ca="1">ROUND(J13*M23,2)</f>
        <v>0</v>
      </c>
      <c r="K23" s="2217" t="s">
        <v>1214</v>
      </c>
      <c r="L23" s="2161" t="s">
        <v>1181</v>
      </c>
      <c r="M23" s="2230">
        <f ca="1">INDIRECT("'数据-取费表'!Al"&amp;$G$1)</f>
        <v>0.0015</v>
      </c>
      <c r="N23" s="2199"/>
      <c r="O23" s="2199"/>
      <c r="P23" s="2199"/>
      <c r="Q23" s="2199"/>
      <c r="R23" s="2199"/>
      <c r="S23" s="2199"/>
      <c r="T23" s="2199"/>
      <c r="U23" s="2199"/>
      <c r="V23" s="2199"/>
      <c r="W23" s="2199"/>
      <c r="X23" s="2199"/>
      <c r="Y23" s="2199"/>
      <c r="Z23" s="2199"/>
      <c r="AA23" s="2199"/>
      <c r="AB23" s="2199"/>
      <c r="AC23" s="2199"/>
      <c r="AD23" s="2199"/>
      <c r="AE23" s="2199"/>
      <c r="AF23" s="2199"/>
      <c r="AG23" s="2199"/>
      <c r="AH23" s="2199"/>
      <c r="AI23" s="2199"/>
      <c r="AJ23" s="2199"/>
      <c r="AK23" s="2199"/>
    </row>
    <row r="24" s="2128" customFormat="1" ht="18" customHeight="1" spans="1:37">
      <c r="A24" s="2192" t="s">
        <v>926</v>
      </c>
      <c r="B24" s="2161" t="s">
        <v>1215</v>
      </c>
      <c r="C24" s="1097">
        <f ca="1">ROUND(IF('数据-取费表'!B22&lt;=1,F21*F24*F23/2,F21*(POWER((1+F24),F23/2)-1)),4)</f>
        <v>0.0006</v>
      </c>
      <c r="D24" s="2206" t="str">
        <f>IF(F23&lt;=1,"销售费用×利率×(建设周期÷2)","销售费用×((1+利率)^(建设周期÷2)-1)")</f>
        <v>销售费用×((1+利率)^(建设周期÷2)-1)</v>
      </c>
      <c r="E24" s="2161" t="s">
        <v>1216</v>
      </c>
      <c r="F24" s="2208">
        <f ca="1">'数据-取费表'!B40</f>
        <v>0.0415</v>
      </c>
      <c r="G24" s="2199"/>
      <c r="H24" s="2200" t="s">
        <v>951</v>
      </c>
      <c r="I24" s="2185" t="s">
        <v>1199</v>
      </c>
      <c r="J24" s="2209">
        <f ca="1">ROUND(J5*M24,2)</f>
        <v>0</v>
      </c>
      <c r="K24" s="2210" t="s">
        <v>1217</v>
      </c>
      <c r="L24" s="2185" t="s">
        <v>1181</v>
      </c>
      <c r="M24" s="2186">
        <f ca="1">INDIRECT("'数据-取费表'!Am"&amp;$G$1)</f>
        <v>0.01</v>
      </c>
      <c r="N24" s="2199"/>
      <c r="O24" s="2199"/>
      <c r="P24" s="2199"/>
      <c r="Q24" s="2199"/>
      <c r="R24" s="2199"/>
      <c r="S24" s="2199"/>
      <c r="T24" s="2199"/>
      <c r="U24" s="2199"/>
      <c r="V24" s="2199"/>
      <c r="W24" s="2199"/>
      <c r="X24" s="2199"/>
      <c r="Y24" s="2199"/>
      <c r="Z24" s="2199"/>
      <c r="AA24" s="2199"/>
      <c r="AB24" s="2199"/>
      <c r="AC24" s="2199"/>
      <c r="AD24" s="2199"/>
      <c r="AE24" s="2199"/>
      <c r="AF24" s="2199"/>
      <c r="AG24" s="2199"/>
      <c r="AH24" s="2199"/>
      <c r="AI24" s="2199"/>
      <c r="AJ24" s="2199"/>
      <c r="AK24" s="2199"/>
    </row>
    <row r="25" ht="24" customHeight="1" spans="1:13">
      <c r="A25" s="2192" t="s">
        <v>955</v>
      </c>
      <c r="B25" s="2161" t="s">
        <v>1218</v>
      </c>
      <c r="C25" s="1097"/>
      <c r="D25" s="2203" t="s">
        <v>1219</v>
      </c>
      <c r="E25" s="1099"/>
      <c r="F25" s="2202"/>
      <c r="G25" s="848"/>
      <c r="H25" s="2187" t="s">
        <v>1220</v>
      </c>
      <c r="I25" s="2231" t="s">
        <v>1221</v>
      </c>
      <c r="J25" s="2189">
        <f ca="1">J5-J16</f>
        <v>-113</v>
      </c>
      <c r="K25" s="2232" t="s">
        <v>1222</v>
      </c>
      <c r="L25" s="2233"/>
      <c r="M25" s="2234"/>
    </row>
    <row r="26" spans="1:13">
      <c r="A26" s="2192" t="s">
        <v>922</v>
      </c>
      <c r="B26" s="2161" t="s">
        <v>1223</v>
      </c>
      <c r="C26" s="1097">
        <f ca="1">ROUND((C19+C20)*F26,0)</f>
        <v>1119</v>
      </c>
      <c r="D26" s="2204" t="s">
        <v>1224</v>
      </c>
      <c r="E26" s="2174" t="s">
        <v>1225</v>
      </c>
      <c r="F26" s="2171">
        <f ca="1">INDIRECT("'数据-取费表'!q"&amp;$G$1)</f>
        <v>0.2</v>
      </c>
      <c r="G26" s="848"/>
      <c r="H26" s="2151" t="s">
        <v>1226</v>
      </c>
      <c r="I26" s="2152" t="s">
        <v>1227</v>
      </c>
      <c r="J26" s="2235">
        <f ca="1">IF(J5&lt;&gt;0,ROUND(J25*(1-((1+M28)/(1+M26))^M27)/(M26-M28),0),0)</f>
        <v>0</v>
      </c>
      <c r="K26" s="2223" t="s">
        <v>1228</v>
      </c>
      <c r="L26" s="2161" t="s">
        <v>1229</v>
      </c>
      <c r="M26" s="2171">
        <f ca="1">INDIRECT("'数据-取费表'!I"&amp;$G$1)</f>
        <v>0.06</v>
      </c>
    </row>
    <row r="27" ht="18" customHeight="1" spans="1:13">
      <c r="A27" s="2192" t="s">
        <v>926</v>
      </c>
      <c r="B27" s="2161" t="s">
        <v>1230</v>
      </c>
      <c r="C27" s="1097">
        <f ca="1">ROUND(F21*F26,4)</f>
        <v>0.004</v>
      </c>
      <c r="D27" s="2204" t="s">
        <v>1231</v>
      </c>
      <c r="E27" s="2197"/>
      <c r="F27" s="2198"/>
      <c r="G27" s="848"/>
      <c r="H27" s="2168"/>
      <c r="I27" s="2237"/>
      <c r="J27" s="2169"/>
      <c r="K27" s="2238" t="s">
        <v>1232</v>
      </c>
      <c r="L27" s="2161" t="s">
        <v>1233</v>
      </c>
      <c r="M27" s="2239">
        <f ca="1">INDIRECT("'数据-取费表'!ag"&amp;$G$1)</f>
        <v>0</v>
      </c>
    </row>
    <row r="28" s="2128" customFormat="1" ht="18" customHeight="1" spans="1:37">
      <c r="A28" s="2192" t="s">
        <v>956</v>
      </c>
      <c r="B28" s="2161" t="s">
        <v>1234</v>
      </c>
      <c r="C28" s="1097">
        <f>ROUND(F28/(1+'数据-取费表'!C42),4)</f>
        <v>0.0533</v>
      </c>
      <c r="D28" s="2204" t="s">
        <v>1235</v>
      </c>
      <c r="E28" s="2161" t="s">
        <v>1181</v>
      </c>
      <c r="F28" s="2201">
        <f>'数据-取费表'!B41</f>
        <v>0.056</v>
      </c>
      <c r="G28" s="2199"/>
      <c r="H28" s="2176"/>
      <c r="I28" s="2241"/>
      <c r="J28" s="2189"/>
      <c r="K28" s="2227"/>
      <c r="L28" s="2161" t="s">
        <v>1236</v>
      </c>
      <c r="M28" s="2171">
        <f ca="1">INDIRECT("'数据-取费表'!aa"&amp;$G$1)</f>
        <v>0</v>
      </c>
      <c r="N28" s="2199"/>
      <c r="O28" s="2199"/>
      <c r="P28" s="2199"/>
      <c r="Q28" s="2199"/>
      <c r="R28" s="2199"/>
      <c r="S28" s="2199"/>
      <c r="T28" s="2199"/>
      <c r="U28" s="2199"/>
      <c r="V28" s="2199"/>
      <c r="W28" s="2199"/>
      <c r="X28" s="2199"/>
      <c r="Y28" s="2199"/>
      <c r="Z28" s="2199"/>
      <c r="AA28" s="2199"/>
      <c r="AB28" s="2199"/>
      <c r="AC28" s="2199"/>
      <c r="AD28" s="2199"/>
      <c r="AE28" s="2199"/>
      <c r="AF28" s="2199"/>
      <c r="AG28" s="2199"/>
      <c r="AH28" s="2199"/>
      <c r="AI28" s="2199"/>
      <c r="AJ28" s="2199"/>
      <c r="AK28" s="2199"/>
    </row>
    <row r="29" s="2128" customFormat="1" ht="18" customHeight="1" spans="1:37">
      <c r="A29" s="2200" t="s">
        <v>1141</v>
      </c>
      <c r="B29" s="2185" t="s">
        <v>1237</v>
      </c>
      <c r="C29" s="2209">
        <f ca="1">ROUND((C19+C20+C23+C26)/(1-F21-C24-C27-C28),0)</f>
        <v>7469</v>
      </c>
      <c r="D29" s="2210"/>
      <c r="E29" s="2185"/>
      <c r="F29" s="2211"/>
      <c r="G29" s="2199"/>
      <c r="H29" s="2212" t="s">
        <v>1238</v>
      </c>
      <c r="I29" s="2242" t="s">
        <v>1239</v>
      </c>
      <c r="J29" s="2243">
        <f ca="1">ROUND(J26/(1+F40)^F41,0)</f>
        <v>0</v>
      </c>
      <c r="K29" s="2244" t="s">
        <v>1240</v>
      </c>
      <c r="L29" s="2245"/>
      <c r="M29" s="2246">
        <f ca="1">INDIRECT("'数据-取费表'!k"&amp;$G$1)</f>
        <v>10109.15</v>
      </c>
      <c r="N29" s="2199"/>
      <c r="O29" s="2199"/>
      <c r="P29" s="2199"/>
      <c r="Q29" s="2199"/>
      <c r="R29" s="2199"/>
      <c r="S29" s="2199"/>
      <c r="T29" s="2199"/>
      <c r="U29" s="2199"/>
      <c r="V29" s="2199"/>
      <c r="W29" s="2199"/>
      <c r="X29" s="2199"/>
      <c r="Y29" s="2199"/>
      <c r="Z29" s="2199"/>
      <c r="AA29" s="2199"/>
      <c r="AB29" s="2199"/>
      <c r="AC29" s="2199"/>
      <c r="AD29" s="2199"/>
      <c r="AE29" s="2199"/>
      <c r="AF29" s="2199"/>
      <c r="AG29" s="2199"/>
      <c r="AH29" s="2199"/>
      <c r="AI29" s="2199"/>
      <c r="AJ29" s="2199"/>
      <c r="AK29" s="2199"/>
    </row>
    <row r="30" ht="18" customHeight="1" spans="1:13">
      <c r="A30" s="2187" t="s">
        <v>1182</v>
      </c>
      <c r="B30" s="2188" t="s">
        <v>1183</v>
      </c>
      <c r="C30" s="2189">
        <f ca="1">ROUND(C31+C36+C37+C38,0)</f>
        <v>417</v>
      </c>
      <c r="D30" s="2213" t="s">
        <v>1184</v>
      </c>
      <c r="E30" s="2214"/>
      <c r="F30" s="2156"/>
      <c r="G30" s="848"/>
      <c r="H30" s="2215"/>
      <c r="I30" s="2324"/>
      <c r="J30" s="2325"/>
      <c r="K30" s="2326"/>
      <c r="L30" s="2327"/>
      <c r="M30" s="2328"/>
    </row>
    <row r="31" ht="18" customHeight="1" spans="1:13">
      <c r="A31" s="2192" t="s">
        <v>899</v>
      </c>
      <c r="B31" s="2161" t="s">
        <v>1189</v>
      </c>
      <c r="C31" s="2216">
        <f ca="1">ROUND(IF(AND(项目基本情况!B11="自然人",项目基本情况!B10="北京市"),C6*F31/(1+'数据-取费表'!C42),C32+C33+C34),2)</f>
        <v>279.2</v>
      </c>
      <c r="D31" s="2194" t="s">
        <v>1190</v>
      </c>
      <c r="E31" s="2217" t="s">
        <v>1191</v>
      </c>
      <c r="F31" s="2218" t="str">
        <f ca="1">IF(项目基本情况!B11="企业","——",IF(M47="住宅",IF(F6*F7*F8/12/(1+'数据-取费表'!F30)&gt;100000,4%,2.5%),IF(F6*F7*F8/12/(1+'数据-取费表'!F30)&gt;100000,12%,7%)))</f>
        <v>——</v>
      </c>
      <c r="G31" s="848"/>
      <c r="H31" s="2219" t="s">
        <v>1241</v>
      </c>
      <c r="I31" s="2324"/>
      <c r="J31" s="2325"/>
      <c r="K31" s="2326"/>
      <c r="L31" s="2327"/>
      <c r="M31" s="2328"/>
    </row>
    <row r="32" ht="18" customHeight="1" spans="1:13">
      <c r="A32" s="2192" t="s">
        <v>922</v>
      </c>
      <c r="B32" s="2161" t="s">
        <v>1193</v>
      </c>
      <c r="C32" s="1097">
        <f ca="1">IF(项目基本情况!B11="自然人","——",ROUND(C6*F32/(1+'数据-取费表'!C42),2))</f>
        <v>88.53</v>
      </c>
      <c r="D32" s="2217" t="s">
        <v>1194</v>
      </c>
      <c r="E32" s="2161" t="s">
        <v>1181</v>
      </c>
      <c r="F32" s="2208">
        <f>'数据-取费表'!B41</f>
        <v>0.056</v>
      </c>
      <c r="G32" s="848"/>
      <c r="H32" s="2215"/>
      <c r="I32" s="2324"/>
      <c r="J32" s="2325"/>
      <c r="K32" s="2326"/>
      <c r="L32" s="2327"/>
      <c r="M32" s="2328"/>
    </row>
    <row r="33" ht="18" customHeight="1" spans="1:13">
      <c r="A33" s="2192" t="s">
        <v>926</v>
      </c>
      <c r="B33" s="2161" t="s">
        <v>1197</v>
      </c>
      <c r="C33" s="1097">
        <f ca="1">IF(项目基本情况!B11="自然人","——",IF(D33="按租金收入计税",ROUND(C6*F33/(1+'数据-取费表'!C42),2),IF(D33="按房产原值计税",ROUND(C29*F33*0.7,2),INDIRECT("'数据-取费表'!Aj"&amp;$G$1))))</f>
        <v>189.71</v>
      </c>
      <c r="D33" s="2220" t="s">
        <v>1198</v>
      </c>
      <c r="E33" s="2161" t="s">
        <v>1181</v>
      </c>
      <c r="F33" s="2201">
        <f>IF(D33="按票据","——",IF(D33="按租金收入计税",'数据-取费表'!B51,'数据-取费表'!B50))</f>
        <v>0.12</v>
      </c>
      <c r="G33" s="848"/>
      <c r="H33" s="2221"/>
      <c r="I33" s="2324"/>
      <c r="J33" s="2325"/>
      <c r="K33" s="2329"/>
      <c r="L33" s="2221"/>
      <c r="M33" s="2221"/>
    </row>
    <row r="34" ht="18" customHeight="1" spans="1:13">
      <c r="A34" s="2157" t="s">
        <v>929</v>
      </c>
      <c r="B34" s="2160" t="s">
        <v>1201</v>
      </c>
      <c r="C34" s="2222">
        <f ca="1">IF(项目基本情况!B11="自然人","——",ROUND(F34*F35/10000,2))</f>
        <v>0.96</v>
      </c>
      <c r="D34" s="2223" t="s">
        <v>1202</v>
      </c>
      <c r="E34" s="2161" t="s">
        <v>1203</v>
      </c>
      <c r="F34" s="2207">
        <f>'数据-取费表'!B52</f>
        <v>3</v>
      </c>
      <c r="G34" s="848"/>
      <c r="H34" s="2215"/>
      <c r="I34" s="2324"/>
      <c r="J34" s="2325"/>
      <c r="K34" s="2330"/>
      <c r="L34" s="2331"/>
      <c r="M34" s="2331"/>
    </row>
    <row r="35" ht="18" customHeight="1" spans="1:13">
      <c r="A35" s="2224"/>
      <c r="B35" s="2225"/>
      <c r="C35" s="2226"/>
      <c r="D35" s="2227"/>
      <c r="E35" s="2161" t="s">
        <v>1207</v>
      </c>
      <c r="F35" s="2162">
        <f ca="1">INDIRECT("'数据-取费表'!r"&amp;$G$1)</f>
        <v>3208.2</v>
      </c>
      <c r="G35" s="848"/>
      <c r="H35" s="2215"/>
      <c r="I35" s="2324"/>
      <c r="J35" s="2325"/>
      <c r="K35" s="2329"/>
      <c r="L35" s="2221"/>
      <c r="M35" s="2221"/>
    </row>
    <row r="36" ht="18" customHeight="1" spans="1:13">
      <c r="A36" s="2228" t="s">
        <v>903</v>
      </c>
      <c r="B36" s="2161" t="s">
        <v>1209</v>
      </c>
      <c r="C36" s="1097">
        <f ca="1">ROUND(C29*F36,2)</f>
        <v>112.04</v>
      </c>
      <c r="D36" s="2217" t="s">
        <v>1242</v>
      </c>
      <c r="E36" s="2161" t="s">
        <v>1181</v>
      </c>
      <c r="F36" s="2229">
        <f ca="1">INDIRECT("'数据-取费表'!Ak"&amp;$G$1)</f>
        <v>0.015</v>
      </c>
      <c r="G36" s="848"/>
      <c r="H36" s="2221"/>
      <c r="I36" s="2324"/>
      <c r="J36" s="2325"/>
      <c r="K36" s="2332"/>
      <c r="L36" s="2221"/>
      <c r="M36" s="2221"/>
    </row>
    <row r="37" ht="18" customHeight="1" spans="1:13">
      <c r="A37" s="2192" t="s">
        <v>948</v>
      </c>
      <c r="B37" s="2161" t="s">
        <v>1213</v>
      </c>
      <c r="C37" s="1097">
        <f ca="1">ROUND(C13*F37,2)</f>
        <v>8.96</v>
      </c>
      <c r="D37" s="2217" t="s">
        <v>1214</v>
      </c>
      <c r="E37" s="2161" t="s">
        <v>1181</v>
      </c>
      <c r="F37" s="2230">
        <f ca="1">INDIRECT("'数据-取费表'!Al"&amp;$G$1)</f>
        <v>0.0015</v>
      </c>
      <c r="G37" s="848"/>
      <c r="H37" s="2221"/>
      <c r="I37" s="2324"/>
      <c r="J37" s="2325"/>
      <c r="K37" s="2332"/>
      <c r="L37" s="2221"/>
      <c r="M37" s="2221"/>
    </row>
    <row r="38" ht="18" customHeight="1" spans="1:13">
      <c r="A38" s="2200" t="s">
        <v>951</v>
      </c>
      <c r="B38" s="2185" t="s">
        <v>1199</v>
      </c>
      <c r="C38" s="2209">
        <f ca="1">ROUND(C5*F38,2)</f>
        <v>16.62</v>
      </c>
      <c r="D38" s="2210" t="s">
        <v>1217</v>
      </c>
      <c r="E38" s="2185" t="s">
        <v>1181</v>
      </c>
      <c r="F38" s="2186">
        <f ca="1">INDIRECT("'数据-取费表'!Am"&amp;$G$1)</f>
        <v>0.01</v>
      </c>
      <c r="G38" s="848"/>
      <c r="H38" s="2221"/>
      <c r="I38" s="2324"/>
      <c r="J38" s="2325"/>
      <c r="K38" s="2333"/>
      <c r="L38" s="2221"/>
      <c r="M38" s="2221"/>
    </row>
    <row r="39" ht="24.6" customHeight="1" spans="1:13">
      <c r="A39" s="2187" t="s">
        <v>1220</v>
      </c>
      <c r="B39" s="2231" t="s">
        <v>1221</v>
      </c>
      <c r="C39" s="2189">
        <f ca="1">C5-C30</f>
        <v>1245</v>
      </c>
      <c r="D39" s="2232" t="s">
        <v>1222</v>
      </c>
      <c r="E39" s="2233"/>
      <c r="F39" s="2234"/>
      <c r="G39" s="848"/>
      <c r="H39" s="2221"/>
      <c r="I39" s="2324"/>
      <c r="J39" s="2325"/>
      <c r="K39" s="2333"/>
      <c r="L39" s="2221"/>
      <c r="M39" s="2221"/>
    </row>
    <row r="40" ht="18" customHeight="1" spans="1:13">
      <c r="A40" s="2151" t="s">
        <v>1226</v>
      </c>
      <c r="B40" s="2152" t="s">
        <v>1243</v>
      </c>
      <c r="C40" s="2235">
        <f ca="1">ROUND(C39*(1-((1+F42)/(1+F40))^F41)/(F40-F42),0)</f>
        <v>14528</v>
      </c>
      <c r="D40" s="2223" t="s">
        <v>1228</v>
      </c>
      <c r="E40" s="2161" t="s">
        <v>1229</v>
      </c>
      <c r="F40" s="2171">
        <f ca="1">INDIRECT("'数据-取费表'!I"&amp;$G$1)</f>
        <v>0.06</v>
      </c>
      <c r="G40" s="848"/>
      <c r="H40" s="2236"/>
      <c r="I40" s="2324"/>
      <c r="J40" s="2325"/>
      <c r="K40" s="2333"/>
      <c r="L40" s="2236"/>
      <c r="M40" s="2236"/>
    </row>
    <row r="41" ht="18" customHeight="1" spans="1:13">
      <c r="A41" s="2168"/>
      <c r="B41" s="2237"/>
      <c r="C41" s="2169"/>
      <c r="D41" s="2238" t="s">
        <v>1232</v>
      </c>
      <c r="E41" s="2161" t="s">
        <v>1233</v>
      </c>
      <c r="F41" s="2239">
        <f ca="1">IF(INDIRECT("'数据-取费表'!af"&amp;$G$1)=0,INDIRECT("'数据-取费表'!ae"&amp;$G$1),INDIRECT("'数据-取费表'!af"&amp;$G$1))</f>
        <v>20.67</v>
      </c>
      <c r="G41" s="848"/>
      <c r="H41" s="2240"/>
      <c r="I41" s="2324"/>
      <c r="J41" s="2325"/>
      <c r="K41" s="2332"/>
      <c r="L41" s="2240"/>
      <c r="M41" s="2240"/>
    </row>
    <row r="42" ht="18" customHeight="1" spans="1:13">
      <c r="A42" s="2176"/>
      <c r="B42" s="2241"/>
      <c r="C42" s="2189"/>
      <c r="D42" s="2227"/>
      <c r="E42" s="2161" t="s">
        <v>1236</v>
      </c>
      <c r="F42" s="2171">
        <f ca="1">INDIRECT("'数据-取费表'!v"&amp;$G$1)</f>
        <v>0</v>
      </c>
      <c r="G42" s="848"/>
      <c r="H42" s="2240"/>
      <c r="I42" s="2324"/>
      <c r="J42" s="2325"/>
      <c r="K42" s="2332"/>
      <c r="L42" s="2240"/>
      <c r="M42" s="2240"/>
    </row>
    <row r="43" ht="18" customHeight="1" spans="1:13">
      <c r="A43" s="2212" t="s">
        <v>1238</v>
      </c>
      <c r="B43" s="2242" t="s">
        <v>1244</v>
      </c>
      <c r="C43" s="2243">
        <f ca="1">ROUND(C40*10000/F43,0)</f>
        <v>14371</v>
      </c>
      <c r="D43" s="2244" t="s">
        <v>1245</v>
      </c>
      <c r="E43" s="2245" t="s">
        <v>1246</v>
      </c>
      <c r="F43" s="2246">
        <f ca="1">INDIRECT("'数据-取费表'!k"&amp;$G$1)</f>
        <v>10109.15</v>
      </c>
      <c r="G43" s="848"/>
      <c r="H43" s="2240"/>
      <c r="I43" s="2240"/>
      <c r="J43" s="2240"/>
      <c r="K43" s="2332"/>
      <c r="L43" s="2240"/>
      <c r="M43" s="2240"/>
    </row>
    <row r="44" s="848" customFormat="1" ht="18" customHeight="1" spans="1:11">
      <c r="A44" s="2247"/>
      <c r="B44" s="2247"/>
      <c r="C44" s="2248"/>
      <c r="D44" s="2247"/>
      <c r="E44" s="2247"/>
      <c r="F44" s="2247"/>
      <c r="K44" s="2334"/>
    </row>
    <row r="45" s="848" customFormat="1" ht="18" customHeight="1" spans="1:18">
      <c r="A45" s="2247"/>
      <c r="B45" s="2247"/>
      <c r="C45" s="2248"/>
      <c r="D45" s="2247"/>
      <c r="E45" s="2247"/>
      <c r="F45" s="2247"/>
      <c r="J45" s="1131"/>
      <c r="O45" s="2421" t="s">
        <v>1247</v>
      </c>
      <c r="P45" s="2236"/>
      <c r="Q45" s="2236"/>
      <c r="R45" s="2236"/>
    </row>
    <row r="46" s="848" customFormat="1" ht="13.95" spans="1:18">
      <c r="A46" s="2252" t="s">
        <v>1248</v>
      </c>
      <c r="C46" s="2253">
        <f ca="1">C68-C40</f>
        <v>-15952</v>
      </c>
      <c r="D46" s="2254" t="str">
        <f>C2</f>
        <v>万元</v>
      </c>
      <c r="E46" s="2247"/>
      <c r="F46" s="2247"/>
      <c r="I46" s="2336" t="s">
        <v>1249</v>
      </c>
      <c r="J46" s="2337"/>
      <c r="K46" s="2338"/>
      <c r="L46" s="2339" t="str">
        <f ca="1">IF(M47="住宅",0,IF(L48&gt;J51,L60,J60))</f>
        <v>0</v>
      </c>
      <c r="O46" s="2340" t="s">
        <v>1250</v>
      </c>
      <c r="P46" s="2341" t="s">
        <v>1251</v>
      </c>
      <c r="Q46" s="2388" t="s">
        <v>1252</v>
      </c>
      <c r="R46" s="2388" t="s">
        <v>1253</v>
      </c>
    </row>
    <row r="47" s="848" customFormat="1" ht="13.95" spans="1:18">
      <c r="A47" s="2255" t="s">
        <v>1153</v>
      </c>
      <c r="B47" s="2256" t="s">
        <v>1154</v>
      </c>
      <c r="C47" s="2416" t="s">
        <v>1155</v>
      </c>
      <c r="D47" s="2256" t="s">
        <v>1156</v>
      </c>
      <c r="E47" s="2257" t="s">
        <v>1157</v>
      </c>
      <c r="F47" s="1090"/>
      <c r="G47" s="2258"/>
      <c r="I47" s="2342" t="s">
        <v>1254</v>
      </c>
      <c r="J47" s="2343" t="s">
        <v>1255</v>
      </c>
      <c r="K47" s="2344" t="s">
        <v>1256</v>
      </c>
      <c r="L47" s="2345">
        <f ca="1">INDIRECT("'数据-取费表'!d"&amp;$G$1)</f>
        <v>50</v>
      </c>
      <c r="M47" s="2346" t="str">
        <f>IF(ISNUMBER(FIND("住宅",C1)),"住宅","非住宅")</f>
        <v>非住宅</v>
      </c>
      <c r="O47" s="2347" t="s">
        <v>1005</v>
      </c>
      <c r="P47" s="2348" t="s">
        <v>1257</v>
      </c>
      <c r="Q47" s="2389">
        <f ca="1">C40+J29</f>
        <v>14528</v>
      </c>
      <c r="R47" s="2389" t="s">
        <v>1258</v>
      </c>
    </row>
    <row r="48" s="848" customFormat="1" ht="41.55" spans="1:18">
      <c r="A48" s="2259" t="s">
        <v>1259</v>
      </c>
      <c r="B48" s="2152" t="s">
        <v>1158</v>
      </c>
      <c r="C48" s="1098">
        <f ca="1">C49+C53+C55</f>
        <v>0</v>
      </c>
      <c r="D48" s="2260"/>
      <c r="E48" s="2261"/>
      <c r="F48" s="2262"/>
      <c r="G48" s="2258"/>
      <c r="H48" s="2263"/>
      <c r="I48" s="2349" t="s">
        <v>1260</v>
      </c>
      <c r="J48" s="2350" t="s">
        <v>1261</v>
      </c>
      <c r="K48" s="2351" t="s">
        <v>1262</v>
      </c>
      <c r="L48" s="2352">
        <f ca="1">INDIRECT("'数据-取费表'!f"&amp;$G$1)</f>
        <v>20.67</v>
      </c>
      <c r="O48" s="2347" t="s">
        <v>1008</v>
      </c>
      <c r="P48" s="2348" t="s">
        <v>1263</v>
      </c>
      <c r="Q48" s="2389" t="str">
        <f ca="1">J60</f>
        <v>0</v>
      </c>
      <c r="R48" s="2389" t="s">
        <v>1264</v>
      </c>
    </row>
    <row r="49" s="848" customFormat="1" ht="13.95" spans="1:18">
      <c r="A49" s="2264" t="s">
        <v>1265</v>
      </c>
      <c r="B49" s="2265" t="s">
        <v>1266</v>
      </c>
      <c r="C49" s="2266">
        <f ca="1">ROUND(F49*F51*F50*(1-F52)/10000,0)</f>
        <v>0</v>
      </c>
      <c r="D49" s="2267" t="s">
        <v>1163</v>
      </c>
      <c r="E49" s="2268" t="s">
        <v>1267</v>
      </c>
      <c r="F49" s="2269"/>
      <c r="G49" s="2270"/>
      <c r="H49" s="2263"/>
      <c r="I49" s="2349" t="s">
        <v>1268</v>
      </c>
      <c r="J49" s="2353">
        <v>2010</v>
      </c>
      <c r="K49" s="2351" t="s">
        <v>1269</v>
      </c>
      <c r="L49" s="2354"/>
      <c r="O49" s="2355" t="s">
        <v>1270</v>
      </c>
      <c r="P49" s="2348" t="s">
        <v>1271</v>
      </c>
      <c r="Q49" s="2389">
        <f ca="1">C29</f>
        <v>7469</v>
      </c>
      <c r="R49" s="2389" t="s">
        <v>1258</v>
      </c>
    </row>
    <row r="50" s="848" customFormat="1" ht="13.95" spans="1:18">
      <c r="A50" s="2271"/>
      <c r="B50" s="2272"/>
      <c r="C50" s="2417"/>
      <c r="D50" s="2274"/>
      <c r="E50" s="2275" t="s">
        <v>1164</v>
      </c>
      <c r="F50" s="2276">
        <f ca="1">F7</f>
        <v>10109.15</v>
      </c>
      <c r="H50" s="2263"/>
      <c r="I50" s="2349" t="s">
        <v>1272</v>
      </c>
      <c r="J50" s="2356">
        <f>SUMPRODUCT((I63:I65=J47)*(J62:L62=J48)*(J63:L65))</f>
        <v>50</v>
      </c>
      <c r="K50" s="2351" t="s">
        <v>1273</v>
      </c>
      <c r="L50" s="2354"/>
      <c r="M50" s="2357"/>
      <c r="O50" s="2355" t="s">
        <v>1274</v>
      </c>
      <c r="P50" s="2348" t="s">
        <v>1275</v>
      </c>
      <c r="Q50" s="2390" t="e">
        <f ca="1">J58</f>
        <v>#VALUE!</v>
      </c>
      <c r="R50" s="2389"/>
    </row>
    <row r="51" s="848" customFormat="1" ht="13.95" spans="1:18">
      <c r="A51" s="2277"/>
      <c r="B51" s="2272"/>
      <c r="C51" s="2273"/>
      <c r="D51" s="2274"/>
      <c r="E51" s="2278" t="s">
        <v>1165</v>
      </c>
      <c r="F51" s="2162">
        <f ca="1">F8</f>
        <v>365</v>
      </c>
      <c r="I51" s="2358" t="s">
        <v>1276</v>
      </c>
      <c r="J51" s="2359">
        <f>IF(J49="",J50,J49+J50-YEAR('数据-取费表'!B2))</f>
        <v>37</v>
      </c>
      <c r="K51" s="2360" t="s">
        <v>1277</v>
      </c>
      <c r="L51" s="2361">
        <f ca="1">ROUND(-PV(INDIRECT("'数据-取费表'!h"&amp;$G$1),J51,(C39-C13*C76),0),0)</f>
        <v>12490</v>
      </c>
      <c r="M51" s="2362"/>
      <c r="O51" s="2355" t="s">
        <v>1278</v>
      </c>
      <c r="P51" s="2348" t="s">
        <v>1279</v>
      </c>
      <c r="Q51" s="2390">
        <f>J52</f>
        <v>0.08</v>
      </c>
      <c r="R51" s="2389"/>
    </row>
    <row r="52" s="848" customFormat="1" ht="13.95" spans="1:18">
      <c r="A52" s="2277"/>
      <c r="B52" s="2272"/>
      <c r="C52" s="2273"/>
      <c r="D52" s="2274"/>
      <c r="E52" s="2278" t="s">
        <v>1166</v>
      </c>
      <c r="F52" s="2279"/>
      <c r="I52" s="2363" t="s">
        <v>1280</v>
      </c>
      <c r="J52" s="2364">
        <v>0.08</v>
      </c>
      <c r="K52" s="2363" t="s">
        <v>1281</v>
      </c>
      <c r="L52" s="2364"/>
      <c r="O52" s="2355" t="s">
        <v>1282</v>
      </c>
      <c r="P52" s="2348" t="s">
        <v>1283</v>
      </c>
      <c r="Q52" s="2389">
        <f ca="1">J53</f>
        <v>20.67</v>
      </c>
      <c r="R52" s="2389" t="s">
        <v>1284</v>
      </c>
    </row>
    <row r="53" s="848" customFormat="1" ht="36.75" spans="1:18">
      <c r="A53" s="2418" t="s">
        <v>1285</v>
      </c>
      <c r="B53" s="2419" t="s">
        <v>1167</v>
      </c>
      <c r="C53" s="1096">
        <f ca="1">ROUND(IF(F53="押一",C49/12*F11,IF(F53="押二",C49/12*2*F11,IF(F53="押三",C49/12*3*F11,C54*F11))),0)</f>
        <v>0</v>
      </c>
      <c r="D53" s="2173" t="s">
        <v>1168</v>
      </c>
      <c r="E53" s="2174" t="s">
        <v>1169</v>
      </c>
      <c r="F53" s="2175"/>
      <c r="I53" s="2365" t="s">
        <v>1286</v>
      </c>
      <c r="J53" s="2366">
        <f ca="1">IF(M47="住宅",IF(D1="——",MAX(J51,L48),MAX(J51,L48-'数据-取费表'!B24)),IF(D1="——",MIN(J51,L48),MIN(J51,L48-'数据-取费表'!B24)))</f>
        <v>20.67</v>
      </c>
      <c r="K53" s="2367" t="s">
        <v>1287</v>
      </c>
      <c r="L53" s="2368"/>
      <c r="O53" s="2347" t="s">
        <v>1109</v>
      </c>
      <c r="P53" s="2348" t="s">
        <v>1288</v>
      </c>
      <c r="Q53" s="2389">
        <f ca="1">Q47+Q48</f>
        <v>14528</v>
      </c>
      <c r="R53" s="2389" t="s">
        <v>1289</v>
      </c>
    </row>
    <row r="54" s="848" customFormat="1" ht="24.75" spans="1:18">
      <c r="A54" s="2420"/>
      <c r="B54" s="2177" t="s">
        <v>1171</v>
      </c>
      <c r="C54" s="2178"/>
      <c r="D54" s="2173"/>
      <c r="E54" s="2282"/>
      <c r="F54" s="2283"/>
      <c r="I54" s="23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70"/>
      <c r="K54" s="2370"/>
      <c r="L54" s="2370"/>
      <c r="M54" s="2270"/>
      <c r="O54" s="2335" t="s">
        <v>1290</v>
      </c>
      <c r="P54" s="2371"/>
      <c r="Q54" s="2371"/>
      <c r="R54" s="2371"/>
    </row>
    <row r="55" s="848" customFormat="1" ht="13.95" spans="1:18">
      <c r="A55" s="2181" t="s">
        <v>948</v>
      </c>
      <c r="B55" s="2182" t="s">
        <v>1173</v>
      </c>
      <c r="C55" s="2183"/>
      <c r="D55" s="2173"/>
      <c r="E55" s="2282"/>
      <c r="F55" s="2283"/>
      <c r="I55" s="2372" t="s">
        <v>1291</v>
      </c>
      <c r="J55" s="2373" t="e">
        <f ca="1">ROUND(IF(J47="钢混",J57/J50,1-(1-2%)*(J50-J57)/J50),3)</f>
        <v>#VALUE!</v>
      </c>
      <c r="K55" s="2374" t="s">
        <v>1292</v>
      </c>
      <c r="L55" s="2375"/>
      <c r="O55" s="2340" t="s">
        <v>1250</v>
      </c>
      <c r="P55" s="2341" t="s">
        <v>1251</v>
      </c>
      <c r="Q55" s="2388" t="s">
        <v>1252</v>
      </c>
      <c r="R55" s="2388" t="s">
        <v>1253</v>
      </c>
    </row>
    <row r="56" s="848" customFormat="1" ht="37.5" spans="1:18">
      <c r="A56" s="2284">
        <v>2</v>
      </c>
      <c r="B56" s="2285" t="s">
        <v>1174</v>
      </c>
      <c r="C56" s="430">
        <f ca="1">C13</f>
        <v>5975</v>
      </c>
      <c r="D56" s="2286"/>
      <c r="E56" s="2287"/>
      <c r="F56" s="2283"/>
      <c r="I56" s="2376" t="s">
        <v>1293</v>
      </c>
      <c r="J56" s="2377" t="s">
        <v>558</v>
      </c>
      <c r="K56" s="2349" t="s">
        <v>1294</v>
      </c>
      <c r="L56" s="2352" t="str">
        <f ca="1">IF(L48&lt;J51,"——",L48-J53)</f>
        <v>——</v>
      </c>
      <c r="O56" s="2347" t="s">
        <v>1005</v>
      </c>
      <c r="P56" s="2348" t="s">
        <v>1257</v>
      </c>
      <c r="Q56" s="2389">
        <f ca="1">C40+J29</f>
        <v>14528</v>
      </c>
      <c r="R56" s="2389" t="s">
        <v>1258</v>
      </c>
    </row>
    <row r="57" s="848" customFormat="1" ht="24.75" spans="1:18">
      <c r="A57" s="2288"/>
      <c r="B57" s="2289" t="s">
        <v>1237</v>
      </c>
      <c r="C57" s="440">
        <f ca="1">C29</f>
        <v>7469</v>
      </c>
      <c r="D57" s="2290"/>
      <c r="E57" s="2291"/>
      <c r="F57" s="2292"/>
      <c r="I57" s="2378" t="s">
        <v>1295</v>
      </c>
      <c r="J57" s="2379" t="str">
        <f ca="1">IF(OR(M47="住宅",J51&lt;L48,J56="是"),"——",J51-L48)</f>
        <v>——</v>
      </c>
      <c r="K57" s="2349" t="s">
        <v>1296</v>
      </c>
      <c r="L57" s="2352" t="str">
        <f ca="1">IF(L48&lt;J51,"——",IF(L55="比较法",L49,IF(L55="基准地价",L50,L51)))</f>
        <v>——</v>
      </c>
      <c r="O57" s="2347" t="s">
        <v>1008</v>
      </c>
      <c r="P57" s="2348" t="s">
        <v>1297</v>
      </c>
      <c r="Q57" s="2389">
        <f ca="1">L60</f>
        <v>0</v>
      </c>
      <c r="R57" s="2389" t="s">
        <v>1298</v>
      </c>
    </row>
    <row r="58" s="848" customFormat="1" ht="24.75" spans="1:18">
      <c r="A58" s="2293" t="s">
        <v>1182</v>
      </c>
      <c r="B58" s="2285" t="s">
        <v>1183</v>
      </c>
      <c r="C58" s="1096">
        <f ca="1">ROUND(C59+C64+C65+C66,0)</f>
        <v>122</v>
      </c>
      <c r="D58" s="2294" t="s">
        <v>1184</v>
      </c>
      <c r="E58" s="2295"/>
      <c r="F58" s="2262"/>
      <c r="I58" s="2378" t="s">
        <v>1299</v>
      </c>
      <c r="J58" s="2380" t="e">
        <f ca="1">IF(J55&lt;0.4,0.4,J55)</f>
        <v>#VALUE!</v>
      </c>
      <c r="K58" s="2360" t="s">
        <v>1300</v>
      </c>
      <c r="L58" s="2352" t="e">
        <f ca="1">ROUND(POWER(1+L52,L47-L48)*(POWER(1+L52,L48)-1)/(POWER(1+L52,L47)-1),4)</f>
        <v>#DIV/0!</v>
      </c>
      <c r="O58" s="2355" t="s">
        <v>1270</v>
      </c>
      <c r="P58" s="2348" t="s">
        <v>1301</v>
      </c>
      <c r="Q58" s="2389">
        <f>IF(L55="比较法",L49,IF(L55="基准地价",L50,0))</f>
        <v>0</v>
      </c>
      <c r="R58" s="2389" t="s">
        <v>1258</v>
      </c>
    </row>
    <row r="59" s="848" customFormat="1" ht="24.75" spans="1:18">
      <c r="A59" s="2192" t="s">
        <v>899</v>
      </c>
      <c r="B59" s="2289" t="s">
        <v>1189</v>
      </c>
      <c r="C59" s="2216">
        <f ca="1">ROUND(IF(AND(项目基本情况!B11="自然人",项目基本情况!B10="北京市"),C49*F59/(1+'数据-取费表'!C42),C60+C61+C62),0)</f>
        <v>1</v>
      </c>
      <c r="D59" s="2296" t="s">
        <v>1190</v>
      </c>
      <c r="E59" s="2297" t="s">
        <v>1191</v>
      </c>
      <c r="F59" s="2218" t="str">
        <f ca="1">IF(项目基本情况!B11="企业","——",IF('数据-取费表'!B10="住宅",IF(F49*F50*F51/12/(1+'数据-取费表'!F30)&gt;100000,4%,2.5%),IF(F49*F50*F51/12/(1+'数据-取费表'!F30)&gt;100000,12%,7%)))</f>
        <v>——</v>
      </c>
      <c r="I59" s="2378" t="s">
        <v>1302</v>
      </c>
      <c r="J59" s="2379" t="str">
        <f ca="1">IF(OR(M47="住宅",J51&lt;L48,J56="是"),"——",ROUND(C29*J58,0))</f>
        <v>——</v>
      </c>
      <c r="K59" s="23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52" t="e">
        <f ca="1">ROUND(IF(D1="在建（套用方法）",M59,IF(D1="土地（套用方法）",N59,POWER(1+L52,L47-J51)*(POWER(1+L52,J51)-1)/(POWER(1+L52,L47)-1))),4)</f>
        <v>#DIV/0!</v>
      </c>
      <c r="M59" s="2346" t="e">
        <f ca="1">ROUND(POWER(1+L52,L47-(J51+'数据-取费表'!B24))*(POWER(1+L52,(J51+'数据-取费表'!B24))-1)/(POWER(1+L52,L47)-1),4)</f>
        <v>#DIV/0!</v>
      </c>
      <c r="N59" s="2346" t="e">
        <f ca="1">ROUND(POWER(1+L52,L47-(J51+'数据-取费表'!B20))*(POWER(1+L52,(J51+'数据-取费表'!B20))-1)/(POWER(1+L52,L47)-1),4)</f>
        <v>#DIV/0!</v>
      </c>
      <c r="O59" s="2355" t="s">
        <v>1274</v>
      </c>
      <c r="P59" s="2348" t="s">
        <v>1303</v>
      </c>
      <c r="Q59" s="2390">
        <f>L52</f>
        <v>0</v>
      </c>
      <c r="R59" s="2389"/>
    </row>
    <row r="60" s="848" customFormat="1" ht="17.55" spans="1:18">
      <c r="A60" s="2192" t="s">
        <v>922</v>
      </c>
      <c r="B60" s="2289" t="s">
        <v>1193</v>
      </c>
      <c r="C60" s="1097">
        <f ca="1">IF(项目基本情况!B11="自然人","——",ROUND(C48*F60/(1+'数据-取费表'!C42),2))</f>
        <v>0</v>
      </c>
      <c r="D60" s="2297" t="s">
        <v>1194</v>
      </c>
      <c r="E60" s="2289" t="s">
        <v>1181</v>
      </c>
      <c r="F60" s="2208">
        <f t="shared" ref="F60:F66" si="0">F32</f>
        <v>0.056</v>
      </c>
      <c r="I60" s="2381" t="s">
        <v>1304</v>
      </c>
      <c r="J60" s="2382" t="str">
        <f ca="1">IF(OR(M47="住宅",J51&lt;L48,J56="是"),"0",ROUND(J59/(1+J52)^J53,0))</f>
        <v>0</v>
      </c>
      <c r="K60" s="2383" t="s">
        <v>1305</v>
      </c>
      <c r="L60" s="2382">
        <f ca="1">IF(OR(M47="住宅",L48&lt;J51),0,ROUND(L57*(L58/L59-1),0))</f>
        <v>0</v>
      </c>
      <c r="O60" s="2355" t="s">
        <v>1278</v>
      </c>
      <c r="P60" s="2348" t="s">
        <v>1306</v>
      </c>
      <c r="Q60" s="2389" t="e">
        <f ca="1">L58</f>
        <v>#DIV/0!</v>
      </c>
      <c r="R60" s="2389" t="s">
        <v>1307</v>
      </c>
    </row>
    <row r="61" s="848" customFormat="1" ht="13.95" spans="1:18">
      <c r="A61" s="2192" t="s">
        <v>926</v>
      </c>
      <c r="B61" s="2289" t="s">
        <v>1197</v>
      </c>
      <c r="C61" s="1097">
        <f ca="1">IF(项目基本情况!B11="自然人","——",IF(D61="按租金收入计税",ROUND(C49*F61/(1+'数据-取费表'!C42),2),IF(D61="按房产原值计税",ROUND(C57*F61*0.7,2),INDIRECT("'数据-取费表'!Aj"&amp;$G$1))))</f>
        <v>0</v>
      </c>
      <c r="D61" s="2220" t="s">
        <v>1198</v>
      </c>
      <c r="E61" s="2289" t="s">
        <v>1181</v>
      </c>
      <c r="F61" s="2201">
        <f t="shared" si="0"/>
        <v>0.12</v>
      </c>
      <c r="I61" s="2236"/>
      <c r="J61" s="2236"/>
      <c r="K61" s="2236"/>
      <c r="L61" s="2236"/>
      <c r="O61" s="2355" t="s">
        <v>1282</v>
      </c>
      <c r="P61" s="2348" t="str">
        <f>K59</f>
        <v>建筑物剩余耐用年限下的土地年期修正系数Kn</v>
      </c>
      <c r="Q61" s="2389" t="e">
        <f ca="1">L59</f>
        <v>#DIV/0!</v>
      </c>
      <c r="R61" s="2389" t="s">
        <v>1308</v>
      </c>
    </row>
    <row r="62" s="848" customFormat="1" ht="13.95" spans="1:18">
      <c r="A62" s="2192" t="s">
        <v>929</v>
      </c>
      <c r="B62" s="2298" t="s">
        <v>1201</v>
      </c>
      <c r="C62" s="2222">
        <f ca="1">IF(项目基本情况!B11="自然人","——",ROUND(F62*F63/10000,2))</f>
        <v>0.96</v>
      </c>
      <c r="D62" s="2299" t="s">
        <v>1202</v>
      </c>
      <c r="E62" s="2289" t="s">
        <v>1203</v>
      </c>
      <c r="F62" s="2207">
        <f t="shared" si="0"/>
        <v>3</v>
      </c>
      <c r="I62" s="2384" t="s">
        <v>1309</v>
      </c>
      <c r="J62" s="2385" t="s">
        <v>1310</v>
      </c>
      <c r="K62" s="2385" t="s">
        <v>1311</v>
      </c>
      <c r="L62" s="2385" t="s">
        <v>1312</v>
      </c>
      <c r="M62" s="2386" t="s">
        <v>1313</v>
      </c>
      <c r="O62" s="2347" t="s">
        <v>1109</v>
      </c>
      <c r="P62" s="2348" t="s">
        <v>1288</v>
      </c>
      <c r="Q62" s="2389">
        <f ca="1">Q56+Q57</f>
        <v>14528</v>
      </c>
      <c r="R62" s="2389" t="s">
        <v>1289</v>
      </c>
    </row>
    <row r="63" s="848" customFormat="1" ht="13.95" spans="1:18">
      <c r="A63" s="2205"/>
      <c r="B63" s="2300"/>
      <c r="C63" s="2226"/>
      <c r="D63" s="2301"/>
      <c r="E63" s="2289" t="s">
        <v>1207</v>
      </c>
      <c r="F63" s="2162">
        <f ca="1" t="shared" si="0"/>
        <v>3208.2</v>
      </c>
      <c r="I63" s="2384" t="s">
        <v>1314</v>
      </c>
      <c r="J63" s="2385">
        <v>70</v>
      </c>
      <c r="K63" s="2385">
        <v>50</v>
      </c>
      <c r="L63" s="2385">
        <v>80</v>
      </c>
      <c r="M63" s="2387">
        <v>0.02</v>
      </c>
      <c r="O63" s="2335" t="s">
        <v>1315</v>
      </c>
      <c r="P63" s="2371"/>
      <c r="Q63" s="2371"/>
      <c r="R63" s="2371"/>
    </row>
    <row r="64" s="848" customFormat="1" ht="13.95" spans="1:18">
      <c r="A64" s="2192" t="s">
        <v>903</v>
      </c>
      <c r="B64" s="2289" t="s">
        <v>1209</v>
      </c>
      <c r="C64" s="1097">
        <f ca="1">ROUND(C57*F64,2)</f>
        <v>112.04</v>
      </c>
      <c r="D64" s="2297" t="s">
        <v>1242</v>
      </c>
      <c r="E64" s="2289" t="s">
        <v>1181</v>
      </c>
      <c r="F64" s="2229">
        <f ca="1" t="shared" si="0"/>
        <v>0.015</v>
      </c>
      <c r="I64" s="2384" t="s">
        <v>1316</v>
      </c>
      <c r="J64" s="2385">
        <v>50</v>
      </c>
      <c r="K64" s="2385">
        <v>35</v>
      </c>
      <c r="L64" s="2385">
        <v>60</v>
      </c>
      <c r="M64" s="2386">
        <v>0</v>
      </c>
      <c r="O64" s="2340" t="s">
        <v>1250</v>
      </c>
      <c r="P64" s="2341" t="s">
        <v>1251</v>
      </c>
      <c r="Q64" s="2388" t="s">
        <v>1252</v>
      </c>
      <c r="R64" s="2388" t="s">
        <v>1253</v>
      </c>
    </row>
    <row r="65" s="848" customFormat="1" ht="13.95" spans="1:18">
      <c r="A65" s="2192" t="s">
        <v>948</v>
      </c>
      <c r="B65" s="2289" t="s">
        <v>1213</v>
      </c>
      <c r="C65" s="1097">
        <f ca="1">ROUND(C56*F65,2)</f>
        <v>8.96</v>
      </c>
      <c r="D65" s="2297" t="s">
        <v>1214</v>
      </c>
      <c r="E65" s="2289" t="s">
        <v>1181</v>
      </c>
      <c r="F65" s="2230">
        <f ca="1" t="shared" si="0"/>
        <v>0.0015</v>
      </c>
      <c r="I65" s="2384" t="s">
        <v>1317</v>
      </c>
      <c r="J65" s="2385">
        <v>40</v>
      </c>
      <c r="K65" s="2385">
        <v>30</v>
      </c>
      <c r="L65" s="2385">
        <v>50</v>
      </c>
      <c r="M65" s="2387">
        <v>0.02</v>
      </c>
      <c r="O65" s="2347" t="s">
        <v>1005</v>
      </c>
      <c r="P65" s="2348" t="s">
        <v>1257</v>
      </c>
      <c r="Q65" s="2389">
        <f ca="1">C40+J29</f>
        <v>14528</v>
      </c>
      <c r="R65" s="2389" t="s">
        <v>1258</v>
      </c>
    </row>
    <row r="66" s="848" customFormat="1" ht="17.55" spans="1:18">
      <c r="A66" s="2192" t="s">
        <v>951</v>
      </c>
      <c r="B66" s="2289" t="s">
        <v>1199</v>
      </c>
      <c r="C66" s="1097">
        <f ca="1">ROUND(C48*F66,2)</f>
        <v>0</v>
      </c>
      <c r="D66" s="2297" t="s">
        <v>1217</v>
      </c>
      <c r="E66" s="2289" t="s">
        <v>1181</v>
      </c>
      <c r="F66" s="2171">
        <f ca="1" t="shared" si="0"/>
        <v>0.01</v>
      </c>
      <c r="O66" s="2347" t="s">
        <v>1008</v>
      </c>
      <c r="P66" s="2348" t="s">
        <v>1297</v>
      </c>
      <c r="Q66" s="2389">
        <f ca="1">L60</f>
        <v>0</v>
      </c>
      <c r="R66" s="2389" t="s">
        <v>1298</v>
      </c>
    </row>
    <row r="67" s="848" customFormat="1" ht="24.75" spans="1:18">
      <c r="A67" s="2284" t="s">
        <v>1220</v>
      </c>
      <c r="B67" s="2391" t="s">
        <v>1221</v>
      </c>
      <c r="C67" s="1096">
        <f ca="1">C48-C58</f>
        <v>-122</v>
      </c>
      <c r="D67" s="2296" t="s">
        <v>1222</v>
      </c>
      <c r="E67" s="2392"/>
      <c r="F67" s="2393"/>
      <c r="O67" s="2355" t="s">
        <v>1270</v>
      </c>
      <c r="P67" s="2348" t="s">
        <v>1301</v>
      </c>
      <c r="Q67" s="2413">
        <f ca="1">L51</f>
        <v>12490</v>
      </c>
      <c r="R67" s="2389" t="s">
        <v>1318</v>
      </c>
    </row>
    <row r="68" s="848" customFormat="1" ht="17.55" spans="1:18">
      <c r="A68" s="2394" t="s">
        <v>1226</v>
      </c>
      <c r="B68" s="2395" t="s">
        <v>1243</v>
      </c>
      <c r="C68" s="2235">
        <f ca="1">ROUND(C67*(1-((1+F70)/(1+F68))^F69)/(F68-F70),0)</f>
        <v>-1424</v>
      </c>
      <c r="D68" s="2299" t="s">
        <v>1228</v>
      </c>
      <c r="E68" s="2289" t="s">
        <v>1229</v>
      </c>
      <c r="F68" s="2171">
        <f ca="1">F40</f>
        <v>0.06</v>
      </c>
      <c r="O68" s="2355" t="s">
        <v>1274</v>
      </c>
      <c r="P68" s="2412" t="s">
        <v>1319</v>
      </c>
      <c r="Q68" s="2389">
        <f ca="1">ROUND(Q69-Q70*Q71,0)</f>
        <v>797</v>
      </c>
      <c r="R68" s="2389" t="s">
        <v>1320</v>
      </c>
    </row>
    <row r="69" s="848" customFormat="1" ht="13.95" spans="1:18">
      <c r="A69" s="2396"/>
      <c r="B69" s="2397"/>
      <c r="C69" s="2169"/>
      <c r="D69" s="2398" t="s">
        <v>1232</v>
      </c>
      <c r="E69" s="2289" t="s">
        <v>1233</v>
      </c>
      <c r="F69" s="2239">
        <f ca="1">F41</f>
        <v>20.67</v>
      </c>
      <c r="O69" s="2355" t="s">
        <v>1321</v>
      </c>
      <c r="P69" s="2412" t="s">
        <v>1322</v>
      </c>
      <c r="Q69" s="2389">
        <f ca="1">C39</f>
        <v>1245</v>
      </c>
      <c r="R69" s="2389" t="s">
        <v>1258</v>
      </c>
    </row>
    <row r="70" s="848" customFormat="1" ht="13.95" spans="1:18">
      <c r="A70" s="2399"/>
      <c r="B70" s="2400"/>
      <c r="C70" s="2189"/>
      <c r="D70" s="2301"/>
      <c r="E70" s="2289" t="s">
        <v>1236</v>
      </c>
      <c r="F70" s="2279"/>
      <c r="O70" s="2355" t="s">
        <v>1323</v>
      </c>
      <c r="P70" s="2412" t="s">
        <v>1324</v>
      </c>
      <c r="Q70" s="2389">
        <f ca="1">C13</f>
        <v>5975</v>
      </c>
      <c r="R70" s="2389" t="s">
        <v>1258</v>
      </c>
    </row>
    <row r="71" s="848" customFormat="1" ht="13.95" spans="1:18">
      <c r="A71" s="2401" t="s">
        <v>1238</v>
      </c>
      <c r="B71" s="2402" t="s">
        <v>1244</v>
      </c>
      <c r="C71" s="2243">
        <f ca="1">ROUND(C68*10000/F71,0)</f>
        <v>-1409</v>
      </c>
      <c r="D71" s="2403" t="s">
        <v>1245</v>
      </c>
      <c r="E71" s="2404" t="s">
        <v>1246</v>
      </c>
      <c r="F71" s="2246">
        <f ca="1">F43</f>
        <v>10109.15</v>
      </c>
      <c r="O71" s="2355" t="s">
        <v>1325</v>
      </c>
      <c r="P71" s="2412" t="s">
        <v>1326</v>
      </c>
      <c r="Q71" s="2390">
        <f ca="1">C76</f>
        <v>0.075</v>
      </c>
      <c r="R71" s="2389"/>
    </row>
    <row r="72" s="848" customFormat="1" ht="13.95" spans="2:18">
      <c r="B72" s="1131"/>
      <c r="C72" s="1131"/>
      <c r="O72" s="2355" t="s">
        <v>1278</v>
      </c>
      <c r="P72" s="2348" t="s">
        <v>1303</v>
      </c>
      <c r="Q72" s="2390">
        <f>L52</f>
        <v>0</v>
      </c>
      <c r="R72" s="2389"/>
    </row>
    <row r="73" ht="17.55" spans="1:18">
      <c r="A73" s="848"/>
      <c r="B73" s="1131"/>
      <c r="C73" s="1131"/>
      <c r="D73" s="848"/>
      <c r="E73" s="848"/>
      <c r="F73" s="848"/>
      <c r="O73" s="2355" t="s">
        <v>1282</v>
      </c>
      <c r="P73" s="2348" t="s">
        <v>1306</v>
      </c>
      <c r="Q73" s="2389" t="e">
        <f ca="1">L58</f>
        <v>#DIV/0!</v>
      </c>
      <c r="R73" s="2389" t="s">
        <v>1307</v>
      </c>
    </row>
    <row r="74" ht="13.95" spans="1:18">
      <c r="A74" s="848"/>
      <c r="B74" s="475" t="s">
        <v>1327</v>
      </c>
      <c r="C74" s="2405"/>
      <c r="D74" s="848"/>
      <c r="E74" s="848"/>
      <c r="F74" s="848"/>
      <c r="O74" s="2355" t="s">
        <v>1328</v>
      </c>
      <c r="P74" s="2348" t="str">
        <f>K59</f>
        <v>建筑物剩余耐用年限下的土地年期修正系数Kn</v>
      </c>
      <c r="Q74" s="2389" t="e">
        <f ca="1">L59</f>
        <v>#DIV/0!</v>
      </c>
      <c r="R74" s="2389" t="s">
        <v>1308</v>
      </c>
    </row>
    <row r="75" ht="13.95" spans="1:18">
      <c r="A75" s="848"/>
      <c r="B75" s="2406" t="s">
        <v>1329</v>
      </c>
      <c r="C75" s="2407">
        <f ca="1">ROUND(C13*C76,0)</f>
        <v>448</v>
      </c>
      <c r="D75" s="848"/>
      <c r="E75" s="848"/>
      <c r="F75" s="848"/>
      <c r="K75" s="2334"/>
      <c r="L75" s="848"/>
      <c r="O75" s="2347" t="s">
        <v>1109</v>
      </c>
      <c r="P75" s="2348" t="s">
        <v>1288</v>
      </c>
      <c r="Q75" s="2389">
        <f ca="1">Q65+Q66</f>
        <v>14528</v>
      </c>
      <c r="R75" s="2389" t="s">
        <v>1289</v>
      </c>
    </row>
    <row r="76" spans="2:12">
      <c r="B76" s="624" t="s">
        <v>1330</v>
      </c>
      <c r="C76" s="2408">
        <f ca="1">INDIRECT("'数据-取费表'!j"&amp;$G$1)</f>
        <v>0.075</v>
      </c>
      <c r="I76" s="848"/>
      <c r="J76" s="848"/>
      <c r="K76" s="2334"/>
      <c r="L76" s="848"/>
    </row>
    <row r="77" spans="2:12">
      <c r="B77" s="2409" t="s">
        <v>1331</v>
      </c>
      <c r="C77" s="2410"/>
      <c r="I77" s="848"/>
      <c r="J77" s="848"/>
      <c r="K77" s="2334"/>
      <c r="L77" s="848"/>
    </row>
    <row r="78" spans="2:3">
      <c r="B78" s="473" t="s">
        <v>1332</v>
      </c>
      <c r="C78" s="2411"/>
    </row>
    <row r="79" spans="2:3">
      <c r="B79" s="2406" t="s">
        <v>1333</v>
      </c>
      <c r="C79" s="476">
        <f ca="1">1-C80</f>
        <v>0.64</v>
      </c>
    </row>
    <row r="80" spans="2:3">
      <c r="B80" s="2406" t="s">
        <v>1334</v>
      </c>
      <c r="C80" s="476">
        <f ca="1">ROUND(C75/C39,3)</f>
        <v>0.36</v>
      </c>
    </row>
    <row r="81" spans="2:3">
      <c r="B81" s="473" t="s">
        <v>1335</v>
      </c>
      <c r="C81" s="440"/>
    </row>
    <row r="82" spans="2:3">
      <c r="B82" s="475" t="s">
        <v>1085</v>
      </c>
      <c r="C82" s="477">
        <f ca="1">1-C83</f>
        <v>0.589</v>
      </c>
    </row>
    <row r="83" spans="2:3">
      <c r="B83" s="475" t="s">
        <v>1086</v>
      </c>
      <c r="C83" s="476">
        <f ca="1">ROUND(C13/C40,3)</f>
        <v>0.411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1034" customWidth="1"/>
    <col min="3" max="3" width="11.8888888888889" style="1034"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129" customWidth="1"/>
    <col min="12" max="12" width="16.3333333333333" style="386" customWidth="1"/>
    <col min="13" max="13" width="13" style="386" customWidth="1"/>
    <col min="14" max="14" width="13.7777777777778" style="848" customWidth="1"/>
    <col min="15" max="15" width="5.11111111111111" style="848" customWidth="1"/>
    <col min="16" max="16" width="25.7777777777778" style="848" customWidth="1"/>
    <col min="17" max="17" width="13.7777777777778" style="848" customWidth="1"/>
    <col min="18" max="18" width="20.4444444444444" style="848" customWidth="1"/>
    <col min="19" max="19" width="13.2222222222222" style="848" customWidth="1"/>
    <col min="20" max="37" width="9" style="848"/>
    <col min="38" max="16384" width="9" style="386"/>
  </cols>
  <sheetData>
    <row r="1" s="2127" customFormat="1" ht="21" spans="1:37">
      <c r="A1" s="2130" t="s">
        <v>1146</v>
      </c>
      <c r="B1" s="1422"/>
      <c r="C1" s="2131"/>
      <c r="D1" s="2132" t="s">
        <v>124</v>
      </c>
      <c r="E1" s="2133" t="s">
        <v>1147</v>
      </c>
      <c r="F1" s="2134">
        <f ca="1">J53</f>
        <v>0</v>
      </c>
      <c r="G1" s="2135">
        <f>MATCH(C1,'数据-取费表'!A6:A16,0)+5</f>
        <v>7</v>
      </c>
      <c r="H1" s="2136"/>
      <c r="I1" s="2302"/>
      <c r="J1" s="2302"/>
      <c r="K1" s="2303"/>
      <c r="L1" s="2302"/>
      <c r="M1" s="2302"/>
      <c r="N1" s="2304"/>
      <c r="O1" s="2304"/>
      <c r="P1" s="2304"/>
      <c r="Q1" s="2304"/>
      <c r="R1" s="2304"/>
      <c r="S1" s="2304"/>
      <c r="T1" s="2304"/>
      <c r="U1" s="2304"/>
      <c r="V1" s="2304"/>
      <c r="W1" s="2304"/>
      <c r="X1" s="2304"/>
      <c r="Y1" s="2304"/>
      <c r="Z1" s="2304"/>
      <c r="AA1" s="2304"/>
      <c r="AB1" s="2304"/>
      <c r="AC1" s="2304"/>
      <c r="AD1" s="2304"/>
      <c r="AE1" s="2304"/>
      <c r="AF1" s="2304"/>
      <c r="AG1" s="2304"/>
      <c r="AH1" s="2304"/>
      <c r="AI1" s="2304"/>
      <c r="AJ1" s="2304"/>
      <c r="AK1" s="2304"/>
    </row>
    <row r="2" ht="18" customHeight="1" spans="1:13">
      <c r="A2" s="1949" t="s">
        <v>1148</v>
      </c>
      <c r="B2" s="2137" t="e">
        <f ca="1">ROUND(D2/10000,4)</f>
        <v>#DIV/0!</v>
      </c>
      <c r="C2" s="2138" t="s">
        <v>1149</v>
      </c>
      <c r="D2" s="2139" t="e">
        <f ca="1">C40+J29+L46</f>
        <v>#DIV/0!</v>
      </c>
      <c r="E2" s="2140" t="s">
        <v>1336</v>
      </c>
      <c r="F2" s="2141"/>
      <c r="G2" s="2142"/>
      <c r="H2" s="2143"/>
      <c r="I2" s="2143"/>
      <c r="J2" s="2143"/>
      <c r="K2" s="2305"/>
      <c r="L2" s="2143"/>
      <c r="M2" s="2143"/>
    </row>
    <row r="3" ht="18" customHeight="1" spans="1:13">
      <c r="A3" s="2144" t="s">
        <v>1150</v>
      </c>
      <c r="B3" s="2145">
        <f ca="1">IF(ISERROR(D2/F43),0,ROUND(D2/F43,0))</f>
        <v>0</v>
      </c>
      <c r="C3" s="2138" t="s">
        <v>1151</v>
      </c>
      <c r="D3" s="2138"/>
      <c r="E3" s="2140"/>
      <c r="F3" s="2141"/>
      <c r="G3" s="2142"/>
      <c r="H3" s="2146" t="s">
        <v>1152</v>
      </c>
      <c r="I3" s="2306"/>
      <c r="J3" s="2306"/>
      <c r="K3" s="2307"/>
      <c r="L3" s="2306"/>
      <c r="M3" s="2306"/>
    </row>
    <row r="4" ht="18" customHeight="1" spans="1:13">
      <c r="A4" s="2147" t="s">
        <v>1153</v>
      </c>
      <c r="B4" s="2148" t="s">
        <v>1154</v>
      </c>
      <c r="C4" s="2148" t="s">
        <v>1155</v>
      </c>
      <c r="D4" s="2148" t="s">
        <v>1156</v>
      </c>
      <c r="E4" s="2149" t="s">
        <v>1157</v>
      </c>
      <c r="F4" s="2150"/>
      <c r="G4" s="848"/>
      <c r="H4" s="2147" t="s">
        <v>1153</v>
      </c>
      <c r="I4" s="2148" t="s">
        <v>1154</v>
      </c>
      <c r="J4" s="2148" t="s">
        <v>1155</v>
      </c>
      <c r="K4" s="2148" t="s">
        <v>1156</v>
      </c>
      <c r="L4" s="2149" t="s">
        <v>1157</v>
      </c>
      <c r="M4" s="2150"/>
    </row>
    <row r="5" ht="18" customHeight="1" spans="1:13">
      <c r="A5" s="2151">
        <v>1</v>
      </c>
      <c r="B5" s="2152" t="s">
        <v>1158</v>
      </c>
      <c r="C5" s="2153">
        <f ca="1">C6+C10+C12</f>
        <v>0</v>
      </c>
      <c r="D5" s="2154" t="s">
        <v>1159</v>
      </c>
      <c r="E5" s="2155"/>
      <c r="F5" s="2156"/>
      <c r="G5" s="848"/>
      <c r="H5" s="2151">
        <v>1</v>
      </c>
      <c r="I5" s="2152" t="s">
        <v>1158</v>
      </c>
      <c r="J5" s="2153">
        <f ca="1">J6+J10+J12</f>
        <v>0</v>
      </c>
      <c r="K5" s="2154" t="s">
        <v>1159</v>
      </c>
      <c r="L5" s="2155"/>
      <c r="M5" s="2156"/>
    </row>
    <row r="6" ht="18" customHeight="1" spans="1:13">
      <c r="A6" s="2157" t="s">
        <v>899</v>
      </c>
      <c r="B6" s="2158" t="s">
        <v>1160</v>
      </c>
      <c r="C6" s="2159">
        <f ca="1">ROUND(F6*F8*F7*(1-F9),0)</f>
        <v>0</v>
      </c>
      <c r="D6" s="2160" t="s">
        <v>1337</v>
      </c>
      <c r="E6" s="2161" t="s">
        <v>1162</v>
      </c>
      <c r="F6" s="2162">
        <f ca="1">INDIRECT("'数据-取费表'!u"&amp;$G$1)</f>
        <v>0</v>
      </c>
      <c r="G6" s="848"/>
      <c r="H6" s="2157" t="s">
        <v>899</v>
      </c>
      <c r="I6" s="2158" t="s">
        <v>1160</v>
      </c>
      <c r="J6" s="2235">
        <f ca="1">ROUND(M6*M8*M7*(1-M9),0)</f>
        <v>0</v>
      </c>
      <c r="K6" s="2308" t="s">
        <v>1338</v>
      </c>
      <c r="L6" s="2161" t="s">
        <v>1162</v>
      </c>
      <c r="M6" s="2162">
        <f ca="1">INDIRECT("'数据-取费表'!z"&amp;$G$1)</f>
        <v>0</v>
      </c>
    </row>
    <row r="7" ht="18" customHeight="1" spans="1:13">
      <c r="A7" s="2163"/>
      <c r="B7" s="2164"/>
      <c r="C7" s="2165"/>
      <c r="D7" s="2166"/>
      <c r="E7" s="2167" t="s">
        <v>1164</v>
      </c>
      <c r="F7" s="2162">
        <f ca="1">IF(INDIRECT("'数据-取费表'!ah"&amp;$G$1)="",INDIRECT("'数据-取费表'!k"&amp;$G$1),INDIRECT("'数据-取费表'!ah"&amp;$G$1))</f>
        <v>0</v>
      </c>
      <c r="G7" s="848"/>
      <c r="H7" s="2168"/>
      <c r="I7" s="2164"/>
      <c r="J7" s="2169"/>
      <c r="K7" s="2166"/>
      <c r="L7" s="2161" t="s">
        <v>1164</v>
      </c>
      <c r="M7" s="2162">
        <f ca="1">F7</f>
        <v>0</v>
      </c>
    </row>
    <row r="8" ht="18" customHeight="1" spans="1:13">
      <c r="A8" s="2168"/>
      <c r="B8" s="2164"/>
      <c r="C8" s="2169"/>
      <c r="D8" s="2166"/>
      <c r="E8" s="2161" t="s">
        <v>1165</v>
      </c>
      <c r="F8" s="2162">
        <f ca="1">INDIRECT("'数据-取费表'!ai"&amp;$G$1)</f>
        <v>0</v>
      </c>
      <c r="G8" s="848"/>
      <c r="H8" s="2168"/>
      <c r="I8" s="2164"/>
      <c r="J8" s="2169"/>
      <c r="K8" s="2166"/>
      <c r="L8" s="2161" t="s">
        <v>1165</v>
      </c>
      <c r="M8" s="2162">
        <f ca="1">INDIRECT("'数据-取费表'!ai"&amp;$G$1)</f>
        <v>0</v>
      </c>
    </row>
    <row r="9" ht="18" customHeight="1" spans="1:13">
      <c r="A9" s="2168"/>
      <c r="B9" s="2170"/>
      <c r="C9" s="2169"/>
      <c r="D9" s="2166"/>
      <c r="E9" s="2161" t="s">
        <v>1166</v>
      </c>
      <c r="F9" s="2171">
        <f ca="1">INDIRECT("'数据-取费表'!w"&amp;$G$1)</f>
        <v>0</v>
      </c>
      <c r="G9" s="848"/>
      <c r="H9" s="2168"/>
      <c r="I9" s="2170"/>
      <c r="J9" s="2169"/>
      <c r="K9" s="2166"/>
      <c r="L9" s="2174" t="s">
        <v>1166</v>
      </c>
      <c r="M9" s="2179">
        <f ca="1">INDIRECT("'数据-取费表'!ab"&amp;$G$1)</f>
        <v>0</v>
      </c>
    </row>
    <row r="10" ht="18" customHeight="1" spans="1:13">
      <c r="A10" s="2157" t="s">
        <v>903</v>
      </c>
      <c r="B10" s="2172" t="s">
        <v>1167</v>
      </c>
      <c r="C10" s="1096">
        <f ca="1">ROUND(IF(F10="押一",C6/12*F11,IF(F10="押二",C6/12*2*F11,IF(F10="押三",C6/12*3*F11,C11*F11))),0)</f>
        <v>0</v>
      </c>
      <c r="D10" s="2173" t="s">
        <v>1168</v>
      </c>
      <c r="E10" s="2174" t="s">
        <v>1169</v>
      </c>
      <c r="F10" s="2175"/>
      <c r="G10" s="848"/>
      <c r="H10" s="2157" t="s">
        <v>903</v>
      </c>
      <c r="I10" s="2172" t="s">
        <v>1167</v>
      </c>
      <c r="J10" s="2235">
        <f ca="1">ROUND(IF(M10="押一",J6/12*M11,IF(M10="押二",J6/12*2*M11,IF(M10="押三",J6/12*3*M11,J11*M11))),0)</f>
        <v>0</v>
      </c>
      <c r="K10" s="2309" t="s">
        <v>1339</v>
      </c>
      <c r="L10" s="2174" t="s">
        <v>1169</v>
      </c>
      <c r="M10" s="2175"/>
    </row>
    <row r="11" ht="18" customHeight="1" spans="1:13">
      <c r="A11" s="2176"/>
      <c r="B11" s="2177" t="s">
        <v>1340</v>
      </c>
      <c r="C11" s="2178"/>
      <c r="D11" s="2166"/>
      <c r="E11" s="2174" t="s">
        <v>1172</v>
      </c>
      <c r="F11" s="2179">
        <f ca="1">'数据-取费表'!B39</f>
        <v>0.015</v>
      </c>
      <c r="G11" s="848"/>
      <c r="H11" s="2180"/>
      <c r="I11" s="2177" t="s">
        <v>1341</v>
      </c>
      <c r="J11" s="2178"/>
      <c r="K11" s="2310"/>
      <c r="L11" s="2174" t="s">
        <v>1172</v>
      </c>
      <c r="M11" s="2311">
        <f ca="1">'数据-取费表'!B39</f>
        <v>0.015</v>
      </c>
    </row>
    <row r="12" ht="18" customHeight="1" spans="1:13">
      <c r="A12" s="2181" t="s">
        <v>948</v>
      </c>
      <c r="B12" s="2182" t="s">
        <v>1173</v>
      </c>
      <c r="C12" s="2183"/>
      <c r="D12" s="2184"/>
      <c r="E12" s="2185"/>
      <c r="F12" s="2186"/>
      <c r="G12" s="848"/>
      <c r="H12" s="2181" t="s">
        <v>948</v>
      </c>
      <c r="I12" s="2182" t="s">
        <v>1173</v>
      </c>
      <c r="J12" s="2183"/>
      <c r="K12" s="2312"/>
      <c r="L12" s="2185"/>
      <c r="M12" s="2313"/>
    </row>
    <row r="13" ht="18" customHeight="1" spans="1:13">
      <c r="A13" s="2187">
        <v>2</v>
      </c>
      <c r="B13" s="2188" t="s">
        <v>1174</v>
      </c>
      <c r="C13" s="2189">
        <f ca="1">ROUND(C29*F13,0)</f>
        <v>0</v>
      </c>
      <c r="D13" s="2190" t="s">
        <v>1175</v>
      </c>
      <c r="E13" s="2190" t="s">
        <v>1176</v>
      </c>
      <c r="F13" s="2191">
        <f ca="1">INDIRECT("'数据-取费表'!y"&amp;$G$1)</f>
        <v>0</v>
      </c>
      <c r="G13" s="848"/>
      <c r="H13" s="2187">
        <v>2</v>
      </c>
      <c r="I13" s="2188" t="s">
        <v>1174</v>
      </c>
      <c r="J13" s="2314">
        <f ca="1">ROUND(J14*J15,0)</f>
        <v>0</v>
      </c>
      <c r="K13" s="2213" t="s">
        <v>1175</v>
      </c>
      <c r="L13" s="2315"/>
      <c r="M13" s="2316"/>
    </row>
    <row r="14" ht="18" customHeight="1" spans="1:13">
      <c r="A14" s="2192" t="s">
        <v>922</v>
      </c>
      <c r="B14" s="2161" t="s">
        <v>1177</v>
      </c>
      <c r="C14" s="2193">
        <f ca="1">ROUND(INDIRECT("'数据-取费表'!l"&amp;$G$1)*F43+'数据-取费表'!L14*INDIRECT("'数据-取费表'!S"&amp;$G$1),0)</f>
        <v>0</v>
      </c>
      <c r="D14" s="2194" t="s">
        <v>1178</v>
      </c>
      <c r="E14" s="2195"/>
      <c r="F14" s="2196"/>
      <c r="G14" s="848"/>
      <c r="H14" s="2192" t="s">
        <v>899</v>
      </c>
      <c r="I14" s="2161" t="s">
        <v>1179</v>
      </c>
      <c r="J14" s="1097">
        <f ca="1">C29</f>
        <v>0</v>
      </c>
      <c r="K14" s="2317"/>
      <c r="L14" s="2318"/>
      <c r="M14" s="2319"/>
    </row>
    <row r="15" s="2128" customFormat="1" ht="18" customHeight="1" spans="1:37">
      <c r="A15" s="2192" t="s">
        <v>926</v>
      </c>
      <c r="B15" s="2161" t="s">
        <v>1107</v>
      </c>
      <c r="C15" s="1097">
        <f ca="1">ROUND(C14*F15,0)</f>
        <v>0</v>
      </c>
      <c r="D15" s="2197" t="s">
        <v>1180</v>
      </c>
      <c r="E15" s="2197" t="s">
        <v>1181</v>
      </c>
      <c r="F15" s="2198">
        <f>'数据-取费表'!B33</f>
        <v>0.03</v>
      </c>
      <c r="G15" s="2199"/>
      <c r="H15" s="2200" t="s">
        <v>903</v>
      </c>
      <c r="I15" s="2185" t="s">
        <v>1176</v>
      </c>
      <c r="J15" s="2313">
        <f ca="1">INDIRECT("'数据-取费表'!ad"&amp;$G$1)</f>
        <v>0</v>
      </c>
      <c r="K15" s="2320"/>
      <c r="L15" s="2321"/>
      <c r="M15" s="2322"/>
      <c r="N15" s="2199"/>
      <c r="O15" s="2199"/>
      <c r="P15" s="2199"/>
      <c r="Q15" s="2199"/>
      <c r="R15" s="2199"/>
      <c r="S15" s="2199"/>
      <c r="T15" s="2199"/>
      <c r="U15" s="2199"/>
      <c r="V15" s="2199"/>
      <c r="W15" s="2199"/>
      <c r="X15" s="2199"/>
      <c r="Y15" s="2199"/>
      <c r="Z15" s="2199"/>
      <c r="AA15" s="2199"/>
      <c r="AB15" s="2199"/>
      <c r="AC15" s="2199"/>
      <c r="AD15" s="2199"/>
      <c r="AE15" s="2199"/>
      <c r="AF15" s="2199"/>
      <c r="AG15" s="2199"/>
      <c r="AH15" s="2199"/>
      <c r="AI15" s="2199"/>
      <c r="AJ15" s="2199"/>
      <c r="AK15" s="2199"/>
    </row>
    <row r="16" ht="18" customHeight="1" spans="1:13">
      <c r="A16" s="2192" t="s">
        <v>929</v>
      </c>
      <c r="B16" s="2161" t="s">
        <v>1110</v>
      </c>
      <c r="C16" s="1097">
        <f ca="1">ROUND(INDIRECT("'数据-取费表'!l"&amp;$G$1)*F43*F16,0)</f>
        <v>0</v>
      </c>
      <c r="D16" s="2161" t="s">
        <v>1180</v>
      </c>
      <c r="E16" s="2161" t="s">
        <v>1181</v>
      </c>
      <c r="F16" s="2201">
        <f ca="1">IF(INDIRECT("'数据-取费表'!c"&amp;$G$1)="住宅",'数据-取费表'!B34,0)</f>
        <v>0</v>
      </c>
      <c r="G16" s="848"/>
      <c r="H16" s="2187" t="s">
        <v>1182</v>
      </c>
      <c r="I16" s="2188" t="s">
        <v>1183</v>
      </c>
      <c r="J16" s="2189">
        <f ca="1">ROUND(J17+J22+J23+J24,0)</f>
        <v>0</v>
      </c>
      <c r="K16" s="2213" t="s">
        <v>1184</v>
      </c>
      <c r="L16" s="2214"/>
      <c r="M16" s="2156"/>
    </row>
    <row r="17" s="2128" customFormat="1" ht="18" customHeight="1" spans="1:37">
      <c r="A17" s="2192" t="s">
        <v>1185</v>
      </c>
      <c r="B17" s="2161" t="s">
        <v>1186</v>
      </c>
      <c r="C17" s="1097">
        <f ca="1">ROUND(F17*(F43+INDIRECT("'数据-取费表'!S"&amp;$G$1)),0)</f>
        <v>0</v>
      </c>
      <c r="D17" s="2161" t="s">
        <v>1187</v>
      </c>
      <c r="E17" s="2161" t="s">
        <v>1188</v>
      </c>
      <c r="F17" s="2202">
        <f>'数据-取费表'!B35</f>
        <v>200</v>
      </c>
      <c r="G17" s="2199"/>
      <c r="H17" s="2192" t="s">
        <v>899</v>
      </c>
      <c r="I17" s="2161" t="s">
        <v>1189</v>
      </c>
      <c r="J17" s="2216">
        <f ca="1">ROUND(IF(AND(项目基本情况!B11="自然人",项目基本情况!B10="北京市"),J6*M17/(1+'数据-取费表'!C42),J18+J19+J20),0)</f>
        <v>0</v>
      </c>
      <c r="K17" s="2194" t="s">
        <v>1190</v>
      </c>
      <c r="L17" s="2217" t="s">
        <v>1191</v>
      </c>
      <c r="M17" s="2218" t="str">
        <f ca="1">IF(项目基本情况!B11="企业","",IF('数据-取费表'!B10="住宅",IF(M6*M7*M8/12/(1+'数据-取费表'!F30)&gt;100000,4%,2.5%),IF(M6*M7*M8/12/(1+'数据-取费表'!F30)&gt;100000,12%,7%)))</f>
        <v/>
      </c>
      <c r="N17" s="2199"/>
      <c r="O17" s="2199"/>
      <c r="P17" s="2199"/>
      <c r="Q17" s="2199"/>
      <c r="R17" s="2199"/>
      <c r="S17" s="2199"/>
      <c r="T17" s="2199"/>
      <c r="U17" s="2199"/>
      <c r="V17" s="2199"/>
      <c r="W17" s="2199"/>
      <c r="X17" s="2199"/>
      <c r="Y17" s="2199"/>
      <c r="Z17" s="2199"/>
      <c r="AA17" s="2199"/>
      <c r="AB17" s="2199"/>
      <c r="AC17" s="2199"/>
      <c r="AD17" s="2199"/>
      <c r="AE17" s="2199"/>
      <c r="AF17" s="2199"/>
      <c r="AG17" s="2199"/>
      <c r="AH17" s="2199"/>
      <c r="AI17" s="2199"/>
      <c r="AJ17" s="2199"/>
      <c r="AK17" s="2199"/>
    </row>
    <row r="18" s="2128" customFormat="1" ht="18" customHeight="1" spans="1:37">
      <c r="A18" s="2192" t="s">
        <v>1192</v>
      </c>
      <c r="B18" s="2161" t="s">
        <v>1116</v>
      </c>
      <c r="C18" s="1097">
        <f ca="1">ROUND(C14*F18,0)</f>
        <v>0</v>
      </c>
      <c r="D18" s="2161" t="s">
        <v>1180</v>
      </c>
      <c r="E18" s="2161" t="s">
        <v>1181</v>
      </c>
      <c r="F18" s="2201">
        <f>'数据-取费表'!B36</f>
        <v>0.015</v>
      </c>
      <c r="G18" s="2199"/>
      <c r="H18" s="2192" t="s">
        <v>922</v>
      </c>
      <c r="I18" s="2161" t="s">
        <v>1193</v>
      </c>
      <c r="J18" s="1097">
        <f ca="1">ROUND(J6*M18/(1+'数据-取费表'!C42),0)</f>
        <v>0</v>
      </c>
      <c r="K18" s="2217" t="s">
        <v>1194</v>
      </c>
      <c r="L18" s="2161" t="s">
        <v>1181</v>
      </c>
      <c r="M18" s="2201">
        <f>'数据-取费表'!B41</f>
        <v>0.056</v>
      </c>
      <c r="N18" s="2199"/>
      <c r="O18" s="2199"/>
      <c r="P18" s="2199"/>
      <c r="Q18" s="2199"/>
      <c r="R18" s="2199"/>
      <c r="S18" s="2199"/>
      <c r="T18" s="2199"/>
      <c r="U18" s="2199"/>
      <c r="V18" s="2199"/>
      <c r="W18" s="2199"/>
      <c r="X18" s="2199"/>
      <c r="Y18" s="2199"/>
      <c r="Z18" s="2199"/>
      <c r="AA18" s="2199"/>
      <c r="AB18" s="2199"/>
      <c r="AC18" s="2199"/>
      <c r="AD18" s="2199"/>
      <c r="AE18" s="2199"/>
      <c r="AF18" s="2199"/>
      <c r="AG18" s="2199"/>
      <c r="AH18" s="2199"/>
      <c r="AI18" s="2199"/>
      <c r="AJ18" s="2199"/>
      <c r="AK18" s="2199"/>
    </row>
    <row r="19" ht="18" customHeight="1" spans="1:13">
      <c r="A19" s="2192" t="s">
        <v>899</v>
      </c>
      <c r="B19" s="2161" t="s">
        <v>1195</v>
      </c>
      <c r="C19" s="1097">
        <f ca="1">SUM(C14:C18)</f>
        <v>0</v>
      </c>
      <c r="D19" s="2203" t="s">
        <v>1196</v>
      </c>
      <c r="E19" s="1099"/>
      <c r="F19" s="2202"/>
      <c r="G19" s="848"/>
      <c r="H19" s="2192" t="s">
        <v>926</v>
      </c>
      <c r="I19" s="2161" t="s">
        <v>1197</v>
      </c>
      <c r="J19" s="1097">
        <f ca="1">IF(K19="按租金收入计税",ROUND(J6*M19/(1+'数据-取费表'!C42),0),ROUND(C29*M19*0.7,0))</f>
        <v>0</v>
      </c>
      <c r="K19" s="2220" t="s">
        <v>1198</v>
      </c>
      <c r="L19" s="2161" t="s">
        <v>1181</v>
      </c>
      <c r="M19" s="2201">
        <f>IF(K19="按租金收入计税",'数据-取费表'!B51,'数据-取费表'!B50)</f>
        <v>0.12</v>
      </c>
    </row>
    <row r="20" s="2128" customFormat="1" ht="18" customHeight="1" spans="1:37">
      <c r="A20" s="2192" t="s">
        <v>903</v>
      </c>
      <c r="B20" s="2161" t="s">
        <v>1199</v>
      </c>
      <c r="C20" s="1097">
        <f ca="1">ROUND(C19*F20,0)</f>
        <v>0</v>
      </c>
      <c r="D20" s="2204" t="s">
        <v>1200</v>
      </c>
      <c r="E20" s="2161" t="s">
        <v>1181</v>
      </c>
      <c r="F20" s="2201">
        <f>'数据-取费表'!B37</f>
        <v>0.02</v>
      </c>
      <c r="G20" s="2199"/>
      <c r="H20" s="2192" t="s">
        <v>929</v>
      </c>
      <c r="I20" s="2160" t="s">
        <v>1201</v>
      </c>
      <c r="J20" s="2222">
        <f ca="1">ROUND(M20*M21,0)</f>
        <v>0</v>
      </c>
      <c r="K20" s="2223" t="s">
        <v>1202</v>
      </c>
      <c r="L20" s="2161" t="s">
        <v>1203</v>
      </c>
      <c r="M20" s="2207">
        <f>'数据-取费表'!B52</f>
        <v>3</v>
      </c>
      <c r="N20" s="2199"/>
      <c r="O20" s="2199"/>
      <c r="P20" s="2199"/>
      <c r="Q20" s="2199"/>
      <c r="R20" s="2199"/>
      <c r="S20" s="2199"/>
      <c r="T20" s="2199"/>
      <c r="U20" s="2199"/>
      <c r="V20" s="2199"/>
      <c r="W20" s="2199"/>
      <c r="X20" s="2199"/>
      <c r="Y20" s="2199"/>
      <c r="Z20" s="2199"/>
      <c r="AA20" s="2199"/>
      <c r="AB20" s="2199"/>
      <c r="AC20" s="2199"/>
      <c r="AD20" s="2199"/>
      <c r="AE20" s="2199"/>
      <c r="AF20" s="2199"/>
      <c r="AG20" s="2199"/>
      <c r="AH20" s="2199"/>
      <c r="AI20" s="2199"/>
      <c r="AJ20" s="2199"/>
      <c r="AK20" s="2199"/>
    </row>
    <row r="21" s="2128" customFormat="1" ht="18" customHeight="1" spans="1:37">
      <c r="A21" s="2192" t="s">
        <v>948</v>
      </c>
      <c r="B21" s="2161" t="s">
        <v>1204</v>
      </c>
      <c r="C21" s="1097" t="s">
        <v>124</v>
      </c>
      <c r="D21" s="2204" t="s">
        <v>1205</v>
      </c>
      <c r="E21" s="2161" t="s">
        <v>1206</v>
      </c>
      <c r="F21" s="2201">
        <f>'数据-取费表'!B38</f>
        <v>0.02</v>
      </c>
      <c r="G21" s="2199"/>
      <c r="H21" s="2205"/>
      <c r="I21" s="2323"/>
      <c r="J21" s="2226"/>
      <c r="K21" s="2227"/>
      <c r="L21" s="2161" t="s">
        <v>1207</v>
      </c>
      <c r="M21" s="2162">
        <f ca="1">INDIRECT("'数据-取费表'!r"&amp;$G$1)</f>
        <v>0</v>
      </c>
      <c r="N21" s="2199"/>
      <c r="O21" s="2199"/>
      <c r="P21" s="2199"/>
      <c r="Q21" s="2199"/>
      <c r="R21" s="2199"/>
      <c r="S21" s="2199"/>
      <c r="T21" s="2199"/>
      <c r="U21" s="2199"/>
      <c r="V21" s="2199"/>
      <c r="W21" s="2199"/>
      <c r="X21" s="2199"/>
      <c r="Y21" s="2199"/>
      <c r="Z21" s="2199"/>
      <c r="AA21" s="2199"/>
      <c r="AB21" s="2199"/>
      <c r="AC21" s="2199"/>
      <c r="AD21" s="2199"/>
      <c r="AE21" s="2199"/>
      <c r="AF21" s="2199"/>
      <c r="AG21" s="2199"/>
      <c r="AH21" s="2199"/>
      <c r="AI21" s="2199"/>
      <c r="AJ21" s="2199"/>
      <c r="AK21" s="2199"/>
    </row>
    <row r="22" ht="18" customHeight="1" spans="1:13">
      <c r="A22" s="2192" t="s">
        <v>951</v>
      </c>
      <c r="B22" s="2161" t="s">
        <v>1208</v>
      </c>
      <c r="C22" s="1097"/>
      <c r="D22" s="2203" t="str">
        <f>IF(F23&lt;=1,"单利计息。","复利计息。")&amp;"建造成本、管理费用、销售费用产生的利息。"</f>
        <v>复利计息。建造成本、管理费用、销售费用产生的利息。</v>
      </c>
      <c r="E22" s="1099"/>
      <c r="F22" s="2202"/>
      <c r="G22" s="848"/>
      <c r="H22" s="2192" t="s">
        <v>903</v>
      </c>
      <c r="I22" s="2161" t="s">
        <v>1209</v>
      </c>
      <c r="J22" s="1097">
        <f ca="1">ROUND(J14*M22,0)</f>
        <v>0</v>
      </c>
      <c r="K22" s="2217" t="s">
        <v>1210</v>
      </c>
      <c r="L22" s="2161" t="s">
        <v>1181</v>
      </c>
      <c r="M22" s="2229">
        <f ca="1">INDIRECT("'数据-取费表'!Ak"&amp;$G$1)</f>
        <v>0</v>
      </c>
    </row>
    <row r="23" s="2128" customFormat="1" ht="18" customHeight="1" spans="1:37">
      <c r="A23" s="2192" t="s">
        <v>922</v>
      </c>
      <c r="B23" s="2161" t="s">
        <v>1211</v>
      </c>
      <c r="C23" s="1097">
        <f ca="1">IF('数据-取费表'!B22&lt;=1,ROUND(C19*F24*F23/2,0)+ROUND(C20*F24*F23/2,0),ROUND(C19*(POWER((1+F24),F23/2)-1),0)+ROUND(C20*(POWER((1+F24),F23/2)-1),0))</f>
        <v>0</v>
      </c>
      <c r="D23" s="2206" t="str">
        <f>IF(F23&lt;=1,"(建造成本+管理费用)×利率×(建设周期÷2)","(建造成本+管理费用)×((1+利率)^(建设周期÷2)-1)")</f>
        <v>(建造成本+管理费用)×((1+利率)^(建设周期÷2)-1)</v>
      </c>
      <c r="E23" s="2161" t="s">
        <v>1212</v>
      </c>
      <c r="F23" s="2207">
        <f>'数据-取费表'!B20</f>
        <v>1.5</v>
      </c>
      <c r="G23" s="2199"/>
      <c r="H23" s="2192" t="s">
        <v>948</v>
      </c>
      <c r="I23" s="2161" t="s">
        <v>1213</v>
      </c>
      <c r="J23" s="1097">
        <f ca="1">ROUND(J13*M23,0)</f>
        <v>0</v>
      </c>
      <c r="K23" s="2217" t="s">
        <v>1214</v>
      </c>
      <c r="L23" s="2161" t="s">
        <v>1181</v>
      </c>
      <c r="M23" s="2230">
        <f ca="1">INDIRECT("'数据-取费表'!Al"&amp;$G$1)</f>
        <v>0</v>
      </c>
      <c r="N23" s="2199"/>
      <c r="O23" s="2199"/>
      <c r="P23" s="2199"/>
      <c r="Q23" s="2199"/>
      <c r="R23" s="2199"/>
      <c r="S23" s="2199"/>
      <c r="T23" s="2199"/>
      <c r="U23" s="2199"/>
      <c r="V23" s="2199"/>
      <c r="W23" s="2199"/>
      <c r="X23" s="2199"/>
      <c r="Y23" s="2199"/>
      <c r="Z23" s="2199"/>
      <c r="AA23" s="2199"/>
      <c r="AB23" s="2199"/>
      <c r="AC23" s="2199"/>
      <c r="AD23" s="2199"/>
      <c r="AE23" s="2199"/>
      <c r="AF23" s="2199"/>
      <c r="AG23" s="2199"/>
      <c r="AH23" s="2199"/>
      <c r="AI23" s="2199"/>
      <c r="AJ23" s="2199"/>
      <c r="AK23" s="2199"/>
    </row>
    <row r="24" s="2128" customFormat="1" ht="18" customHeight="1" spans="1:37">
      <c r="A24" s="2192" t="s">
        <v>926</v>
      </c>
      <c r="B24" s="2161" t="s">
        <v>1215</v>
      </c>
      <c r="C24" s="1097">
        <f ca="1">ROUND(IF('数据-取费表'!B22&lt;=1,F21*F24*F23/2,F21*(POWER((1+F24),F23/2)-1)),4)</f>
        <v>0.0006</v>
      </c>
      <c r="D24" s="2206" t="str">
        <f>IF(F23&lt;=1,"销售费用×利率×(建设周期÷2)","销售费用×((1+利率)^(建设周期÷2)-1)")</f>
        <v>销售费用×((1+利率)^(建设周期÷2)-1)</v>
      </c>
      <c r="E24" s="2161" t="s">
        <v>1216</v>
      </c>
      <c r="F24" s="2208">
        <f ca="1">'数据-取费表'!B40</f>
        <v>0.0415</v>
      </c>
      <c r="G24" s="2199"/>
      <c r="H24" s="2200" t="s">
        <v>951</v>
      </c>
      <c r="I24" s="2185" t="s">
        <v>1199</v>
      </c>
      <c r="J24" s="2209">
        <f ca="1">ROUND(J5*M24,0)</f>
        <v>0</v>
      </c>
      <c r="K24" s="2210" t="s">
        <v>1217</v>
      </c>
      <c r="L24" s="2185" t="s">
        <v>1181</v>
      </c>
      <c r="M24" s="2186">
        <f ca="1">INDIRECT("'数据-取费表'!Am"&amp;$G$1)</f>
        <v>0</v>
      </c>
      <c r="N24" s="2199"/>
      <c r="O24" s="2199"/>
      <c r="P24" s="2199"/>
      <c r="Q24" s="2199"/>
      <c r="R24" s="2199"/>
      <c r="S24" s="2199"/>
      <c r="T24" s="2199"/>
      <c r="U24" s="2199"/>
      <c r="V24" s="2199"/>
      <c r="W24" s="2199"/>
      <c r="X24" s="2199"/>
      <c r="Y24" s="2199"/>
      <c r="Z24" s="2199"/>
      <c r="AA24" s="2199"/>
      <c r="AB24" s="2199"/>
      <c r="AC24" s="2199"/>
      <c r="AD24" s="2199"/>
      <c r="AE24" s="2199"/>
      <c r="AF24" s="2199"/>
      <c r="AG24" s="2199"/>
      <c r="AH24" s="2199"/>
      <c r="AI24" s="2199"/>
      <c r="AJ24" s="2199"/>
      <c r="AK24" s="2199"/>
    </row>
    <row r="25" ht="18" customHeight="1" spans="1:13">
      <c r="A25" s="2192" t="s">
        <v>955</v>
      </c>
      <c r="B25" s="2161" t="s">
        <v>1218</v>
      </c>
      <c r="C25" s="1097"/>
      <c r="D25" s="2203" t="s">
        <v>1219</v>
      </c>
      <c r="E25" s="1099"/>
      <c r="F25" s="2202"/>
      <c r="G25" s="848"/>
      <c r="H25" s="2187" t="s">
        <v>1220</v>
      </c>
      <c r="I25" s="2231" t="s">
        <v>1221</v>
      </c>
      <c r="J25" s="2189">
        <f ca="1">J5-J16</f>
        <v>0</v>
      </c>
      <c r="K25" s="2232" t="s">
        <v>1222</v>
      </c>
      <c r="L25" s="2233"/>
      <c r="M25" s="2234"/>
    </row>
    <row r="26" ht="18" customHeight="1" spans="1:13">
      <c r="A26" s="2192" t="s">
        <v>922</v>
      </c>
      <c r="B26" s="2161" t="s">
        <v>1223</v>
      </c>
      <c r="C26" s="1097">
        <f ca="1">ROUND((C19+C20)*F26,0)</f>
        <v>0</v>
      </c>
      <c r="D26" s="2204" t="s">
        <v>1224</v>
      </c>
      <c r="E26" s="2174" t="s">
        <v>1225</v>
      </c>
      <c r="F26" s="2171">
        <f ca="1">INDIRECT("'数据-取费表'!q"&amp;$G$1)</f>
        <v>0</v>
      </c>
      <c r="G26" s="848"/>
      <c r="H26" s="2151" t="s">
        <v>1226</v>
      </c>
      <c r="I26" s="2152" t="s">
        <v>1227</v>
      </c>
      <c r="J26" s="2235">
        <f ca="1">IF(J5&lt;&gt;0,ROUND(J25*(1-((1+M28)/(1+M26))^M27)/(M26-M28),0),0)</f>
        <v>0</v>
      </c>
      <c r="K26" s="2223" t="s">
        <v>1228</v>
      </c>
      <c r="L26" s="2161" t="s">
        <v>1229</v>
      </c>
      <c r="M26" s="2171">
        <f ca="1">INDIRECT("'数据-取费表'!I"&amp;$G$1)</f>
        <v>0</v>
      </c>
    </row>
    <row r="27" ht="18" customHeight="1" spans="1:13">
      <c r="A27" s="2192" t="s">
        <v>926</v>
      </c>
      <c r="B27" s="2161" t="s">
        <v>1230</v>
      </c>
      <c r="C27" s="1097">
        <f ca="1">ROUND(F21*F26,4)</f>
        <v>0</v>
      </c>
      <c r="D27" s="2204" t="s">
        <v>1231</v>
      </c>
      <c r="E27" s="2197"/>
      <c r="F27" s="2198"/>
      <c r="G27" s="848"/>
      <c r="H27" s="2168"/>
      <c r="I27" s="2237"/>
      <c r="J27" s="2169"/>
      <c r="K27" s="2238" t="s">
        <v>1232</v>
      </c>
      <c r="L27" s="2161" t="s">
        <v>1233</v>
      </c>
      <c r="M27" s="2239">
        <f ca="1">INDIRECT("'数据-取费表'!ag"&amp;$G$1)</f>
        <v>0</v>
      </c>
    </row>
    <row r="28" s="2128" customFormat="1" ht="18" customHeight="1" spans="1:37">
      <c r="A28" s="2192" t="s">
        <v>956</v>
      </c>
      <c r="B28" s="2161" t="s">
        <v>1234</v>
      </c>
      <c r="C28" s="1097">
        <f>ROUND(F28/(1+'数据-取费表'!C42),4)</f>
        <v>0.0533</v>
      </c>
      <c r="D28" s="2204" t="s">
        <v>1235</v>
      </c>
      <c r="E28" s="2161" t="s">
        <v>1181</v>
      </c>
      <c r="F28" s="2201">
        <f>'数据-取费表'!B41</f>
        <v>0.056</v>
      </c>
      <c r="G28" s="2199"/>
      <c r="H28" s="2176"/>
      <c r="I28" s="2241"/>
      <c r="J28" s="2189"/>
      <c r="K28" s="2227"/>
      <c r="L28" s="2161" t="s">
        <v>1236</v>
      </c>
      <c r="M28" s="2171">
        <f ca="1">INDIRECT("'数据-取费表'!aa"&amp;$G$1)</f>
        <v>0</v>
      </c>
      <c r="N28" s="2199"/>
      <c r="O28" s="2199"/>
      <c r="P28" s="2199"/>
      <c r="Q28" s="2199"/>
      <c r="R28" s="2199"/>
      <c r="S28" s="2199"/>
      <c r="T28" s="2199"/>
      <c r="U28" s="2199"/>
      <c r="V28" s="2199"/>
      <c r="W28" s="2199"/>
      <c r="X28" s="2199"/>
      <c r="Y28" s="2199"/>
      <c r="Z28" s="2199"/>
      <c r="AA28" s="2199"/>
      <c r="AB28" s="2199"/>
      <c r="AC28" s="2199"/>
      <c r="AD28" s="2199"/>
      <c r="AE28" s="2199"/>
      <c r="AF28" s="2199"/>
      <c r="AG28" s="2199"/>
      <c r="AH28" s="2199"/>
      <c r="AI28" s="2199"/>
      <c r="AJ28" s="2199"/>
      <c r="AK28" s="2199"/>
    </row>
    <row r="29" s="2128" customFormat="1" ht="18" customHeight="1" spans="1:37">
      <c r="A29" s="2200" t="s">
        <v>1141</v>
      </c>
      <c r="B29" s="2185" t="s">
        <v>1237</v>
      </c>
      <c r="C29" s="2209">
        <f ca="1">ROUND((C19+C20+C23+C26)/(1-F21-C24-C27-C28),0)</f>
        <v>0</v>
      </c>
      <c r="D29" s="2210"/>
      <c r="E29" s="2185"/>
      <c r="F29" s="2211"/>
      <c r="G29" s="2199"/>
      <c r="H29" s="2212" t="s">
        <v>1238</v>
      </c>
      <c r="I29" s="2242" t="s">
        <v>1239</v>
      </c>
      <c r="J29" s="2243">
        <f ca="1">ROUND(J26/(1+F40)^F41,0)</f>
        <v>0</v>
      </c>
      <c r="K29" s="2244" t="s">
        <v>1240</v>
      </c>
      <c r="L29" s="2245"/>
      <c r="M29" s="2246">
        <f ca="1">INDIRECT("'数据-取费表'!k"&amp;$G$1)</f>
        <v>0</v>
      </c>
      <c r="N29" s="2199"/>
      <c r="O29" s="2199"/>
      <c r="P29" s="2199"/>
      <c r="Q29" s="2199"/>
      <c r="R29" s="2199"/>
      <c r="S29" s="2199"/>
      <c r="T29" s="2199"/>
      <c r="U29" s="2199"/>
      <c r="V29" s="2199"/>
      <c r="W29" s="2199"/>
      <c r="X29" s="2199"/>
      <c r="Y29" s="2199"/>
      <c r="Z29" s="2199"/>
      <c r="AA29" s="2199"/>
      <c r="AB29" s="2199"/>
      <c r="AC29" s="2199"/>
      <c r="AD29" s="2199"/>
      <c r="AE29" s="2199"/>
      <c r="AF29" s="2199"/>
      <c r="AG29" s="2199"/>
      <c r="AH29" s="2199"/>
      <c r="AI29" s="2199"/>
      <c r="AJ29" s="2199"/>
      <c r="AK29" s="2199"/>
    </row>
    <row r="30" ht="18" customHeight="1" spans="1:13">
      <c r="A30" s="2187" t="s">
        <v>1182</v>
      </c>
      <c r="B30" s="2188" t="s">
        <v>1183</v>
      </c>
      <c r="C30" s="2189">
        <f ca="1">ROUND(C31+C36+C37+C38,0)</f>
        <v>0</v>
      </c>
      <c r="D30" s="2213" t="s">
        <v>1184</v>
      </c>
      <c r="E30" s="2214"/>
      <c r="F30" s="2156"/>
      <c r="G30" s="848"/>
      <c r="H30" s="2215"/>
      <c r="I30" s="2324"/>
      <c r="J30" s="2325"/>
      <c r="K30" s="2326"/>
      <c r="L30" s="2327"/>
      <c r="M30" s="2328"/>
    </row>
    <row r="31" ht="18" customHeight="1" spans="1:13">
      <c r="A31" s="2192" t="s">
        <v>899</v>
      </c>
      <c r="B31" s="2161" t="s">
        <v>1189</v>
      </c>
      <c r="C31" s="2216">
        <f ca="1">ROUND(IF(AND(项目基本情况!B11="自然人",项目基本情况!B10="北京市"),C6*F31/(1+'数据-取费表'!C42),C32+C33+C34),0)</f>
        <v>0</v>
      </c>
      <c r="D31" s="2194" t="s">
        <v>1190</v>
      </c>
      <c r="E31" s="2217" t="s">
        <v>1191</v>
      </c>
      <c r="F31" s="2218" t="str">
        <f ca="1">IF(项目基本情况!B11="企业","——",IF(M47="住宅",IF(F6*F7*F8/12/(1+'数据-取费表'!F30)&gt;100000,4%,2.5%),IF(F6*F7*F8/12/(1+'数据-取费表'!F30)&gt;100000,12%,7%)))</f>
        <v>——</v>
      </c>
      <c r="G31" s="848"/>
      <c r="H31" s="2219" t="s">
        <v>1241</v>
      </c>
      <c r="I31" s="2324"/>
      <c r="J31" s="2325"/>
      <c r="K31" s="2326"/>
      <c r="L31" s="2327"/>
      <c r="M31" s="2328"/>
    </row>
    <row r="32" ht="18" customHeight="1" spans="1:13">
      <c r="A32" s="2192" t="s">
        <v>922</v>
      </c>
      <c r="B32" s="2161" t="s">
        <v>1193</v>
      </c>
      <c r="C32" s="1097">
        <f ca="1">IF(项目基本情况!B11="自然人","——",ROUND(C6*F32/(1+'数据-取费表'!C42),0))</f>
        <v>0</v>
      </c>
      <c r="D32" s="2217" t="s">
        <v>1194</v>
      </c>
      <c r="E32" s="2161" t="s">
        <v>1181</v>
      </c>
      <c r="F32" s="2208">
        <f>'数据-取费表'!B41</f>
        <v>0.056</v>
      </c>
      <c r="G32" s="848"/>
      <c r="H32" s="2215"/>
      <c r="I32" s="2324"/>
      <c r="J32" s="2325"/>
      <c r="K32" s="2326"/>
      <c r="L32" s="2327"/>
      <c r="M32" s="2328"/>
    </row>
    <row r="33" ht="18" customHeight="1" spans="1:13">
      <c r="A33" s="2192" t="s">
        <v>926</v>
      </c>
      <c r="B33" s="2161" t="s">
        <v>1197</v>
      </c>
      <c r="C33" s="1097">
        <f ca="1">IF(项目基本情况!B11="自然人","——",IF(D33="按租金收入计税",ROUND(C6*F33/(1+'数据-取费表'!C42),0),IF(D33="按房产原值计税",ROUND(C29*F33*0.7,0),INDIRECT("'数据-取费表'!Aj"&amp;$G$1))))</f>
        <v>0</v>
      </c>
      <c r="D33" s="2220" t="s">
        <v>1198</v>
      </c>
      <c r="E33" s="2161" t="s">
        <v>1181</v>
      </c>
      <c r="F33" s="2201">
        <f>IF(D33="按票据","——",IF(D33="按租金收入计税",'数据-取费表'!B51,'数据-取费表'!B50))</f>
        <v>0.12</v>
      </c>
      <c r="G33" s="848"/>
      <c r="H33" s="2221"/>
      <c r="I33" s="2324"/>
      <c r="J33" s="2325"/>
      <c r="K33" s="2329"/>
      <c r="L33" s="2221"/>
      <c r="M33" s="2221"/>
    </row>
    <row r="34" ht="18" customHeight="1" spans="1:13">
      <c r="A34" s="2157" t="s">
        <v>929</v>
      </c>
      <c r="B34" s="2160" t="s">
        <v>1201</v>
      </c>
      <c r="C34" s="2222">
        <f ca="1">IF(项目基本情况!B11="自然人","——",ROUND(F34*F35,0))</f>
        <v>0</v>
      </c>
      <c r="D34" s="2223" t="s">
        <v>1202</v>
      </c>
      <c r="E34" s="2161" t="s">
        <v>1203</v>
      </c>
      <c r="F34" s="2207">
        <f>'数据-取费表'!B52</f>
        <v>3</v>
      </c>
      <c r="G34" s="848"/>
      <c r="H34" s="2215"/>
      <c r="I34" s="2324"/>
      <c r="J34" s="2325"/>
      <c r="K34" s="2330"/>
      <c r="L34" s="2331"/>
      <c r="M34" s="2331"/>
    </row>
    <row r="35" ht="18" customHeight="1" spans="1:13">
      <c r="A35" s="2224"/>
      <c r="B35" s="2225"/>
      <c r="C35" s="2226"/>
      <c r="D35" s="2227"/>
      <c r="E35" s="2161" t="s">
        <v>1207</v>
      </c>
      <c r="F35" s="2162">
        <f ca="1">INDIRECT("'数据-取费表'!r"&amp;$G$1)</f>
        <v>0</v>
      </c>
      <c r="G35" s="848"/>
      <c r="H35" s="2215"/>
      <c r="I35" s="2324"/>
      <c r="J35" s="2325"/>
      <c r="K35" s="2329"/>
      <c r="L35" s="2221"/>
      <c r="M35" s="2221"/>
    </row>
    <row r="36" ht="18" customHeight="1" spans="1:13">
      <c r="A36" s="2228" t="s">
        <v>903</v>
      </c>
      <c r="B36" s="2161" t="s">
        <v>1209</v>
      </c>
      <c r="C36" s="1097">
        <f ca="1">ROUND(C29*F36,0)</f>
        <v>0</v>
      </c>
      <c r="D36" s="2217" t="s">
        <v>1242</v>
      </c>
      <c r="E36" s="2161" t="s">
        <v>1181</v>
      </c>
      <c r="F36" s="2229">
        <f ca="1">INDIRECT("'数据-取费表'!Ak"&amp;$G$1)</f>
        <v>0</v>
      </c>
      <c r="G36" s="848"/>
      <c r="H36" s="2221"/>
      <c r="I36" s="2324"/>
      <c r="J36" s="2325"/>
      <c r="K36" s="2332"/>
      <c r="L36" s="2221"/>
      <c r="M36" s="2221"/>
    </row>
    <row r="37" ht="18" customHeight="1" spans="1:13">
      <c r="A37" s="2192" t="s">
        <v>948</v>
      </c>
      <c r="B37" s="2161" t="s">
        <v>1213</v>
      </c>
      <c r="C37" s="1097">
        <f ca="1">ROUND(C13*F37,0)</f>
        <v>0</v>
      </c>
      <c r="D37" s="2217" t="s">
        <v>1214</v>
      </c>
      <c r="E37" s="2161" t="s">
        <v>1181</v>
      </c>
      <c r="F37" s="2230">
        <f ca="1">INDIRECT("'数据-取费表'!Al"&amp;$G$1)</f>
        <v>0</v>
      </c>
      <c r="G37" s="848"/>
      <c r="H37" s="2221"/>
      <c r="I37" s="2324"/>
      <c r="J37" s="2325"/>
      <c r="K37" s="2332"/>
      <c r="L37" s="2221"/>
      <c r="M37" s="2221"/>
    </row>
    <row r="38" ht="18" customHeight="1" spans="1:13">
      <c r="A38" s="2200" t="s">
        <v>951</v>
      </c>
      <c r="B38" s="2185" t="s">
        <v>1199</v>
      </c>
      <c r="C38" s="2209">
        <f ca="1">ROUND(C5*F38,0)</f>
        <v>0</v>
      </c>
      <c r="D38" s="2210" t="s">
        <v>1217</v>
      </c>
      <c r="E38" s="2185" t="s">
        <v>1181</v>
      </c>
      <c r="F38" s="2186">
        <f ca="1">INDIRECT("'数据-取费表'!Am"&amp;$G$1)</f>
        <v>0</v>
      </c>
      <c r="G38" s="848"/>
      <c r="H38" s="2221"/>
      <c r="I38" s="2324"/>
      <c r="J38" s="2325"/>
      <c r="K38" s="2333"/>
      <c r="L38" s="2221"/>
      <c r="M38" s="2221"/>
    </row>
    <row r="39" ht="24.6" customHeight="1" spans="1:13">
      <c r="A39" s="2187" t="s">
        <v>1220</v>
      </c>
      <c r="B39" s="2231" t="s">
        <v>1221</v>
      </c>
      <c r="C39" s="2189">
        <f ca="1">C5-C30</f>
        <v>0</v>
      </c>
      <c r="D39" s="2232" t="s">
        <v>1222</v>
      </c>
      <c r="E39" s="2233"/>
      <c r="F39" s="2234"/>
      <c r="G39" s="848"/>
      <c r="H39" s="2221"/>
      <c r="I39" s="2324"/>
      <c r="J39" s="2325"/>
      <c r="K39" s="2333"/>
      <c r="L39" s="2221"/>
      <c r="M39" s="2221"/>
    </row>
    <row r="40" ht="18" customHeight="1" spans="1:13">
      <c r="A40" s="2151" t="s">
        <v>1226</v>
      </c>
      <c r="B40" s="2152" t="s">
        <v>1243</v>
      </c>
      <c r="C40" s="2235" t="e">
        <f ca="1">ROUND(C39*(1-((1+F42)/(1+F40))^F41)/(F40-F42),0)</f>
        <v>#DIV/0!</v>
      </c>
      <c r="D40" s="2223" t="s">
        <v>1228</v>
      </c>
      <c r="E40" s="2161" t="s">
        <v>1229</v>
      </c>
      <c r="F40" s="2171">
        <f ca="1">INDIRECT("'数据-取费表'!I"&amp;$G$1)</f>
        <v>0</v>
      </c>
      <c r="G40" s="848"/>
      <c r="H40" s="2236"/>
      <c r="I40" s="2324"/>
      <c r="J40" s="2325"/>
      <c r="K40" s="2333"/>
      <c r="L40" s="2236"/>
      <c r="M40" s="2236"/>
    </row>
    <row r="41" ht="18" customHeight="1" spans="1:13">
      <c r="A41" s="2168"/>
      <c r="B41" s="2237"/>
      <c r="C41" s="2169"/>
      <c r="D41" s="2238" t="s">
        <v>1232</v>
      </c>
      <c r="E41" s="2161" t="s">
        <v>1233</v>
      </c>
      <c r="F41" s="2239">
        <f ca="1">IF(INDIRECT("'数据-取费表'!af"&amp;$G$1)=0,INDIRECT("'数据-取费表'!ae"&amp;$G$1),INDIRECT("'数据-取费表'!af"&amp;$G$1))</f>
        <v>0</v>
      </c>
      <c r="G41" s="848"/>
      <c r="H41" s="2240"/>
      <c r="I41" s="2324"/>
      <c r="J41" s="2325"/>
      <c r="K41" s="2332"/>
      <c r="L41" s="2240"/>
      <c r="M41" s="2240"/>
    </row>
    <row r="42" ht="18" customHeight="1" spans="1:13">
      <c r="A42" s="2176"/>
      <c r="B42" s="2241"/>
      <c r="C42" s="2189"/>
      <c r="D42" s="2227"/>
      <c r="E42" s="2161" t="s">
        <v>1236</v>
      </c>
      <c r="F42" s="2171">
        <f ca="1">INDIRECT("'数据-取费表'!v"&amp;$G$1)</f>
        <v>0</v>
      </c>
      <c r="G42" s="848"/>
      <c r="H42" s="2240"/>
      <c r="I42" s="2324"/>
      <c r="J42" s="2325"/>
      <c r="K42" s="2332"/>
      <c r="L42" s="2240"/>
      <c r="M42" s="2240"/>
    </row>
    <row r="43" ht="18" customHeight="1" spans="1:13">
      <c r="A43" s="2212" t="s">
        <v>1238</v>
      </c>
      <c r="B43" s="2242" t="s">
        <v>1244</v>
      </c>
      <c r="C43" s="2243" t="e">
        <f ca="1">ROUND(C40/F43,0)</f>
        <v>#DIV/0!</v>
      </c>
      <c r="D43" s="2244" t="s">
        <v>1245</v>
      </c>
      <c r="E43" s="2245" t="s">
        <v>1246</v>
      </c>
      <c r="F43" s="2246">
        <f ca="1">INDIRECT("'数据-取费表'!k"&amp;$G$1)</f>
        <v>0</v>
      </c>
      <c r="G43" s="848"/>
      <c r="H43" s="2240"/>
      <c r="I43" s="2240"/>
      <c r="J43" s="2240"/>
      <c r="K43" s="2332"/>
      <c r="L43" s="2240"/>
      <c r="M43" s="2240"/>
    </row>
    <row r="44" s="848" customFormat="1" ht="18" customHeight="1" spans="1:11">
      <c r="A44" s="2247"/>
      <c r="B44" s="2247"/>
      <c r="C44" s="2248"/>
      <c r="D44" s="2247"/>
      <c r="E44" s="2247"/>
      <c r="F44" s="2247"/>
      <c r="K44" s="2334"/>
    </row>
    <row r="45" s="848" customFormat="1" ht="18" customHeight="1" spans="1:18">
      <c r="A45" s="2249" t="s">
        <v>1342</v>
      </c>
      <c r="B45" s="2247"/>
      <c r="C45" s="2250" t="e">
        <f ca="1">ROUND((C68-C40)/10000,4)</f>
        <v>#DIV/0!</v>
      </c>
      <c r="D45" s="2251" t="s">
        <v>1343</v>
      </c>
      <c r="E45" s="2247"/>
      <c r="F45" s="2247"/>
      <c r="O45" s="2335" t="s">
        <v>1247</v>
      </c>
      <c r="P45" s="2236"/>
      <c r="Q45" s="2236"/>
      <c r="R45" s="2236"/>
    </row>
    <row r="46" s="848" customFormat="1" ht="13.95" spans="1:18">
      <c r="A46" s="2252" t="s">
        <v>1248</v>
      </c>
      <c r="C46" s="2253" t="e">
        <f ca="1">ROUND(C45,0)</f>
        <v>#DIV/0!</v>
      </c>
      <c r="D46" s="2254" t="str">
        <f>C2</f>
        <v>万元</v>
      </c>
      <c r="I46" s="2336" t="s">
        <v>1249</v>
      </c>
      <c r="J46" s="2337"/>
      <c r="K46" s="2338"/>
      <c r="L46" s="2339" t="e">
        <f ca="1">IF(M47="住宅",0,IF(L48&gt;J51,L60,J60))</f>
        <v>#DIV/0!</v>
      </c>
      <c r="O46" s="2340" t="s">
        <v>1250</v>
      </c>
      <c r="P46" s="2341" t="s">
        <v>1251</v>
      </c>
      <c r="Q46" s="2388" t="s">
        <v>1252</v>
      </c>
      <c r="R46" s="2388" t="s">
        <v>1253</v>
      </c>
    </row>
    <row r="47" s="848" customFormat="1" ht="13.95" spans="1:18">
      <c r="A47" s="2255" t="s">
        <v>1153</v>
      </c>
      <c r="B47" s="2256" t="s">
        <v>1154</v>
      </c>
      <c r="C47" s="2256" t="s">
        <v>1155</v>
      </c>
      <c r="D47" s="2256" t="s">
        <v>1156</v>
      </c>
      <c r="E47" s="2257" t="s">
        <v>1157</v>
      </c>
      <c r="F47" s="1090"/>
      <c r="G47" s="2258"/>
      <c r="I47" s="2342" t="s">
        <v>1254</v>
      </c>
      <c r="J47" s="2343"/>
      <c r="K47" s="2344" t="s">
        <v>1256</v>
      </c>
      <c r="L47" s="2345">
        <f ca="1">INDIRECT("'数据-取费表'!d"&amp;$G$1)</f>
        <v>0</v>
      </c>
      <c r="M47" s="2346" t="str">
        <f>IF(ISNUMBER(FIND("住宅",C1)),"住宅","非住宅")</f>
        <v>非住宅</v>
      </c>
      <c r="O47" s="2347" t="s">
        <v>1005</v>
      </c>
      <c r="P47" s="2348" t="s">
        <v>1257</v>
      </c>
      <c r="Q47" s="2389" t="e">
        <f ca="1">C40+J29</f>
        <v>#DIV/0!</v>
      </c>
      <c r="R47" s="2389" t="s">
        <v>1258</v>
      </c>
    </row>
    <row r="48" s="848" customFormat="1" ht="41.55" spans="1:18">
      <c r="A48" s="2259" t="s">
        <v>1259</v>
      </c>
      <c r="B48" s="2152" t="s">
        <v>1158</v>
      </c>
      <c r="C48" s="1098">
        <f ca="1">C49+C53+C55</f>
        <v>0</v>
      </c>
      <c r="D48" s="2260"/>
      <c r="E48" s="2261"/>
      <c r="F48" s="2262"/>
      <c r="G48" s="2258"/>
      <c r="H48" s="2263"/>
      <c r="I48" s="2349" t="s">
        <v>1260</v>
      </c>
      <c r="J48" s="2350"/>
      <c r="K48" s="2351" t="s">
        <v>1262</v>
      </c>
      <c r="L48" s="2352">
        <f ca="1">INDIRECT("'数据-取费表'!f"&amp;$G$1)</f>
        <v>0</v>
      </c>
      <c r="O48" s="2347" t="s">
        <v>1008</v>
      </c>
      <c r="P48" s="2348" t="s">
        <v>1263</v>
      </c>
      <c r="Q48" s="2389" t="e">
        <f ca="1">J60</f>
        <v>#DIV/0!</v>
      </c>
      <c r="R48" s="2389" t="s">
        <v>1264</v>
      </c>
    </row>
    <row r="49" s="848" customFormat="1" ht="13.95" spans="1:18">
      <c r="A49" s="2264" t="s">
        <v>1265</v>
      </c>
      <c r="B49" s="2265" t="s">
        <v>1266</v>
      </c>
      <c r="C49" s="2266">
        <f ca="1">ROUND(F49*F51*F50*(1-F52),0)</f>
        <v>0</v>
      </c>
      <c r="D49" s="2267" t="s">
        <v>1344</v>
      </c>
      <c r="E49" s="2268" t="s">
        <v>1267</v>
      </c>
      <c r="F49" s="2269"/>
      <c r="G49" s="2270"/>
      <c r="H49" s="2263"/>
      <c r="I49" s="2349" t="s">
        <v>1268</v>
      </c>
      <c r="J49" s="2353"/>
      <c r="K49" s="2351" t="s">
        <v>1269</v>
      </c>
      <c r="L49" s="2354"/>
      <c r="O49" s="2355" t="s">
        <v>1270</v>
      </c>
      <c r="P49" s="2348" t="s">
        <v>1271</v>
      </c>
      <c r="Q49" s="2389">
        <f ca="1">C29</f>
        <v>0</v>
      </c>
      <c r="R49" s="2389" t="s">
        <v>1258</v>
      </c>
    </row>
    <row r="50" s="848" customFormat="1" ht="13.95" spans="1:18">
      <c r="A50" s="2271"/>
      <c r="B50" s="2272"/>
      <c r="C50" s="2273"/>
      <c r="D50" s="2274"/>
      <c r="E50" s="2275" t="s">
        <v>1164</v>
      </c>
      <c r="F50" s="2276">
        <f ca="1">F7</f>
        <v>0</v>
      </c>
      <c r="H50" s="2263"/>
      <c r="I50" s="2349" t="s">
        <v>1272</v>
      </c>
      <c r="J50" s="2356">
        <f>SUMPRODUCT((I63:I65=J47)*(J62:L62=J48)*(J63:L65))</f>
        <v>0</v>
      </c>
      <c r="K50" s="2351" t="s">
        <v>1273</v>
      </c>
      <c r="L50" s="2354"/>
      <c r="M50" s="2357"/>
      <c r="O50" s="2355" t="s">
        <v>1274</v>
      </c>
      <c r="P50" s="2348" t="s">
        <v>1275</v>
      </c>
      <c r="Q50" s="2390" t="e">
        <f ca="1">J58</f>
        <v>#DIV/0!</v>
      </c>
      <c r="R50" s="2389"/>
    </row>
    <row r="51" s="848" customFormat="1" ht="13.95" spans="1:18">
      <c r="A51" s="2277"/>
      <c r="B51" s="2272"/>
      <c r="C51" s="2273"/>
      <c r="D51" s="2274"/>
      <c r="E51" s="2278" t="s">
        <v>1165</v>
      </c>
      <c r="F51" s="2162">
        <f ca="1">F8</f>
        <v>0</v>
      </c>
      <c r="I51" s="2358" t="s">
        <v>1276</v>
      </c>
      <c r="J51" s="2359">
        <f>IF(J49="",J50,J49+J50-YEAR('数据-取费表'!B2))</f>
        <v>0</v>
      </c>
      <c r="K51" s="2360" t="s">
        <v>1277</v>
      </c>
      <c r="L51" s="2361">
        <f ca="1">ROUND(-PV(INDIRECT("'数据-取费表'!h"&amp;$G$1),J51,(C39-C13*C76),0),0)</f>
        <v>0</v>
      </c>
      <c r="M51" s="2362"/>
      <c r="O51" s="2355" t="s">
        <v>1278</v>
      </c>
      <c r="P51" s="2348" t="s">
        <v>1279</v>
      </c>
      <c r="Q51" s="2390">
        <f>J52</f>
        <v>0</v>
      </c>
      <c r="R51" s="2389"/>
    </row>
    <row r="52" s="848" customFormat="1" ht="13.95" spans="1:18">
      <c r="A52" s="2277"/>
      <c r="B52" s="2272"/>
      <c r="C52" s="2273"/>
      <c r="D52" s="2274"/>
      <c r="E52" s="2278" t="s">
        <v>1166</v>
      </c>
      <c r="F52" s="2279"/>
      <c r="I52" s="2363" t="s">
        <v>1280</v>
      </c>
      <c r="J52" s="2364"/>
      <c r="K52" s="2363" t="s">
        <v>1281</v>
      </c>
      <c r="L52" s="2364"/>
      <c r="O52" s="2355" t="s">
        <v>1282</v>
      </c>
      <c r="P52" s="2348" t="s">
        <v>1283</v>
      </c>
      <c r="Q52" s="2389">
        <f ca="1">J53</f>
        <v>0</v>
      </c>
      <c r="R52" s="2389" t="s">
        <v>1284</v>
      </c>
    </row>
    <row r="53" s="848" customFormat="1" ht="30.75" customHeight="1" spans="1:18">
      <c r="A53" s="2280" t="s">
        <v>1285</v>
      </c>
      <c r="B53" s="2204" t="s">
        <v>1167</v>
      </c>
      <c r="C53" s="1096">
        <f ca="1">ROUND(IF(F53="押一",C49/12*F11,IF(F53="押二",C49/12*2*F11,IF(F53="押三",C49/12*3*F11,C54*F11))),0)</f>
        <v>0</v>
      </c>
      <c r="D53" s="2173" t="s">
        <v>1345</v>
      </c>
      <c r="E53" s="2174" t="s">
        <v>1169</v>
      </c>
      <c r="F53" s="2175"/>
      <c r="I53" s="2365" t="s">
        <v>1286</v>
      </c>
      <c r="J53" s="2366">
        <f ca="1">IF(M47="住宅",IF(D1="——",MAX(J51,L48),MAX(J51,L48-'数据-取费表'!B24)),IF(D1="——",MIN(J51,L48),MIN(J51,L48-'数据-取费表'!B24)))</f>
        <v>0</v>
      </c>
      <c r="K53" s="2367" t="s">
        <v>1287</v>
      </c>
      <c r="L53" s="2368"/>
      <c r="O53" s="2347" t="s">
        <v>1109</v>
      </c>
      <c r="P53" s="2348" t="s">
        <v>1288</v>
      </c>
      <c r="Q53" s="2389" t="e">
        <f ca="1">Q47+Q48</f>
        <v>#DIV/0!</v>
      </c>
      <c r="R53" s="2389" t="s">
        <v>1289</v>
      </c>
    </row>
    <row r="54" s="848" customFormat="1" ht="13.95" spans="1:18">
      <c r="A54" s="2264"/>
      <c r="B54" s="2281" t="s">
        <v>1341</v>
      </c>
      <c r="C54" s="2178"/>
      <c r="D54" s="2173"/>
      <c r="E54" s="2282"/>
      <c r="F54" s="2283"/>
      <c r="I54" s="23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70"/>
      <c r="K54" s="2370"/>
      <c r="L54" s="2370"/>
      <c r="M54" s="2270"/>
      <c r="O54" s="2335" t="s">
        <v>1290</v>
      </c>
      <c r="P54" s="2371"/>
      <c r="Q54" s="2371"/>
      <c r="R54" s="2371"/>
    </row>
    <row r="55" s="848" customFormat="1" ht="13.95" spans="1:18">
      <c r="A55" s="2181" t="s">
        <v>948</v>
      </c>
      <c r="B55" s="2182" t="s">
        <v>1173</v>
      </c>
      <c r="C55" s="2183"/>
      <c r="D55" s="2173"/>
      <c r="E55" s="2282"/>
      <c r="F55" s="2283"/>
      <c r="I55" s="2372" t="s">
        <v>1291</v>
      </c>
      <c r="J55" s="2373" t="e">
        <f ca="1">ROUND(IF(J47="钢混",J57/J50,1-(1-2%)*(J50-J57)/J50),3)</f>
        <v>#DIV/0!</v>
      </c>
      <c r="K55" s="2374" t="s">
        <v>1292</v>
      </c>
      <c r="L55" s="2375"/>
      <c r="O55" s="2340" t="s">
        <v>1250</v>
      </c>
      <c r="P55" s="2341" t="s">
        <v>1251</v>
      </c>
      <c r="Q55" s="2388" t="s">
        <v>1252</v>
      </c>
      <c r="R55" s="2388" t="s">
        <v>1253</v>
      </c>
    </row>
    <row r="56" s="848" customFormat="1" ht="36" customHeight="1" spans="1:18">
      <c r="A56" s="2284">
        <v>2</v>
      </c>
      <c r="B56" s="2285" t="s">
        <v>1174</v>
      </c>
      <c r="C56" s="430">
        <f ca="1">C13</f>
        <v>0</v>
      </c>
      <c r="D56" s="2286"/>
      <c r="E56" s="2287"/>
      <c r="F56" s="2283"/>
      <c r="I56" s="2376" t="s">
        <v>1293</v>
      </c>
      <c r="J56" s="2377"/>
      <c r="K56" s="2349" t="s">
        <v>1294</v>
      </c>
      <c r="L56" s="2352">
        <f ca="1">IF(L48&lt;J51,"——",L48-J51)</f>
        <v>0</v>
      </c>
      <c r="O56" s="2347" t="s">
        <v>1005</v>
      </c>
      <c r="P56" s="2348" t="s">
        <v>1257</v>
      </c>
      <c r="Q56" s="2389" t="e">
        <f ca="1">C40+J29</f>
        <v>#DIV/0!</v>
      </c>
      <c r="R56" s="2389" t="s">
        <v>1258</v>
      </c>
    </row>
    <row r="57" s="848" customFormat="1" ht="24.75" spans="1:18">
      <c r="A57" s="2288"/>
      <c r="B57" s="2289" t="s">
        <v>1237</v>
      </c>
      <c r="C57" s="440">
        <f ca="1">C29</f>
        <v>0</v>
      </c>
      <c r="D57" s="2290"/>
      <c r="E57" s="2291"/>
      <c r="F57" s="2292"/>
      <c r="I57" s="2378" t="s">
        <v>1295</v>
      </c>
      <c r="J57" s="2379">
        <f ca="1">IF(OR(M47="住宅",J51&lt;L48,J56="是"),"——",J51-L48)</f>
        <v>0</v>
      </c>
      <c r="K57" s="2349" t="s">
        <v>1346</v>
      </c>
      <c r="L57" s="2352">
        <f ca="1">IF(L48&lt;J51,"——",IF(L55="比较法",L49,IF(L55="基准地价",L50,L51)))</f>
        <v>0</v>
      </c>
      <c r="O57" s="2347" t="s">
        <v>1008</v>
      </c>
      <c r="P57" s="2348" t="s">
        <v>1297</v>
      </c>
      <c r="Q57" s="2389" t="e">
        <f ca="1">L60</f>
        <v>#DIV/0!</v>
      </c>
      <c r="R57" s="2389" t="s">
        <v>1298</v>
      </c>
    </row>
    <row r="58" s="848" customFormat="1" ht="24.75" spans="1:18">
      <c r="A58" s="2293" t="s">
        <v>1182</v>
      </c>
      <c r="B58" s="2285" t="s">
        <v>1183</v>
      </c>
      <c r="C58" s="1096">
        <f ca="1">ROUND(C59+C64+C65+C66,0)</f>
        <v>0</v>
      </c>
      <c r="D58" s="2294" t="s">
        <v>1184</v>
      </c>
      <c r="E58" s="2295"/>
      <c r="F58" s="2262"/>
      <c r="I58" s="2378" t="s">
        <v>1299</v>
      </c>
      <c r="J58" s="2380" t="e">
        <f ca="1">IF(J55&lt;0.4,0.4,J55)</f>
        <v>#DIV/0!</v>
      </c>
      <c r="K58" s="2360" t="s">
        <v>1347</v>
      </c>
      <c r="L58" s="2352" t="e">
        <f ca="1">ROUND(POWER(1+L52,L47-L48)*(POWER(1+L52,L48)-1)/(POWER(1+L52,L47)-1),4)</f>
        <v>#DIV/0!</v>
      </c>
      <c r="O58" s="2355" t="s">
        <v>1270</v>
      </c>
      <c r="P58" s="2348" t="s">
        <v>1301</v>
      </c>
      <c r="Q58" s="2389">
        <f>IF(L55="比较法",L49,IF(L55="基准地价",L50,0))</f>
        <v>0</v>
      </c>
      <c r="R58" s="2389" t="s">
        <v>1258</v>
      </c>
    </row>
    <row r="59" s="848" customFormat="1" ht="24.75" spans="1:18">
      <c r="A59" s="2192" t="s">
        <v>899</v>
      </c>
      <c r="B59" s="2289" t="s">
        <v>1189</v>
      </c>
      <c r="C59" s="2216">
        <f ca="1">ROUND(IF(AND(项目基本情况!B11="自然人",项目基本情况!B10="北京市"),C49*F59/(1+'数据-取费表'!C42),C60+C61+C62),0)</f>
        <v>0</v>
      </c>
      <c r="D59" s="2296" t="s">
        <v>1190</v>
      </c>
      <c r="E59" s="2297" t="s">
        <v>1191</v>
      </c>
      <c r="F59" s="2218" t="str">
        <f ca="1">IF(项目基本情况!B11="企业","——",IF('数据-取费表'!B10="住宅",IF(F49*F50*F51/12/(1+'数据-取费表'!F30)&gt;100000,4%,2.5%),IF(F49*F50*F51/12/(1+'数据-取费表'!F30)&gt;100000,12%,7%)))</f>
        <v>——</v>
      </c>
      <c r="I59" s="2378" t="s">
        <v>1302</v>
      </c>
      <c r="J59" s="2379" t="e">
        <f ca="1">IF(OR(M47="住宅",J51&lt;L48,J56="是"),"——",ROUND(C29*J58,0))</f>
        <v>#DIV/0!</v>
      </c>
      <c r="K59" s="23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52" t="e">
        <f ca="1">ROUND(IF(D1="在建（套用方法）",M59,IF(D1="土地（套用方法）",N59,POWER(1+L52,L47-J51)*(POWER(1+L52,J51)-1)/(POWER(1+L52,L47)-1))),4)</f>
        <v>#DIV/0!</v>
      </c>
      <c r="M59" s="2371" t="e">
        <f ca="1">ROUND(POWER(1+L52,L47-(J51+'数据-取费表'!B24))*(POWER(1+L52,(J51+'数据-取费表'!B24))-1)/(POWER(1+L52,L47)-1),4)</f>
        <v>#DIV/0!</v>
      </c>
      <c r="N59" s="2371" t="e">
        <f ca="1">ROUND(POWER(1+L52,L47-(J51+'数据-取费表'!B20))*(POWER(1+L52,(J51+'数据-取费表'!B20))-1)/(POWER(1+L52,L47)-1),4)</f>
        <v>#DIV/0!</v>
      </c>
      <c r="O59" s="2355" t="s">
        <v>1274</v>
      </c>
      <c r="P59" s="2348" t="s">
        <v>1303</v>
      </c>
      <c r="Q59" s="2390">
        <f>L52</f>
        <v>0</v>
      </c>
      <c r="R59" s="2389"/>
    </row>
    <row r="60" s="848" customFormat="1" ht="17.55" spans="1:18">
      <c r="A60" s="2192" t="s">
        <v>922</v>
      </c>
      <c r="B60" s="2289" t="s">
        <v>1193</v>
      </c>
      <c r="C60" s="1097">
        <f ca="1">IF(项目基本情况!B11="自然人","——",ROUND(C48*F60/(1+'数据-取费表'!C42),0))</f>
        <v>0</v>
      </c>
      <c r="D60" s="2297" t="s">
        <v>1194</v>
      </c>
      <c r="E60" s="2289" t="s">
        <v>1181</v>
      </c>
      <c r="F60" s="2208">
        <f t="shared" ref="F60:F66" si="0">F32</f>
        <v>0.056</v>
      </c>
      <c r="I60" s="2381" t="s">
        <v>1304</v>
      </c>
      <c r="J60" s="2382" t="e">
        <f ca="1">IF(OR(M47="住宅",J51&lt;L48,J56="是"),"0",ROUND(J59/(1+J52)^J53,0))</f>
        <v>#DIV/0!</v>
      </c>
      <c r="K60" s="2383" t="s">
        <v>1305</v>
      </c>
      <c r="L60" s="2382" t="e">
        <f ca="1">IF(OR(M47="住宅",L48&lt;J51),0,ROUND(L57*(L58/L59-1),0))</f>
        <v>#DIV/0!</v>
      </c>
      <c r="O60" s="2355" t="s">
        <v>1278</v>
      </c>
      <c r="P60" s="2348" t="s">
        <v>1306</v>
      </c>
      <c r="Q60" s="2389" t="e">
        <f ca="1">L58</f>
        <v>#DIV/0!</v>
      </c>
      <c r="R60" s="2389" t="s">
        <v>1307</v>
      </c>
    </row>
    <row r="61" s="848" customFormat="1" ht="13.95" spans="1:18">
      <c r="A61" s="2192" t="s">
        <v>926</v>
      </c>
      <c r="B61" s="2289" t="s">
        <v>1197</v>
      </c>
      <c r="C61" s="1097">
        <f ca="1">IF(项目基本情况!B11="自然人","——",IF(D61="按租金收入计税",ROUND(C49*F61/(1+'数据-取费表'!C42),0),IF(D61="按房产原值计税",ROUND(C57*F61*0.7,0),INDIRECT("'数据-取费表'!Aj"&amp;$G$1))))</f>
        <v>0</v>
      </c>
      <c r="D61" s="2220" t="s">
        <v>1198</v>
      </c>
      <c r="E61" s="2289" t="s">
        <v>1181</v>
      </c>
      <c r="F61" s="2201">
        <f t="shared" si="0"/>
        <v>0.12</v>
      </c>
      <c r="I61" s="2236"/>
      <c r="J61" s="2236"/>
      <c r="K61" s="2236"/>
      <c r="L61" s="2236"/>
      <c r="O61" s="2355" t="s">
        <v>1282</v>
      </c>
      <c r="P61" s="2348" t="str">
        <f>K59</f>
        <v>建筑物剩余耐用年限下的土地年期修正系数Kn</v>
      </c>
      <c r="Q61" s="2389" t="e">
        <f ca="1">L59</f>
        <v>#DIV/0!</v>
      </c>
      <c r="R61" s="2389" t="s">
        <v>1308</v>
      </c>
    </row>
    <row r="62" s="848" customFormat="1" ht="13.95" spans="1:18">
      <c r="A62" s="2192" t="s">
        <v>929</v>
      </c>
      <c r="B62" s="2298" t="s">
        <v>1201</v>
      </c>
      <c r="C62" s="2222">
        <f ca="1">IF(项目基本情况!B11="自然人","——",ROUND(F62*F63,0))</f>
        <v>0</v>
      </c>
      <c r="D62" s="2299" t="s">
        <v>1202</v>
      </c>
      <c r="E62" s="2289" t="s">
        <v>1203</v>
      </c>
      <c r="F62" s="2207">
        <f t="shared" si="0"/>
        <v>3</v>
      </c>
      <c r="I62" s="2384" t="s">
        <v>1309</v>
      </c>
      <c r="J62" s="2385" t="s">
        <v>1310</v>
      </c>
      <c r="K62" s="2385" t="s">
        <v>1311</v>
      </c>
      <c r="L62" s="2385" t="s">
        <v>1312</v>
      </c>
      <c r="M62" s="2386" t="s">
        <v>1313</v>
      </c>
      <c r="O62" s="2347" t="s">
        <v>1109</v>
      </c>
      <c r="P62" s="2348" t="s">
        <v>1288</v>
      </c>
      <c r="Q62" s="2389" t="e">
        <f ca="1">Q56+Q57</f>
        <v>#DIV/0!</v>
      </c>
      <c r="R62" s="2389" t="s">
        <v>1289</v>
      </c>
    </row>
    <row r="63" s="848" customFormat="1" ht="13.95" spans="1:18">
      <c r="A63" s="2205"/>
      <c r="B63" s="2300"/>
      <c r="C63" s="2226"/>
      <c r="D63" s="2301"/>
      <c r="E63" s="2289" t="s">
        <v>1207</v>
      </c>
      <c r="F63" s="2162">
        <f ca="1" t="shared" si="0"/>
        <v>0</v>
      </c>
      <c r="I63" s="2384" t="s">
        <v>1314</v>
      </c>
      <c r="J63" s="2385">
        <v>70</v>
      </c>
      <c r="K63" s="2385">
        <v>50</v>
      </c>
      <c r="L63" s="2385">
        <v>80</v>
      </c>
      <c r="M63" s="2387">
        <v>0.02</v>
      </c>
      <c r="O63" s="2335" t="s">
        <v>1315</v>
      </c>
      <c r="P63" s="2371"/>
      <c r="Q63" s="2371"/>
      <c r="R63" s="2371"/>
    </row>
    <row r="64" s="848" customFormat="1" ht="13.95" spans="1:18">
      <c r="A64" s="2192" t="s">
        <v>903</v>
      </c>
      <c r="B64" s="2289" t="s">
        <v>1209</v>
      </c>
      <c r="C64" s="1097">
        <f ca="1">ROUND(C57*F64,0)</f>
        <v>0</v>
      </c>
      <c r="D64" s="2297" t="s">
        <v>1242</v>
      </c>
      <c r="E64" s="2289" t="s">
        <v>1181</v>
      </c>
      <c r="F64" s="2229">
        <f ca="1" t="shared" si="0"/>
        <v>0</v>
      </c>
      <c r="I64" s="2384" t="s">
        <v>1316</v>
      </c>
      <c r="J64" s="2385">
        <v>50</v>
      </c>
      <c r="K64" s="2385">
        <v>35</v>
      </c>
      <c r="L64" s="2385">
        <v>60</v>
      </c>
      <c r="M64" s="2386">
        <v>0</v>
      </c>
      <c r="O64" s="2340" t="s">
        <v>1250</v>
      </c>
      <c r="P64" s="2341" t="s">
        <v>1251</v>
      </c>
      <c r="Q64" s="2388" t="s">
        <v>1252</v>
      </c>
      <c r="R64" s="2388" t="s">
        <v>1253</v>
      </c>
    </row>
    <row r="65" s="848" customFormat="1" ht="13.95" spans="1:18">
      <c r="A65" s="2192" t="s">
        <v>948</v>
      </c>
      <c r="B65" s="2289" t="s">
        <v>1213</v>
      </c>
      <c r="C65" s="1097">
        <f ca="1">ROUND(C56*F65,0)</f>
        <v>0</v>
      </c>
      <c r="D65" s="2297" t="s">
        <v>1214</v>
      </c>
      <c r="E65" s="2289" t="s">
        <v>1181</v>
      </c>
      <c r="F65" s="2230">
        <f ca="1" t="shared" si="0"/>
        <v>0</v>
      </c>
      <c r="I65" s="2384" t="s">
        <v>1317</v>
      </c>
      <c r="J65" s="2385">
        <v>40</v>
      </c>
      <c r="K65" s="2385">
        <v>30</v>
      </c>
      <c r="L65" s="2385">
        <v>50</v>
      </c>
      <c r="M65" s="2387">
        <v>0.02</v>
      </c>
      <c r="O65" s="2347" t="s">
        <v>1005</v>
      </c>
      <c r="P65" s="2348" t="s">
        <v>1257</v>
      </c>
      <c r="Q65" s="2389" t="e">
        <f ca="1">C40+J29</f>
        <v>#DIV/0!</v>
      </c>
      <c r="R65" s="2389" t="s">
        <v>1258</v>
      </c>
    </row>
    <row r="66" s="848" customFormat="1" ht="17.55" spans="1:18">
      <c r="A66" s="2192" t="s">
        <v>951</v>
      </c>
      <c r="B66" s="2289" t="s">
        <v>1199</v>
      </c>
      <c r="C66" s="1097">
        <f ca="1">ROUND(C48*F66,0)</f>
        <v>0</v>
      </c>
      <c r="D66" s="2297" t="s">
        <v>1217</v>
      </c>
      <c r="E66" s="2289" t="s">
        <v>1181</v>
      </c>
      <c r="F66" s="2171">
        <f ca="1" t="shared" si="0"/>
        <v>0</v>
      </c>
      <c r="O66" s="2347" t="s">
        <v>1008</v>
      </c>
      <c r="P66" s="2348" t="s">
        <v>1297</v>
      </c>
      <c r="Q66" s="2389" t="e">
        <f ca="1">L60</f>
        <v>#DIV/0!</v>
      </c>
      <c r="R66" s="2389" t="s">
        <v>1298</v>
      </c>
    </row>
    <row r="67" s="848" customFormat="1" ht="24.75" spans="1:18">
      <c r="A67" s="2284" t="s">
        <v>1220</v>
      </c>
      <c r="B67" s="2391" t="s">
        <v>1221</v>
      </c>
      <c r="C67" s="1096">
        <f ca="1">C48-C58</f>
        <v>0</v>
      </c>
      <c r="D67" s="2296" t="s">
        <v>1222</v>
      </c>
      <c r="E67" s="2392"/>
      <c r="F67" s="2393"/>
      <c r="O67" s="2355" t="s">
        <v>1270</v>
      </c>
      <c r="P67" s="2348" t="s">
        <v>1301</v>
      </c>
      <c r="Q67" s="2413">
        <f ca="1">L51</f>
        <v>0</v>
      </c>
      <c r="R67" s="2389" t="s">
        <v>1318</v>
      </c>
    </row>
    <row r="68" s="848" customFormat="1" ht="17.55" spans="1:18">
      <c r="A68" s="2394" t="s">
        <v>1226</v>
      </c>
      <c r="B68" s="2395" t="s">
        <v>1243</v>
      </c>
      <c r="C68" s="2235" t="e">
        <f ca="1">ROUND(C67*(1-((1+F70)/(1+F68))^F69)/(F68-F70),0)</f>
        <v>#DIV/0!</v>
      </c>
      <c r="D68" s="2299" t="s">
        <v>1228</v>
      </c>
      <c r="E68" s="2289" t="s">
        <v>1229</v>
      </c>
      <c r="F68" s="2171">
        <f ca="1">F40</f>
        <v>0</v>
      </c>
      <c r="O68" s="2355" t="s">
        <v>1274</v>
      </c>
      <c r="P68" s="2412" t="s">
        <v>1319</v>
      </c>
      <c r="Q68" s="2389">
        <f ca="1">ROUND(Q69-Q70*Q71,0)</f>
        <v>0</v>
      </c>
      <c r="R68" s="2389" t="s">
        <v>1320</v>
      </c>
    </row>
    <row r="69" s="848" customFormat="1" ht="13.95" spans="1:18">
      <c r="A69" s="2396"/>
      <c r="B69" s="2397"/>
      <c r="C69" s="2169"/>
      <c r="D69" s="2398" t="s">
        <v>1232</v>
      </c>
      <c r="E69" s="2289" t="s">
        <v>1233</v>
      </c>
      <c r="F69" s="2239">
        <f ca="1">F41</f>
        <v>0</v>
      </c>
      <c r="O69" s="2355" t="s">
        <v>1321</v>
      </c>
      <c r="P69" s="2412" t="s">
        <v>1322</v>
      </c>
      <c r="Q69" s="2389">
        <f ca="1">C39</f>
        <v>0</v>
      </c>
      <c r="R69" s="2389" t="s">
        <v>1258</v>
      </c>
    </row>
    <row r="70" s="848" customFormat="1" ht="13.95" spans="1:18">
      <c r="A70" s="2399"/>
      <c r="B70" s="2400"/>
      <c r="C70" s="2189"/>
      <c r="D70" s="2301"/>
      <c r="E70" s="2289" t="s">
        <v>1236</v>
      </c>
      <c r="F70" s="2279"/>
      <c r="O70" s="2355" t="s">
        <v>1323</v>
      </c>
      <c r="P70" s="2412" t="s">
        <v>1324</v>
      </c>
      <c r="Q70" s="2389">
        <f ca="1">C13</f>
        <v>0</v>
      </c>
      <c r="R70" s="2389" t="s">
        <v>1258</v>
      </c>
    </row>
    <row r="71" s="848" customFormat="1" ht="13.95" spans="1:18">
      <c r="A71" s="2401" t="s">
        <v>1238</v>
      </c>
      <c r="B71" s="2402" t="s">
        <v>1244</v>
      </c>
      <c r="C71" s="2243" t="e">
        <f ca="1">ROUND(C68/F71,0)</f>
        <v>#DIV/0!</v>
      </c>
      <c r="D71" s="2403" t="s">
        <v>1245</v>
      </c>
      <c r="E71" s="2404" t="s">
        <v>1246</v>
      </c>
      <c r="F71" s="2246">
        <f ca="1">F43</f>
        <v>0</v>
      </c>
      <c r="O71" s="2355" t="s">
        <v>1325</v>
      </c>
      <c r="P71" s="2412" t="s">
        <v>1326</v>
      </c>
      <c r="Q71" s="2390">
        <f ca="1">C76</f>
        <v>0</v>
      </c>
      <c r="R71" s="2389"/>
    </row>
    <row r="72" s="848" customFormat="1" ht="13.95" spans="2:18">
      <c r="B72" s="1131"/>
      <c r="C72" s="1131"/>
      <c r="O72" s="2355" t="s">
        <v>1278</v>
      </c>
      <c r="P72" s="2348" t="s">
        <v>1303</v>
      </c>
      <c r="Q72" s="2390">
        <f>L52</f>
        <v>0</v>
      </c>
      <c r="R72" s="2389"/>
    </row>
    <row r="73" ht="17.55" spans="1:18">
      <c r="A73" s="848"/>
      <c r="B73" s="1131"/>
      <c r="C73" s="1131"/>
      <c r="D73" s="848"/>
      <c r="E73" s="848"/>
      <c r="F73" s="848"/>
      <c r="O73" s="2355" t="s">
        <v>1282</v>
      </c>
      <c r="P73" s="2348" t="s">
        <v>1306</v>
      </c>
      <c r="Q73" s="2389" t="e">
        <f ca="1">L58</f>
        <v>#DIV/0!</v>
      </c>
      <c r="R73" s="2389" t="s">
        <v>1307</v>
      </c>
    </row>
    <row r="74" ht="13.95" spans="1:18">
      <c r="A74" s="848"/>
      <c r="B74" s="475" t="s">
        <v>1327</v>
      </c>
      <c r="C74" s="2405"/>
      <c r="D74" s="848"/>
      <c r="E74" s="848"/>
      <c r="F74" s="848"/>
      <c r="O74" s="2355" t="s">
        <v>1328</v>
      </c>
      <c r="P74" s="2348" t="str">
        <f>K59</f>
        <v>建筑物剩余耐用年限下的土地年期修正系数Kn</v>
      </c>
      <c r="Q74" s="2389" t="e">
        <f ca="1">L59</f>
        <v>#DIV/0!</v>
      </c>
      <c r="R74" s="2389" t="s">
        <v>1308</v>
      </c>
    </row>
    <row r="75" ht="13.95" spans="1:18">
      <c r="A75" s="848"/>
      <c r="B75" s="2406" t="s">
        <v>1329</v>
      </c>
      <c r="C75" s="2407">
        <f ca="1">ROUND(C13*C76,0)</f>
        <v>0</v>
      </c>
      <c r="D75" s="848"/>
      <c r="E75" s="848"/>
      <c r="F75" s="848"/>
      <c r="K75" s="2334"/>
      <c r="L75" s="848"/>
      <c r="O75" s="2347" t="s">
        <v>1109</v>
      </c>
      <c r="P75" s="2348" t="s">
        <v>1288</v>
      </c>
      <c r="Q75" s="2389" t="e">
        <f ca="1">Q65+Q66</f>
        <v>#DIV/0!</v>
      </c>
      <c r="R75" s="2389" t="s">
        <v>1289</v>
      </c>
    </row>
    <row r="76" spans="2:12">
      <c r="B76" s="624" t="s">
        <v>1330</v>
      </c>
      <c r="C76" s="2408">
        <f ca="1">INDIRECT("'数据-取费表'!j"&amp;$G$1)</f>
        <v>0</v>
      </c>
      <c r="I76" s="848"/>
      <c r="J76" s="848"/>
      <c r="K76" s="2334"/>
      <c r="L76" s="848"/>
    </row>
    <row r="77" spans="2:12">
      <c r="B77" s="2409" t="s">
        <v>1331</v>
      </c>
      <c r="C77" s="2410"/>
      <c r="I77" s="848"/>
      <c r="J77" s="848"/>
      <c r="K77" s="2334"/>
      <c r="L77" s="848"/>
    </row>
    <row r="78" spans="2:3">
      <c r="B78" s="473" t="s">
        <v>1332</v>
      </c>
      <c r="C78" s="2411"/>
    </row>
    <row r="79" spans="2:3">
      <c r="B79" s="2406" t="s">
        <v>1333</v>
      </c>
      <c r="C79" s="476" t="e">
        <f ca="1">1-C80</f>
        <v>#DIV/0!</v>
      </c>
    </row>
    <row r="80" spans="2:3">
      <c r="B80" s="2406" t="s">
        <v>1334</v>
      </c>
      <c r="C80" s="476" t="e">
        <f ca="1">ROUND(C75/C39,3)</f>
        <v>#DIV/0!</v>
      </c>
    </row>
    <row r="81" spans="2:3">
      <c r="B81" s="473" t="s">
        <v>1335</v>
      </c>
      <c r="C81" s="440"/>
    </row>
    <row r="82" spans="2:3">
      <c r="B82" s="475" t="s">
        <v>1085</v>
      </c>
      <c r="C82" s="477" t="e">
        <f ca="1">1-C83</f>
        <v>#DIV/0!</v>
      </c>
    </row>
    <row r="83" spans="2:3">
      <c r="B83" s="475" t="s">
        <v>1086</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938" customWidth="1"/>
    <col min="2" max="2" width="8.88888888888889" style="1938"/>
    <col min="3" max="5" width="12.8888888888889" style="1938" customWidth="1"/>
    <col min="6" max="6" width="47.4444444444444" style="1938" customWidth="1"/>
    <col min="7" max="7" width="13" style="1939" customWidth="1"/>
    <col min="8" max="8" width="8.88888888888889" style="1940"/>
    <col min="9" max="9" width="8.88888888888889" style="1941"/>
    <col min="10" max="10" width="5.77777777777778" style="1942" customWidth="1"/>
    <col min="11" max="11" width="11.7777777777778" style="1942" customWidth="1"/>
    <col min="12" max="13" width="10.7777777777778" style="1942" customWidth="1"/>
    <col min="14" max="14" width="10" style="1942" customWidth="1"/>
    <col min="15" max="16" width="10.4444444444444" style="1942" customWidth="1"/>
    <col min="17" max="17" width="10" style="1942" customWidth="1"/>
    <col min="18" max="18" width="10.1111111111111" style="1942" customWidth="1"/>
    <col min="19" max="19" width="10" style="1942" customWidth="1"/>
    <col min="20" max="20" width="26.1111111111111" style="1942" customWidth="1"/>
    <col min="21" max="21" width="8.88888888888889" style="1942"/>
    <col min="22" max="22" width="8.88888888888889" style="1941"/>
    <col min="23" max="256" width="8.88888888888889" style="1938"/>
    <col min="257" max="257" width="9.44444444444444" style="1938" customWidth="1"/>
    <col min="258" max="258" width="8.88888888888889" style="1938"/>
    <col min="259" max="261" width="12.8888888888889" style="1938" customWidth="1"/>
    <col min="262" max="262" width="47.4444444444444" style="1938" customWidth="1"/>
    <col min="263" max="263" width="13" style="1938" customWidth="1"/>
    <col min="264" max="265" width="8.88888888888889" style="1938"/>
    <col min="266" max="266" width="5.77777777777778" style="1938" customWidth="1"/>
    <col min="267" max="267" width="11.7777777777778" style="1938" customWidth="1"/>
    <col min="268" max="269" width="10.7777777777778" style="1938" customWidth="1"/>
    <col min="270" max="270" width="10" style="1938" customWidth="1"/>
    <col min="271" max="272" width="10.4444444444444" style="1938" customWidth="1"/>
    <col min="273" max="273" width="10" style="1938" customWidth="1"/>
    <col min="274" max="274" width="10.1111111111111" style="1938" customWidth="1"/>
    <col min="275" max="275" width="10" style="1938" customWidth="1"/>
    <col min="276" max="276" width="26.1111111111111" style="1938" customWidth="1"/>
    <col min="277" max="512" width="8.88888888888889" style="1938"/>
    <col min="513" max="513" width="9.44444444444444" style="1938" customWidth="1"/>
    <col min="514" max="514" width="8.88888888888889" style="1938"/>
    <col min="515" max="517" width="12.8888888888889" style="1938" customWidth="1"/>
    <col min="518" max="518" width="47.4444444444444" style="1938" customWidth="1"/>
    <col min="519" max="519" width="13" style="1938" customWidth="1"/>
    <col min="520" max="521" width="8.88888888888889" style="1938"/>
    <col min="522" max="522" width="5.77777777777778" style="1938" customWidth="1"/>
    <col min="523" max="523" width="11.7777777777778" style="1938" customWidth="1"/>
    <col min="524" max="525" width="10.7777777777778" style="1938" customWidth="1"/>
    <col min="526" max="526" width="10" style="1938" customWidth="1"/>
    <col min="527" max="528" width="10.4444444444444" style="1938" customWidth="1"/>
    <col min="529" max="529" width="10" style="1938" customWidth="1"/>
    <col min="530" max="530" width="10.1111111111111" style="1938" customWidth="1"/>
    <col min="531" max="531" width="10" style="1938" customWidth="1"/>
    <col min="532" max="532" width="26.1111111111111" style="1938" customWidth="1"/>
    <col min="533" max="768" width="8.88888888888889" style="1938"/>
    <col min="769" max="769" width="9.44444444444444" style="1938" customWidth="1"/>
    <col min="770" max="770" width="8.88888888888889" style="1938"/>
    <col min="771" max="773" width="12.8888888888889" style="1938" customWidth="1"/>
    <col min="774" max="774" width="47.4444444444444" style="1938" customWidth="1"/>
    <col min="775" max="775" width="13" style="1938" customWidth="1"/>
    <col min="776" max="777" width="8.88888888888889" style="1938"/>
    <col min="778" max="778" width="5.77777777777778" style="1938" customWidth="1"/>
    <col min="779" max="779" width="11.7777777777778" style="1938" customWidth="1"/>
    <col min="780" max="781" width="10.7777777777778" style="1938" customWidth="1"/>
    <col min="782" max="782" width="10" style="1938" customWidth="1"/>
    <col min="783" max="784" width="10.4444444444444" style="1938" customWidth="1"/>
    <col min="785" max="785" width="10" style="1938" customWidth="1"/>
    <col min="786" max="786" width="10.1111111111111" style="1938" customWidth="1"/>
    <col min="787" max="787" width="10" style="1938" customWidth="1"/>
    <col min="788" max="788" width="26.1111111111111" style="1938" customWidth="1"/>
    <col min="789" max="1024" width="8.88888888888889" style="1938"/>
    <col min="1025" max="1025" width="9.44444444444444" style="1938" customWidth="1"/>
    <col min="1026" max="1026" width="8.88888888888889" style="1938"/>
    <col min="1027" max="1029" width="12.8888888888889" style="1938" customWidth="1"/>
    <col min="1030" max="1030" width="47.4444444444444" style="1938" customWidth="1"/>
    <col min="1031" max="1031" width="13" style="1938" customWidth="1"/>
    <col min="1032" max="1033" width="8.88888888888889" style="1938"/>
    <col min="1034" max="1034" width="5.77777777777778" style="1938" customWidth="1"/>
    <col min="1035" max="1035" width="11.7777777777778" style="1938" customWidth="1"/>
    <col min="1036" max="1037" width="10.7777777777778" style="1938" customWidth="1"/>
    <col min="1038" max="1038" width="10" style="1938" customWidth="1"/>
    <col min="1039" max="1040" width="10.4444444444444" style="1938" customWidth="1"/>
    <col min="1041" max="1041" width="10" style="1938" customWidth="1"/>
    <col min="1042" max="1042" width="10.1111111111111" style="1938" customWidth="1"/>
    <col min="1043" max="1043" width="10" style="1938" customWidth="1"/>
    <col min="1044" max="1044" width="26.1111111111111" style="1938" customWidth="1"/>
    <col min="1045" max="1280" width="8.88888888888889" style="1938"/>
    <col min="1281" max="1281" width="9.44444444444444" style="1938" customWidth="1"/>
    <col min="1282" max="1282" width="8.88888888888889" style="1938"/>
    <col min="1283" max="1285" width="12.8888888888889" style="1938" customWidth="1"/>
    <col min="1286" max="1286" width="47.4444444444444" style="1938" customWidth="1"/>
    <col min="1287" max="1287" width="13" style="1938" customWidth="1"/>
    <col min="1288" max="1289" width="8.88888888888889" style="1938"/>
    <col min="1290" max="1290" width="5.77777777777778" style="1938" customWidth="1"/>
    <col min="1291" max="1291" width="11.7777777777778" style="1938" customWidth="1"/>
    <col min="1292" max="1293" width="10.7777777777778" style="1938" customWidth="1"/>
    <col min="1294" max="1294" width="10" style="1938" customWidth="1"/>
    <col min="1295" max="1296" width="10.4444444444444" style="1938" customWidth="1"/>
    <col min="1297" max="1297" width="10" style="1938" customWidth="1"/>
    <col min="1298" max="1298" width="10.1111111111111" style="1938" customWidth="1"/>
    <col min="1299" max="1299" width="10" style="1938" customWidth="1"/>
    <col min="1300" max="1300" width="26.1111111111111" style="1938" customWidth="1"/>
    <col min="1301" max="1536" width="8.88888888888889" style="1938"/>
    <col min="1537" max="1537" width="9.44444444444444" style="1938" customWidth="1"/>
    <col min="1538" max="1538" width="8.88888888888889" style="1938"/>
    <col min="1539" max="1541" width="12.8888888888889" style="1938" customWidth="1"/>
    <col min="1542" max="1542" width="47.4444444444444" style="1938" customWidth="1"/>
    <col min="1543" max="1543" width="13" style="1938" customWidth="1"/>
    <col min="1544" max="1545" width="8.88888888888889" style="1938"/>
    <col min="1546" max="1546" width="5.77777777777778" style="1938" customWidth="1"/>
    <col min="1547" max="1547" width="11.7777777777778" style="1938" customWidth="1"/>
    <col min="1548" max="1549" width="10.7777777777778" style="1938" customWidth="1"/>
    <col min="1550" max="1550" width="10" style="1938" customWidth="1"/>
    <col min="1551" max="1552" width="10.4444444444444" style="1938" customWidth="1"/>
    <col min="1553" max="1553" width="10" style="1938" customWidth="1"/>
    <col min="1554" max="1554" width="10.1111111111111" style="1938" customWidth="1"/>
    <col min="1555" max="1555" width="10" style="1938" customWidth="1"/>
    <col min="1556" max="1556" width="26.1111111111111" style="1938" customWidth="1"/>
    <col min="1557" max="1792" width="8.88888888888889" style="1938"/>
    <col min="1793" max="1793" width="9.44444444444444" style="1938" customWidth="1"/>
    <col min="1794" max="1794" width="8.88888888888889" style="1938"/>
    <col min="1795" max="1797" width="12.8888888888889" style="1938" customWidth="1"/>
    <col min="1798" max="1798" width="47.4444444444444" style="1938" customWidth="1"/>
    <col min="1799" max="1799" width="13" style="1938" customWidth="1"/>
    <col min="1800" max="1801" width="8.88888888888889" style="1938"/>
    <col min="1802" max="1802" width="5.77777777777778" style="1938" customWidth="1"/>
    <col min="1803" max="1803" width="11.7777777777778" style="1938" customWidth="1"/>
    <col min="1804" max="1805" width="10.7777777777778" style="1938" customWidth="1"/>
    <col min="1806" max="1806" width="10" style="1938" customWidth="1"/>
    <col min="1807" max="1808" width="10.4444444444444" style="1938" customWidth="1"/>
    <col min="1809" max="1809" width="10" style="1938" customWidth="1"/>
    <col min="1810" max="1810" width="10.1111111111111" style="1938" customWidth="1"/>
    <col min="1811" max="1811" width="10" style="1938" customWidth="1"/>
    <col min="1812" max="1812" width="26.1111111111111" style="1938" customWidth="1"/>
    <col min="1813" max="2048" width="8.88888888888889" style="1938"/>
    <col min="2049" max="2049" width="9.44444444444444" style="1938" customWidth="1"/>
    <col min="2050" max="2050" width="8.88888888888889" style="1938"/>
    <col min="2051" max="2053" width="12.8888888888889" style="1938" customWidth="1"/>
    <col min="2054" max="2054" width="47.4444444444444" style="1938" customWidth="1"/>
    <col min="2055" max="2055" width="13" style="1938" customWidth="1"/>
    <col min="2056" max="2057" width="8.88888888888889" style="1938"/>
    <col min="2058" max="2058" width="5.77777777777778" style="1938" customWidth="1"/>
    <col min="2059" max="2059" width="11.7777777777778" style="1938" customWidth="1"/>
    <col min="2060" max="2061" width="10.7777777777778" style="1938" customWidth="1"/>
    <col min="2062" max="2062" width="10" style="1938" customWidth="1"/>
    <col min="2063" max="2064" width="10.4444444444444" style="1938" customWidth="1"/>
    <col min="2065" max="2065" width="10" style="1938" customWidth="1"/>
    <col min="2066" max="2066" width="10.1111111111111" style="1938" customWidth="1"/>
    <col min="2067" max="2067" width="10" style="1938" customWidth="1"/>
    <col min="2068" max="2068" width="26.1111111111111" style="1938" customWidth="1"/>
    <col min="2069" max="2304" width="8.88888888888889" style="1938"/>
    <col min="2305" max="2305" width="9.44444444444444" style="1938" customWidth="1"/>
    <col min="2306" max="2306" width="8.88888888888889" style="1938"/>
    <col min="2307" max="2309" width="12.8888888888889" style="1938" customWidth="1"/>
    <col min="2310" max="2310" width="47.4444444444444" style="1938" customWidth="1"/>
    <col min="2311" max="2311" width="13" style="1938" customWidth="1"/>
    <col min="2312" max="2313" width="8.88888888888889" style="1938"/>
    <col min="2314" max="2314" width="5.77777777777778" style="1938" customWidth="1"/>
    <col min="2315" max="2315" width="11.7777777777778" style="1938" customWidth="1"/>
    <col min="2316" max="2317" width="10.7777777777778" style="1938" customWidth="1"/>
    <col min="2318" max="2318" width="10" style="1938" customWidth="1"/>
    <col min="2319" max="2320" width="10.4444444444444" style="1938" customWidth="1"/>
    <col min="2321" max="2321" width="10" style="1938" customWidth="1"/>
    <col min="2322" max="2322" width="10.1111111111111" style="1938" customWidth="1"/>
    <col min="2323" max="2323" width="10" style="1938" customWidth="1"/>
    <col min="2324" max="2324" width="26.1111111111111" style="1938" customWidth="1"/>
    <col min="2325" max="2560" width="8.88888888888889" style="1938"/>
    <col min="2561" max="2561" width="9.44444444444444" style="1938" customWidth="1"/>
    <col min="2562" max="2562" width="8.88888888888889" style="1938"/>
    <col min="2563" max="2565" width="12.8888888888889" style="1938" customWidth="1"/>
    <col min="2566" max="2566" width="47.4444444444444" style="1938" customWidth="1"/>
    <col min="2567" max="2567" width="13" style="1938" customWidth="1"/>
    <col min="2568" max="2569" width="8.88888888888889" style="1938"/>
    <col min="2570" max="2570" width="5.77777777777778" style="1938" customWidth="1"/>
    <col min="2571" max="2571" width="11.7777777777778" style="1938" customWidth="1"/>
    <col min="2572" max="2573" width="10.7777777777778" style="1938" customWidth="1"/>
    <col min="2574" max="2574" width="10" style="1938" customWidth="1"/>
    <col min="2575" max="2576" width="10.4444444444444" style="1938" customWidth="1"/>
    <col min="2577" max="2577" width="10" style="1938" customWidth="1"/>
    <col min="2578" max="2578" width="10.1111111111111" style="1938" customWidth="1"/>
    <col min="2579" max="2579" width="10" style="1938" customWidth="1"/>
    <col min="2580" max="2580" width="26.1111111111111" style="1938" customWidth="1"/>
    <col min="2581" max="2816" width="8.88888888888889" style="1938"/>
    <col min="2817" max="2817" width="9.44444444444444" style="1938" customWidth="1"/>
    <col min="2818" max="2818" width="8.88888888888889" style="1938"/>
    <col min="2819" max="2821" width="12.8888888888889" style="1938" customWidth="1"/>
    <col min="2822" max="2822" width="47.4444444444444" style="1938" customWidth="1"/>
    <col min="2823" max="2823" width="13" style="1938" customWidth="1"/>
    <col min="2824" max="2825" width="8.88888888888889" style="1938"/>
    <col min="2826" max="2826" width="5.77777777777778" style="1938" customWidth="1"/>
    <col min="2827" max="2827" width="11.7777777777778" style="1938" customWidth="1"/>
    <col min="2828" max="2829" width="10.7777777777778" style="1938" customWidth="1"/>
    <col min="2830" max="2830" width="10" style="1938" customWidth="1"/>
    <col min="2831" max="2832" width="10.4444444444444" style="1938" customWidth="1"/>
    <col min="2833" max="2833" width="10" style="1938" customWidth="1"/>
    <col min="2834" max="2834" width="10.1111111111111" style="1938" customWidth="1"/>
    <col min="2835" max="2835" width="10" style="1938" customWidth="1"/>
    <col min="2836" max="2836" width="26.1111111111111" style="1938" customWidth="1"/>
    <col min="2837" max="3072" width="8.88888888888889" style="1938"/>
    <col min="3073" max="3073" width="9.44444444444444" style="1938" customWidth="1"/>
    <col min="3074" max="3074" width="8.88888888888889" style="1938"/>
    <col min="3075" max="3077" width="12.8888888888889" style="1938" customWidth="1"/>
    <col min="3078" max="3078" width="47.4444444444444" style="1938" customWidth="1"/>
    <col min="3079" max="3079" width="13" style="1938" customWidth="1"/>
    <col min="3080" max="3081" width="8.88888888888889" style="1938"/>
    <col min="3082" max="3082" width="5.77777777777778" style="1938" customWidth="1"/>
    <col min="3083" max="3083" width="11.7777777777778" style="1938" customWidth="1"/>
    <col min="3084" max="3085" width="10.7777777777778" style="1938" customWidth="1"/>
    <col min="3086" max="3086" width="10" style="1938" customWidth="1"/>
    <col min="3087" max="3088" width="10.4444444444444" style="1938" customWidth="1"/>
    <col min="3089" max="3089" width="10" style="1938" customWidth="1"/>
    <col min="3090" max="3090" width="10.1111111111111" style="1938" customWidth="1"/>
    <col min="3091" max="3091" width="10" style="1938" customWidth="1"/>
    <col min="3092" max="3092" width="26.1111111111111" style="1938" customWidth="1"/>
    <col min="3093" max="3328" width="8.88888888888889" style="1938"/>
    <col min="3329" max="3329" width="9.44444444444444" style="1938" customWidth="1"/>
    <col min="3330" max="3330" width="8.88888888888889" style="1938"/>
    <col min="3331" max="3333" width="12.8888888888889" style="1938" customWidth="1"/>
    <col min="3334" max="3334" width="47.4444444444444" style="1938" customWidth="1"/>
    <col min="3335" max="3335" width="13" style="1938" customWidth="1"/>
    <col min="3336" max="3337" width="8.88888888888889" style="1938"/>
    <col min="3338" max="3338" width="5.77777777777778" style="1938" customWidth="1"/>
    <col min="3339" max="3339" width="11.7777777777778" style="1938" customWidth="1"/>
    <col min="3340" max="3341" width="10.7777777777778" style="1938" customWidth="1"/>
    <col min="3342" max="3342" width="10" style="1938" customWidth="1"/>
    <col min="3343" max="3344" width="10.4444444444444" style="1938" customWidth="1"/>
    <col min="3345" max="3345" width="10" style="1938" customWidth="1"/>
    <col min="3346" max="3346" width="10.1111111111111" style="1938" customWidth="1"/>
    <col min="3347" max="3347" width="10" style="1938" customWidth="1"/>
    <col min="3348" max="3348" width="26.1111111111111" style="1938" customWidth="1"/>
    <col min="3349" max="3584" width="8.88888888888889" style="1938"/>
    <col min="3585" max="3585" width="9.44444444444444" style="1938" customWidth="1"/>
    <col min="3586" max="3586" width="8.88888888888889" style="1938"/>
    <col min="3587" max="3589" width="12.8888888888889" style="1938" customWidth="1"/>
    <col min="3590" max="3590" width="47.4444444444444" style="1938" customWidth="1"/>
    <col min="3591" max="3591" width="13" style="1938" customWidth="1"/>
    <col min="3592" max="3593" width="8.88888888888889" style="1938"/>
    <col min="3594" max="3594" width="5.77777777777778" style="1938" customWidth="1"/>
    <col min="3595" max="3595" width="11.7777777777778" style="1938" customWidth="1"/>
    <col min="3596" max="3597" width="10.7777777777778" style="1938" customWidth="1"/>
    <col min="3598" max="3598" width="10" style="1938" customWidth="1"/>
    <col min="3599" max="3600" width="10.4444444444444" style="1938" customWidth="1"/>
    <col min="3601" max="3601" width="10" style="1938" customWidth="1"/>
    <col min="3602" max="3602" width="10.1111111111111" style="1938" customWidth="1"/>
    <col min="3603" max="3603" width="10" style="1938" customWidth="1"/>
    <col min="3604" max="3604" width="26.1111111111111" style="1938" customWidth="1"/>
    <col min="3605" max="3840" width="8.88888888888889" style="1938"/>
    <col min="3841" max="3841" width="9.44444444444444" style="1938" customWidth="1"/>
    <col min="3842" max="3842" width="8.88888888888889" style="1938"/>
    <col min="3843" max="3845" width="12.8888888888889" style="1938" customWidth="1"/>
    <col min="3846" max="3846" width="47.4444444444444" style="1938" customWidth="1"/>
    <col min="3847" max="3847" width="13" style="1938" customWidth="1"/>
    <col min="3848" max="3849" width="8.88888888888889" style="1938"/>
    <col min="3850" max="3850" width="5.77777777777778" style="1938" customWidth="1"/>
    <col min="3851" max="3851" width="11.7777777777778" style="1938" customWidth="1"/>
    <col min="3852" max="3853" width="10.7777777777778" style="1938" customWidth="1"/>
    <col min="3854" max="3854" width="10" style="1938" customWidth="1"/>
    <col min="3855" max="3856" width="10.4444444444444" style="1938" customWidth="1"/>
    <col min="3857" max="3857" width="10" style="1938" customWidth="1"/>
    <col min="3858" max="3858" width="10.1111111111111" style="1938" customWidth="1"/>
    <col min="3859" max="3859" width="10" style="1938" customWidth="1"/>
    <col min="3860" max="3860" width="26.1111111111111" style="1938" customWidth="1"/>
    <col min="3861" max="4096" width="8.88888888888889" style="1938"/>
    <col min="4097" max="4097" width="9.44444444444444" style="1938" customWidth="1"/>
    <col min="4098" max="4098" width="8.88888888888889" style="1938"/>
    <col min="4099" max="4101" width="12.8888888888889" style="1938" customWidth="1"/>
    <col min="4102" max="4102" width="47.4444444444444" style="1938" customWidth="1"/>
    <col min="4103" max="4103" width="13" style="1938" customWidth="1"/>
    <col min="4104" max="4105" width="8.88888888888889" style="1938"/>
    <col min="4106" max="4106" width="5.77777777777778" style="1938" customWidth="1"/>
    <col min="4107" max="4107" width="11.7777777777778" style="1938" customWidth="1"/>
    <col min="4108" max="4109" width="10.7777777777778" style="1938" customWidth="1"/>
    <col min="4110" max="4110" width="10" style="1938" customWidth="1"/>
    <col min="4111" max="4112" width="10.4444444444444" style="1938" customWidth="1"/>
    <col min="4113" max="4113" width="10" style="1938" customWidth="1"/>
    <col min="4114" max="4114" width="10.1111111111111" style="1938" customWidth="1"/>
    <col min="4115" max="4115" width="10" style="1938" customWidth="1"/>
    <col min="4116" max="4116" width="26.1111111111111" style="1938" customWidth="1"/>
    <col min="4117" max="4352" width="8.88888888888889" style="1938"/>
    <col min="4353" max="4353" width="9.44444444444444" style="1938" customWidth="1"/>
    <col min="4354" max="4354" width="8.88888888888889" style="1938"/>
    <col min="4355" max="4357" width="12.8888888888889" style="1938" customWidth="1"/>
    <col min="4358" max="4358" width="47.4444444444444" style="1938" customWidth="1"/>
    <col min="4359" max="4359" width="13" style="1938" customWidth="1"/>
    <col min="4360" max="4361" width="8.88888888888889" style="1938"/>
    <col min="4362" max="4362" width="5.77777777777778" style="1938" customWidth="1"/>
    <col min="4363" max="4363" width="11.7777777777778" style="1938" customWidth="1"/>
    <col min="4364" max="4365" width="10.7777777777778" style="1938" customWidth="1"/>
    <col min="4366" max="4366" width="10" style="1938" customWidth="1"/>
    <col min="4367" max="4368" width="10.4444444444444" style="1938" customWidth="1"/>
    <col min="4369" max="4369" width="10" style="1938" customWidth="1"/>
    <col min="4370" max="4370" width="10.1111111111111" style="1938" customWidth="1"/>
    <col min="4371" max="4371" width="10" style="1938" customWidth="1"/>
    <col min="4372" max="4372" width="26.1111111111111" style="1938" customWidth="1"/>
    <col min="4373" max="4608" width="8.88888888888889" style="1938"/>
    <col min="4609" max="4609" width="9.44444444444444" style="1938" customWidth="1"/>
    <col min="4610" max="4610" width="8.88888888888889" style="1938"/>
    <col min="4611" max="4613" width="12.8888888888889" style="1938" customWidth="1"/>
    <col min="4614" max="4614" width="47.4444444444444" style="1938" customWidth="1"/>
    <col min="4615" max="4615" width="13" style="1938" customWidth="1"/>
    <col min="4616" max="4617" width="8.88888888888889" style="1938"/>
    <col min="4618" max="4618" width="5.77777777777778" style="1938" customWidth="1"/>
    <col min="4619" max="4619" width="11.7777777777778" style="1938" customWidth="1"/>
    <col min="4620" max="4621" width="10.7777777777778" style="1938" customWidth="1"/>
    <col min="4622" max="4622" width="10" style="1938" customWidth="1"/>
    <col min="4623" max="4624" width="10.4444444444444" style="1938" customWidth="1"/>
    <col min="4625" max="4625" width="10" style="1938" customWidth="1"/>
    <col min="4626" max="4626" width="10.1111111111111" style="1938" customWidth="1"/>
    <col min="4627" max="4627" width="10" style="1938" customWidth="1"/>
    <col min="4628" max="4628" width="26.1111111111111" style="1938" customWidth="1"/>
    <col min="4629" max="4864" width="8.88888888888889" style="1938"/>
    <col min="4865" max="4865" width="9.44444444444444" style="1938" customWidth="1"/>
    <col min="4866" max="4866" width="8.88888888888889" style="1938"/>
    <col min="4867" max="4869" width="12.8888888888889" style="1938" customWidth="1"/>
    <col min="4870" max="4870" width="47.4444444444444" style="1938" customWidth="1"/>
    <col min="4871" max="4871" width="13" style="1938" customWidth="1"/>
    <col min="4872" max="4873" width="8.88888888888889" style="1938"/>
    <col min="4874" max="4874" width="5.77777777777778" style="1938" customWidth="1"/>
    <col min="4875" max="4875" width="11.7777777777778" style="1938" customWidth="1"/>
    <col min="4876" max="4877" width="10.7777777777778" style="1938" customWidth="1"/>
    <col min="4878" max="4878" width="10" style="1938" customWidth="1"/>
    <col min="4879" max="4880" width="10.4444444444444" style="1938" customWidth="1"/>
    <col min="4881" max="4881" width="10" style="1938" customWidth="1"/>
    <col min="4882" max="4882" width="10.1111111111111" style="1938" customWidth="1"/>
    <col min="4883" max="4883" width="10" style="1938" customWidth="1"/>
    <col min="4884" max="4884" width="26.1111111111111" style="1938" customWidth="1"/>
    <col min="4885" max="5120" width="8.88888888888889" style="1938"/>
    <col min="5121" max="5121" width="9.44444444444444" style="1938" customWidth="1"/>
    <col min="5122" max="5122" width="8.88888888888889" style="1938"/>
    <col min="5123" max="5125" width="12.8888888888889" style="1938" customWidth="1"/>
    <col min="5126" max="5126" width="47.4444444444444" style="1938" customWidth="1"/>
    <col min="5127" max="5127" width="13" style="1938" customWidth="1"/>
    <col min="5128" max="5129" width="8.88888888888889" style="1938"/>
    <col min="5130" max="5130" width="5.77777777777778" style="1938" customWidth="1"/>
    <col min="5131" max="5131" width="11.7777777777778" style="1938" customWidth="1"/>
    <col min="5132" max="5133" width="10.7777777777778" style="1938" customWidth="1"/>
    <col min="5134" max="5134" width="10" style="1938" customWidth="1"/>
    <col min="5135" max="5136" width="10.4444444444444" style="1938" customWidth="1"/>
    <col min="5137" max="5137" width="10" style="1938" customWidth="1"/>
    <col min="5138" max="5138" width="10.1111111111111" style="1938" customWidth="1"/>
    <col min="5139" max="5139" width="10" style="1938" customWidth="1"/>
    <col min="5140" max="5140" width="26.1111111111111" style="1938" customWidth="1"/>
    <col min="5141" max="5376" width="8.88888888888889" style="1938"/>
    <col min="5377" max="5377" width="9.44444444444444" style="1938" customWidth="1"/>
    <col min="5378" max="5378" width="8.88888888888889" style="1938"/>
    <col min="5379" max="5381" width="12.8888888888889" style="1938" customWidth="1"/>
    <col min="5382" max="5382" width="47.4444444444444" style="1938" customWidth="1"/>
    <col min="5383" max="5383" width="13" style="1938" customWidth="1"/>
    <col min="5384" max="5385" width="8.88888888888889" style="1938"/>
    <col min="5386" max="5386" width="5.77777777777778" style="1938" customWidth="1"/>
    <col min="5387" max="5387" width="11.7777777777778" style="1938" customWidth="1"/>
    <col min="5388" max="5389" width="10.7777777777778" style="1938" customWidth="1"/>
    <col min="5390" max="5390" width="10" style="1938" customWidth="1"/>
    <col min="5391" max="5392" width="10.4444444444444" style="1938" customWidth="1"/>
    <col min="5393" max="5393" width="10" style="1938" customWidth="1"/>
    <col min="5394" max="5394" width="10.1111111111111" style="1938" customWidth="1"/>
    <col min="5395" max="5395" width="10" style="1938" customWidth="1"/>
    <col min="5396" max="5396" width="26.1111111111111" style="1938" customWidth="1"/>
    <col min="5397" max="5632" width="8.88888888888889" style="1938"/>
    <col min="5633" max="5633" width="9.44444444444444" style="1938" customWidth="1"/>
    <col min="5634" max="5634" width="8.88888888888889" style="1938"/>
    <col min="5635" max="5637" width="12.8888888888889" style="1938" customWidth="1"/>
    <col min="5638" max="5638" width="47.4444444444444" style="1938" customWidth="1"/>
    <col min="5639" max="5639" width="13" style="1938" customWidth="1"/>
    <col min="5640" max="5641" width="8.88888888888889" style="1938"/>
    <col min="5642" max="5642" width="5.77777777777778" style="1938" customWidth="1"/>
    <col min="5643" max="5643" width="11.7777777777778" style="1938" customWidth="1"/>
    <col min="5644" max="5645" width="10.7777777777778" style="1938" customWidth="1"/>
    <col min="5646" max="5646" width="10" style="1938" customWidth="1"/>
    <col min="5647" max="5648" width="10.4444444444444" style="1938" customWidth="1"/>
    <col min="5649" max="5649" width="10" style="1938" customWidth="1"/>
    <col min="5650" max="5650" width="10.1111111111111" style="1938" customWidth="1"/>
    <col min="5651" max="5651" width="10" style="1938" customWidth="1"/>
    <col min="5652" max="5652" width="26.1111111111111" style="1938" customWidth="1"/>
    <col min="5653" max="5888" width="8.88888888888889" style="1938"/>
    <col min="5889" max="5889" width="9.44444444444444" style="1938" customWidth="1"/>
    <col min="5890" max="5890" width="8.88888888888889" style="1938"/>
    <col min="5891" max="5893" width="12.8888888888889" style="1938" customWidth="1"/>
    <col min="5894" max="5894" width="47.4444444444444" style="1938" customWidth="1"/>
    <col min="5895" max="5895" width="13" style="1938" customWidth="1"/>
    <col min="5896" max="5897" width="8.88888888888889" style="1938"/>
    <col min="5898" max="5898" width="5.77777777777778" style="1938" customWidth="1"/>
    <col min="5899" max="5899" width="11.7777777777778" style="1938" customWidth="1"/>
    <col min="5900" max="5901" width="10.7777777777778" style="1938" customWidth="1"/>
    <col min="5902" max="5902" width="10" style="1938" customWidth="1"/>
    <col min="5903" max="5904" width="10.4444444444444" style="1938" customWidth="1"/>
    <col min="5905" max="5905" width="10" style="1938" customWidth="1"/>
    <col min="5906" max="5906" width="10.1111111111111" style="1938" customWidth="1"/>
    <col min="5907" max="5907" width="10" style="1938" customWidth="1"/>
    <col min="5908" max="5908" width="26.1111111111111" style="1938" customWidth="1"/>
    <col min="5909" max="6144" width="8.88888888888889" style="1938"/>
    <col min="6145" max="6145" width="9.44444444444444" style="1938" customWidth="1"/>
    <col min="6146" max="6146" width="8.88888888888889" style="1938"/>
    <col min="6147" max="6149" width="12.8888888888889" style="1938" customWidth="1"/>
    <col min="6150" max="6150" width="47.4444444444444" style="1938" customWidth="1"/>
    <col min="6151" max="6151" width="13" style="1938" customWidth="1"/>
    <col min="6152" max="6153" width="8.88888888888889" style="1938"/>
    <col min="6154" max="6154" width="5.77777777777778" style="1938" customWidth="1"/>
    <col min="6155" max="6155" width="11.7777777777778" style="1938" customWidth="1"/>
    <col min="6156" max="6157" width="10.7777777777778" style="1938" customWidth="1"/>
    <col min="6158" max="6158" width="10" style="1938" customWidth="1"/>
    <col min="6159" max="6160" width="10.4444444444444" style="1938" customWidth="1"/>
    <col min="6161" max="6161" width="10" style="1938" customWidth="1"/>
    <col min="6162" max="6162" width="10.1111111111111" style="1938" customWidth="1"/>
    <col min="6163" max="6163" width="10" style="1938" customWidth="1"/>
    <col min="6164" max="6164" width="26.1111111111111" style="1938" customWidth="1"/>
    <col min="6165" max="6400" width="8.88888888888889" style="1938"/>
    <col min="6401" max="6401" width="9.44444444444444" style="1938" customWidth="1"/>
    <col min="6402" max="6402" width="8.88888888888889" style="1938"/>
    <col min="6403" max="6405" width="12.8888888888889" style="1938" customWidth="1"/>
    <col min="6406" max="6406" width="47.4444444444444" style="1938" customWidth="1"/>
    <col min="6407" max="6407" width="13" style="1938" customWidth="1"/>
    <col min="6408" max="6409" width="8.88888888888889" style="1938"/>
    <col min="6410" max="6410" width="5.77777777777778" style="1938" customWidth="1"/>
    <col min="6411" max="6411" width="11.7777777777778" style="1938" customWidth="1"/>
    <col min="6412" max="6413" width="10.7777777777778" style="1938" customWidth="1"/>
    <col min="6414" max="6414" width="10" style="1938" customWidth="1"/>
    <col min="6415" max="6416" width="10.4444444444444" style="1938" customWidth="1"/>
    <col min="6417" max="6417" width="10" style="1938" customWidth="1"/>
    <col min="6418" max="6418" width="10.1111111111111" style="1938" customWidth="1"/>
    <col min="6419" max="6419" width="10" style="1938" customWidth="1"/>
    <col min="6420" max="6420" width="26.1111111111111" style="1938" customWidth="1"/>
    <col min="6421" max="6656" width="8.88888888888889" style="1938"/>
    <col min="6657" max="6657" width="9.44444444444444" style="1938" customWidth="1"/>
    <col min="6658" max="6658" width="8.88888888888889" style="1938"/>
    <col min="6659" max="6661" width="12.8888888888889" style="1938" customWidth="1"/>
    <col min="6662" max="6662" width="47.4444444444444" style="1938" customWidth="1"/>
    <col min="6663" max="6663" width="13" style="1938" customWidth="1"/>
    <col min="6664" max="6665" width="8.88888888888889" style="1938"/>
    <col min="6666" max="6666" width="5.77777777777778" style="1938" customWidth="1"/>
    <col min="6667" max="6667" width="11.7777777777778" style="1938" customWidth="1"/>
    <col min="6668" max="6669" width="10.7777777777778" style="1938" customWidth="1"/>
    <col min="6670" max="6670" width="10" style="1938" customWidth="1"/>
    <col min="6671" max="6672" width="10.4444444444444" style="1938" customWidth="1"/>
    <col min="6673" max="6673" width="10" style="1938" customWidth="1"/>
    <col min="6674" max="6674" width="10.1111111111111" style="1938" customWidth="1"/>
    <col min="6675" max="6675" width="10" style="1938" customWidth="1"/>
    <col min="6676" max="6676" width="26.1111111111111" style="1938" customWidth="1"/>
    <col min="6677" max="6912" width="8.88888888888889" style="1938"/>
    <col min="6913" max="6913" width="9.44444444444444" style="1938" customWidth="1"/>
    <col min="6914" max="6914" width="8.88888888888889" style="1938"/>
    <col min="6915" max="6917" width="12.8888888888889" style="1938" customWidth="1"/>
    <col min="6918" max="6918" width="47.4444444444444" style="1938" customWidth="1"/>
    <col min="6919" max="6919" width="13" style="1938" customWidth="1"/>
    <col min="6920" max="6921" width="8.88888888888889" style="1938"/>
    <col min="6922" max="6922" width="5.77777777777778" style="1938" customWidth="1"/>
    <col min="6923" max="6923" width="11.7777777777778" style="1938" customWidth="1"/>
    <col min="6924" max="6925" width="10.7777777777778" style="1938" customWidth="1"/>
    <col min="6926" max="6926" width="10" style="1938" customWidth="1"/>
    <col min="6927" max="6928" width="10.4444444444444" style="1938" customWidth="1"/>
    <col min="6929" max="6929" width="10" style="1938" customWidth="1"/>
    <col min="6930" max="6930" width="10.1111111111111" style="1938" customWidth="1"/>
    <col min="6931" max="6931" width="10" style="1938" customWidth="1"/>
    <col min="6932" max="6932" width="26.1111111111111" style="1938" customWidth="1"/>
    <col min="6933" max="7168" width="8.88888888888889" style="1938"/>
    <col min="7169" max="7169" width="9.44444444444444" style="1938" customWidth="1"/>
    <col min="7170" max="7170" width="8.88888888888889" style="1938"/>
    <col min="7171" max="7173" width="12.8888888888889" style="1938" customWidth="1"/>
    <col min="7174" max="7174" width="47.4444444444444" style="1938" customWidth="1"/>
    <col min="7175" max="7175" width="13" style="1938" customWidth="1"/>
    <col min="7176" max="7177" width="8.88888888888889" style="1938"/>
    <col min="7178" max="7178" width="5.77777777777778" style="1938" customWidth="1"/>
    <col min="7179" max="7179" width="11.7777777777778" style="1938" customWidth="1"/>
    <col min="7180" max="7181" width="10.7777777777778" style="1938" customWidth="1"/>
    <col min="7182" max="7182" width="10" style="1938" customWidth="1"/>
    <col min="7183" max="7184" width="10.4444444444444" style="1938" customWidth="1"/>
    <col min="7185" max="7185" width="10" style="1938" customWidth="1"/>
    <col min="7186" max="7186" width="10.1111111111111" style="1938" customWidth="1"/>
    <col min="7187" max="7187" width="10" style="1938" customWidth="1"/>
    <col min="7188" max="7188" width="26.1111111111111" style="1938" customWidth="1"/>
    <col min="7189" max="7424" width="8.88888888888889" style="1938"/>
    <col min="7425" max="7425" width="9.44444444444444" style="1938" customWidth="1"/>
    <col min="7426" max="7426" width="8.88888888888889" style="1938"/>
    <col min="7427" max="7429" width="12.8888888888889" style="1938" customWidth="1"/>
    <col min="7430" max="7430" width="47.4444444444444" style="1938" customWidth="1"/>
    <col min="7431" max="7431" width="13" style="1938" customWidth="1"/>
    <col min="7432" max="7433" width="8.88888888888889" style="1938"/>
    <col min="7434" max="7434" width="5.77777777777778" style="1938" customWidth="1"/>
    <col min="7435" max="7435" width="11.7777777777778" style="1938" customWidth="1"/>
    <col min="7436" max="7437" width="10.7777777777778" style="1938" customWidth="1"/>
    <col min="7438" max="7438" width="10" style="1938" customWidth="1"/>
    <col min="7439" max="7440" width="10.4444444444444" style="1938" customWidth="1"/>
    <col min="7441" max="7441" width="10" style="1938" customWidth="1"/>
    <col min="7442" max="7442" width="10.1111111111111" style="1938" customWidth="1"/>
    <col min="7443" max="7443" width="10" style="1938" customWidth="1"/>
    <col min="7444" max="7444" width="26.1111111111111" style="1938" customWidth="1"/>
    <col min="7445" max="7680" width="8.88888888888889" style="1938"/>
    <col min="7681" max="7681" width="9.44444444444444" style="1938" customWidth="1"/>
    <col min="7682" max="7682" width="8.88888888888889" style="1938"/>
    <col min="7683" max="7685" width="12.8888888888889" style="1938" customWidth="1"/>
    <col min="7686" max="7686" width="47.4444444444444" style="1938" customWidth="1"/>
    <col min="7687" max="7687" width="13" style="1938" customWidth="1"/>
    <col min="7688" max="7689" width="8.88888888888889" style="1938"/>
    <col min="7690" max="7690" width="5.77777777777778" style="1938" customWidth="1"/>
    <col min="7691" max="7691" width="11.7777777777778" style="1938" customWidth="1"/>
    <col min="7692" max="7693" width="10.7777777777778" style="1938" customWidth="1"/>
    <col min="7694" max="7694" width="10" style="1938" customWidth="1"/>
    <col min="7695" max="7696" width="10.4444444444444" style="1938" customWidth="1"/>
    <col min="7697" max="7697" width="10" style="1938" customWidth="1"/>
    <col min="7698" max="7698" width="10.1111111111111" style="1938" customWidth="1"/>
    <col min="7699" max="7699" width="10" style="1938" customWidth="1"/>
    <col min="7700" max="7700" width="26.1111111111111" style="1938" customWidth="1"/>
    <col min="7701" max="7936" width="8.88888888888889" style="1938"/>
    <col min="7937" max="7937" width="9.44444444444444" style="1938" customWidth="1"/>
    <col min="7938" max="7938" width="8.88888888888889" style="1938"/>
    <col min="7939" max="7941" width="12.8888888888889" style="1938" customWidth="1"/>
    <col min="7942" max="7942" width="47.4444444444444" style="1938" customWidth="1"/>
    <col min="7943" max="7943" width="13" style="1938" customWidth="1"/>
    <col min="7944" max="7945" width="8.88888888888889" style="1938"/>
    <col min="7946" max="7946" width="5.77777777777778" style="1938" customWidth="1"/>
    <col min="7947" max="7947" width="11.7777777777778" style="1938" customWidth="1"/>
    <col min="7948" max="7949" width="10.7777777777778" style="1938" customWidth="1"/>
    <col min="7950" max="7950" width="10" style="1938" customWidth="1"/>
    <col min="7951" max="7952" width="10.4444444444444" style="1938" customWidth="1"/>
    <col min="7953" max="7953" width="10" style="1938" customWidth="1"/>
    <col min="7954" max="7954" width="10.1111111111111" style="1938" customWidth="1"/>
    <col min="7955" max="7955" width="10" style="1938" customWidth="1"/>
    <col min="7956" max="7956" width="26.1111111111111" style="1938" customWidth="1"/>
    <col min="7957" max="8192" width="8.88888888888889" style="1938"/>
    <col min="8193" max="8193" width="9.44444444444444" style="1938" customWidth="1"/>
    <col min="8194" max="8194" width="8.88888888888889" style="1938"/>
    <col min="8195" max="8197" width="12.8888888888889" style="1938" customWidth="1"/>
    <col min="8198" max="8198" width="47.4444444444444" style="1938" customWidth="1"/>
    <col min="8199" max="8199" width="13" style="1938" customWidth="1"/>
    <col min="8200" max="8201" width="8.88888888888889" style="1938"/>
    <col min="8202" max="8202" width="5.77777777777778" style="1938" customWidth="1"/>
    <col min="8203" max="8203" width="11.7777777777778" style="1938" customWidth="1"/>
    <col min="8204" max="8205" width="10.7777777777778" style="1938" customWidth="1"/>
    <col min="8206" max="8206" width="10" style="1938" customWidth="1"/>
    <col min="8207" max="8208" width="10.4444444444444" style="1938" customWidth="1"/>
    <col min="8209" max="8209" width="10" style="1938" customWidth="1"/>
    <col min="8210" max="8210" width="10.1111111111111" style="1938" customWidth="1"/>
    <col min="8211" max="8211" width="10" style="1938" customWidth="1"/>
    <col min="8212" max="8212" width="26.1111111111111" style="1938" customWidth="1"/>
    <col min="8213" max="8448" width="8.88888888888889" style="1938"/>
    <col min="8449" max="8449" width="9.44444444444444" style="1938" customWidth="1"/>
    <col min="8450" max="8450" width="8.88888888888889" style="1938"/>
    <col min="8451" max="8453" width="12.8888888888889" style="1938" customWidth="1"/>
    <col min="8454" max="8454" width="47.4444444444444" style="1938" customWidth="1"/>
    <col min="8455" max="8455" width="13" style="1938" customWidth="1"/>
    <col min="8456" max="8457" width="8.88888888888889" style="1938"/>
    <col min="8458" max="8458" width="5.77777777777778" style="1938" customWidth="1"/>
    <col min="8459" max="8459" width="11.7777777777778" style="1938" customWidth="1"/>
    <col min="8460" max="8461" width="10.7777777777778" style="1938" customWidth="1"/>
    <col min="8462" max="8462" width="10" style="1938" customWidth="1"/>
    <col min="8463" max="8464" width="10.4444444444444" style="1938" customWidth="1"/>
    <col min="8465" max="8465" width="10" style="1938" customWidth="1"/>
    <col min="8466" max="8466" width="10.1111111111111" style="1938" customWidth="1"/>
    <col min="8467" max="8467" width="10" style="1938" customWidth="1"/>
    <col min="8468" max="8468" width="26.1111111111111" style="1938" customWidth="1"/>
    <col min="8469" max="8704" width="8.88888888888889" style="1938"/>
    <col min="8705" max="8705" width="9.44444444444444" style="1938" customWidth="1"/>
    <col min="8706" max="8706" width="8.88888888888889" style="1938"/>
    <col min="8707" max="8709" width="12.8888888888889" style="1938" customWidth="1"/>
    <col min="8710" max="8710" width="47.4444444444444" style="1938" customWidth="1"/>
    <col min="8711" max="8711" width="13" style="1938" customWidth="1"/>
    <col min="8712" max="8713" width="8.88888888888889" style="1938"/>
    <col min="8714" max="8714" width="5.77777777777778" style="1938" customWidth="1"/>
    <col min="8715" max="8715" width="11.7777777777778" style="1938" customWidth="1"/>
    <col min="8716" max="8717" width="10.7777777777778" style="1938" customWidth="1"/>
    <col min="8718" max="8718" width="10" style="1938" customWidth="1"/>
    <col min="8719" max="8720" width="10.4444444444444" style="1938" customWidth="1"/>
    <col min="8721" max="8721" width="10" style="1938" customWidth="1"/>
    <col min="8722" max="8722" width="10.1111111111111" style="1938" customWidth="1"/>
    <col min="8723" max="8723" width="10" style="1938" customWidth="1"/>
    <col min="8724" max="8724" width="26.1111111111111" style="1938" customWidth="1"/>
    <col min="8725" max="8960" width="8.88888888888889" style="1938"/>
    <col min="8961" max="8961" width="9.44444444444444" style="1938" customWidth="1"/>
    <col min="8962" max="8962" width="8.88888888888889" style="1938"/>
    <col min="8963" max="8965" width="12.8888888888889" style="1938" customWidth="1"/>
    <col min="8966" max="8966" width="47.4444444444444" style="1938" customWidth="1"/>
    <col min="8967" max="8967" width="13" style="1938" customWidth="1"/>
    <col min="8968" max="8969" width="8.88888888888889" style="1938"/>
    <col min="8970" max="8970" width="5.77777777777778" style="1938" customWidth="1"/>
    <col min="8971" max="8971" width="11.7777777777778" style="1938" customWidth="1"/>
    <col min="8972" max="8973" width="10.7777777777778" style="1938" customWidth="1"/>
    <col min="8974" max="8974" width="10" style="1938" customWidth="1"/>
    <col min="8975" max="8976" width="10.4444444444444" style="1938" customWidth="1"/>
    <col min="8977" max="8977" width="10" style="1938" customWidth="1"/>
    <col min="8978" max="8978" width="10.1111111111111" style="1938" customWidth="1"/>
    <col min="8979" max="8979" width="10" style="1938" customWidth="1"/>
    <col min="8980" max="8980" width="26.1111111111111" style="1938" customWidth="1"/>
    <col min="8981" max="9216" width="8.88888888888889" style="1938"/>
    <col min="9217" max="9217" width="9.44444444444444" style="1938" customWidth="1"/>
    <col min="9218" max="9218" width="8.88888888888889" style="1938"/>
    <col min="9219" max="9221" width="12.8888888888889" style="1938" customWidth="1"/>
    <col min="9222" max="9222" width="47.4444444444444" style="1938" customWidth="1"/>
    <col min="9223" max="9223" width="13" style="1938" customWidth="1"/>
    <col min="9224" max="9225" width="8.88888888888889" style="1938"/>
    <col min="9226" max="9226" width="5.77777777777778" style="1938" customWidth="1"/>
    <col min="9227" max="9227" width="11.7777777777778" style="1938" customWidth="1"/>
    <col min="9228" max="9229" width="10.7777777777778" style="1938" customWidth="1"/>
    <col min="9230" max="9230" width="10" style="1938" customWidth="1"/>
    <col min="9231" max="9232" width="10.4444444444444" style="1938" customWidth="1"/>
    <col min="9233" max="9233" width="10" style="1938" customWidth="1"/>
    <col min="9234" max="9234" width="10.1111111111111" style="1938" customWidth="1"/>
    <col min="9235" max="9235" width="10" style="1938" customWidth="1"/>
    <col min="9236" max="9236" width="26.1111111111111" style="1938" customWidth="1"/>
    <col min="9237" max="9472" width="8.88888888888889" style="1938"/>
    <col min="9473" max="9473" width="9.44444444444444" style="1938" customWidth="1"/>
    <col min="9474" max="9474" width="8.88888888888889" style="1938"/>
    <col min="9475" max="9477" width="12.8888888888889" style="1938" customWidth="1"/>
    <col min="9478" max="9478" width="47.4444444444444" style="1938" customWidth="1"/>
    <col min="9479" max="9479" width="13" style="1938" customWidth="1"/>
    <col min="9480" max="9481" width="8.88888888888889" style="1938"/>
    <col min="9482" max="9482" width="5.77777777777778" style="1938" customWidth="1"/>
    <col min="9483" max="9483" width="11.7777777777778" style="1938" customWidth="1"/>
    <col min="9484" max="9485" width="10.7777777777778" style="1938" customWidth="1"/>
    <col min="9486" max="9486" width="10" style="1938" customWidth="1"/>
    <col min="9487" max="9488" width="10.4444444444444" style="1938" customWidth="1"/>
    <col min="9489" max="9489" width="10" style="1938" customWidth="1"/>
    <col min="9490" max="9490" width="10.1111111111111" style="1938" customWidth="1"/>
    <col min="9491" max="9491" width="10" style="1938" customWidth="1"/>
    <col min="9492" max="9492" width="26.1111111111111" style="1938" customWidth="1"/>
    <col min="9493" max="9728" width="8.88888888888889" style="1938"/>
    <col min="9729" max="9729" width="9.44444444444444" style="1938" customWidth="1"/>
    <col min="9730" max="9730" width="8.88888888888889" style="1938"/>
    <col min="9731" max="9733" width="12.8888888888889" style="1938" customWidth="1"/>
    <col min="9734" max="9734" width="47.4444444444444" style="1938" customWidth="1"/>
    <col min="9735" max="9735" width="13" style="1938" customWidth="1"/>
    <col min="9736" max="9737" width="8.88888888888889" style="1938"/>
    <col min="9738" max="9738" width="5.77777777777778" style="1938" customWidth="1"/>
    <col min="9739" max="9739" width="11.7777777777778" style="1938" customWidth="1"/>
    <col min="9740" max="9741" width="10.7777777777778" style="1938" customWidth="1"/>
    <col min="9742" max="9742" width="10" style="1938" customWidth="1"/>
    <col min="9743" max="9744" width="10.4444444444444" style="1938" customWidth="1"/>
    <col min="9745" max="9745" width="10" style="1938" customWidth="1"/>
    <col min="9746" max="9746" width="10.1111111111111" style="1938" customWidth="1"/>
    <col min="9747" max="9747" width="10" style="1938" customWidth="1"/>
    <col min="9748" max="9748" width="26.1111111111111" style="1938" customWidth="1"/>
    <col min="9749" max="9984" width="8.88888888888889" style="1938"/>
    <col min="9985" max="9985" width="9.44444444444444" style="1938" customWidth="1"/>
    <col min="9986" max="9986" width="8.88888888888889" style="1938"/>
    <col min="9987" max="9989" width="12.8888888888889" style="1938" customWidth="1"/>
    <col min="9990" max="9990" width="47.4444444444444" style="1938" customWidth="1"/>
    <col min="9991" max="9991" width="13" style="1938" customWidth="1"/>
    <col min="9992" max="9993" width="8.88888888888889" style="1938"/>
    <col min="9994" max="9994" width="5.77777777777778" style="1938" customWidth="1"/>
    <col min="9995" max="9995" width="11.7777777777778" style="1938" customWidth="1"/>
    <col min="9996" max="9997" width="10.7777777777778" style="1938" customWidth="1"/>
    <col min="9998" max="9998" width="10" style="1938" customWidth="1"/>
    <col min="9999" max="10000" width="10.4444444444444" style="1938" customWidth="1"/>
    <col min="10001" max="10001" width="10" style="1938" customWidth="1"/>
    <col min="10002" max="10002" width="10.1111111111111" style="1938" customWidth="1"/>
    <col min="10003" max="10003" width="10" style="1938" customWidth="1"/>
    <col min="10004" max="10004" width="26.1111111111111" style="1938" customWidth="1"/>
    <col min="10005" max="10240" width="8.88888888888889" style="1938"/>
    <col min="10241" max="10241" width="9.44444444444444" style="1938" customWidth="1"/>
    <col min="10242" max="10242" width="8.88888888888889" style="1938"/>
    <col min="10243" max="10245" width="12.8888888888889" style="1938" customWidth="1"/>
    <col min="10246" max="10246" width="47.4444444444444" style="1938" customWidth="1"/>
    <col min="10247" max="10247" width="13" style="1938" customWidth="1"/>
    <col min="10248" max="10249" width="8.88888888888889" style="1938"/>
    <col min="10250" max="10250" width="5.77777777777778" style="1938" customWidth="1"/>
    <col min="10251" max="10251" width="11.7777777777778" style="1938" customWidth="1"/>
    <col min="10252" max="10253" width="10.7777777777778" style="1938" customWidth="1"/>
    <col min="10254" max="10254" width="10" style="1938" customWidth="1"/>
    <col min="10255" max="10256" width="10.4444444444444" style="1938" customWidth="1"/>
    <col min="10257" max="10257" width="10" style="1938" customWidth="1"/>
    <col min="10258" max="10258" width="10.1111111111111" style="1938" customWidth="1"/>
    <col min="10259" max="10259" width="10" style="1938" customWidth="1"/>
    <col min="10260" max="10260" width="26.1111111111111" style="1938" customWidth="1"/>
    <col min="10261" max="10496" width="8.88888888888889" style="1938"/>
    <col min="10497" max="10497" width="9.44444444444444" style="1938" customWidth="1"/>
    <col min="10498" max="10498" width="8.88888888888889" style="1938"/>
    <col min="10499" max="10501" width="12.8888888888889" style="1938" customWidth="1"/>
    <col min="10502" max="10502" width="47.4444444444444" style="1938" customWidth="1"/>
    <col min="10503" max="10503" width="13" style="1938" customWidth="1"/>
    <col min="10504" max="10505" width="8.88888888888889" style="1938"/>
    <col min="10506" max="10506" width="5.77777777777778" style="1938" customWidth="1"/>
    <col min="10507" max="10507" width="11.7777777777778" style="1938" customWidth="1"/>
    <col min="10508" max="10509" width="10.7777777777778" style="1938" customWidth="1"/>
    <col min="10510" max="10510" width="10" style="1938" customWidth="1"/>
    <col min="10511" max="10512" width="10.4444444444444" style="1938" customWidth="1"/>
    <col min="10513" max="10513" width="10" style="1938" customWidth="1"/>
    <col min="10514" max="10514" width="10.1111111111111" style="1938" customWidth="1"/>
    <col min="10515" max="10515" width="10" style="1938" customWidth="1"/>
    <col min="10516" max="10516" width="26.1111111111111" style="1938" customWidth="1"/>
    <col min="10517" max="10752" width="8.88888888888889" style="1938"/>
    <col min="10753" max="10753" width="9.44444444444444" style="1938" customWidth="1"/>
    <col min="10754" max="10754" width="8.88888888888889" style="1938"/>
    <col min="10755" max="10757" width="12.8888888888889" style="1938" customWidth="1"/>
    <col min="10758" max="10758" width="47.4444444444444" style="1938" customWidth="1"/>
    <col min="10759" max="10759" width="13" style="1938" customWidth="1"/>
    <col min="10760" max="10761" width="8.88888888888889" style="1938"/>
    <col min="10762" max="10762" width="5.77777777777778" style="1938" customWidth="1"/>
    <col min="10763" max="10763" width="11.7777777777778" style="1938" customWidth="1"/>
    <col min="10764" max="10765" width="10.7777777777778" style="1938" customWidth="1"/>
    <col min="10766" max="10766" width="10" style="1938" customWidth="1"/>
    <col min="10767" max="10768" width="10.4444444444444" style="1938" customWidth="1"/>
    <col min="10769" max="10769" width="10" style="1938" customWidth="1"/>
    <col min="10770" max="10770" width="10.1111111111111" style="1938" customWidth="1"/>
    <col min="10771" max="10771" width="10" style="1938" customWidth="1"/>
    <col min="10772" max="10772" width="26.1111111111111" style="1938" customWidth="1"/>
    <col min="10773" max="11008" width="8.88888888888889" style="1938"/>
    <col min="11009" max="11009" width="9.44444444444444" style="1938" customWidth="1"/>
    <col min="11010" max="11010" width="8.88888888888889" style="1938"/>
    <col min="11011" max="11013" width="12.8888888888889" style="1938" customWidth="1"/>
    <col min="11014" max="11014" width="47.4444444444444" style="1938" customWidth="1"/>
    <col min="11015" max="11015" width="13" style="1938" customWidth="1"/>
    <col min="11016" max="11017" width="8.88888888888889" style="1938"/>
    <col min="11018" max="11018" width="5.77777777777778" style="1938" customWidth="1"/>
    <col min="11019" max="11019" width="11.7777777777778" style="1938" customWidth="1"/>
    <col min="11020" max="11021" width="10.7777777777778" style="1938" customWidth="1"/>
    <col min="11022" max="11022" width="10" style="1938" customWidth="1"/>
    <col min="11023" max="11024" width="10.4444444444444" style="1938" customWidth="1"/>
    <col min="11025" max="11025" width="10" style="1938" customWidth="1"/>
    <col min="11026" max="11026" width="10.1111111111111" style="1938" customWidth="1"/>
    <col min="11027" max="11027" width="10" style="1938" customWidth="1"/>
    <col min="11028" max="11028" width="26.1111111111111" style="1938" customWidth="1"/>
    <col min="11029" max="11264" width="8.88888888888889" style="1938"/>
    <col min="11265" max="11265" width="9.44444444444444" style="1938" customWidth="1"/>
    <col min="11266" max="11266" width="8.88888888888889" style="1938"/>
    <col min="11267" max="11269" width="12.8888888888889" style="1938" customWidth="1"/>
    <col min="11270" max="11270" width="47.4444444444444" style="1938" customWidth="1"/>
    <col min="11271" max="11271" width="13" style="1938" customWidth="1"/>
    <col min="11272" max="11273" width="8.88888888888889" style="1938"/>
    <col min="11274" max="11274" width="5.77777777777778" style="1938" customWidth="1"/>
    <col min="11275" max="11275" width="11.7777777777778" style="1938" customWidth="1"/>
    <col min="11276" max="11277" width="10.7777777777778" style="1938" customWidth="1"/>
    <col min="11278" max="11278" width="10" style="1938" customWidth="1"/>
    <col min="11279" max="11280" width="10.4444444444444" style="1938" customWidth="1"/>
    <col min="11281" max="11281" width="10" style="1938" customWidth="1"/>
    <col min="11282" max="11282" width="10.1111111111111" style="1938" customWidth="1"/>
    <col min="11283" max="11283" width="10" style="1938" customWidth="1"/>
    <col min="11284" max="11284" width="26.1111111111111" style="1938" customWidth="1"/>
    <col min="11285" max="11520" width="8.88888888888889" style="1938"/>
    <col min="11521" max="11521" width="9.44444444444444" style="1938" customWidth="1"/>
    <col min="11522" max="11522" width="8.88888888888889" style="1938"/>
    <col min="11523" max="11525" width="12.8888888888889" style="1938" customWidth="1"/>
    <col min="11526" max="11526" width="47.4444444444444" style="1938" customWidth="1"/>
    <col min="11527" max="11527" width="13" style="1938" customWidth="1"/>
    <col min="11528" max="11529" width="8.88888888888889" style="1938"/>
    <col min="11530" max="11530" width="5.77777777777778" style="1938" customWidth="1"/>
    <col min="11531" max="11531" width="11.7777777777778" style="1938" customWidth="1"/>
    <col min="11532" max="11533" width="10.7777777777778" style="1938" customWidth="1"/>
    <col min="11534" max="11534" width="10" style="1938" customWidth="1"/>
    <col min="11535" max="11536" width="10.4444444444444" style="1938" customWidth="1"/>
    <col min="11537" max="11537" width="10" style="1938" customWidth="1"/>
    <col min="11538" max="11538" width="10.1111111111111" style="1938" customWidth="1"/>
    <col min="11539" max="11539" width="10" style="1938" customWidth="1"/>
    <col min="11540" max="11540" width="26.1111111111111" style="1938" customWidth="1"/>
    <col min="11541" max="11776" width="8.88888888888889" style="1938"/>
    <col min="11777" max="11777" width="9.44444444444444" style="1938" customWidth="1"/>
    <col min="11778" max="11778" width="8.88888888888889" style="1938"/>
    <col min="11779" max="11781" width="12.8888888888889" style="1938" customWidth="1"/>
    <col min="11782" max="11782" width="47.4444444444444" style="1938" customWidth="1"/>
    <col min="11783" max="11783" width="13" style="1938" customWidth="1"/>
    <col min="11784" max="11785" width="8.88888888888889" style="1938"/>
    <col min="11786" max="11786" width="5.77777777777778" style="1938" customWidth="1"/>
    <col min="11787" max="11787" width="11.7777777777778" style="1938" customWidth="1"/>
    <col min="11788" max="11789" width="10.7777777777778" style="1938" customWidth="1"/>
    <col min="11790" max="11790" width="10" style="1938" customWidth="1"/>
    <col min="11791" max="11792" width="10.4444444444444" style="1938" customWidth="1"/>
    <col min="11793" max="11793" width="10" style="1938" customWidth="1"/>
    <col min="11794" max="11794" width="10.1111111111111" style="1938" customWidth="1"/>
    <col min="11795" max="11795" width="10" style="1938" customWidth="1"/>
    <col min="11796" max="11796" width="26.1111111111111" style="1938" customWidth="1"/>
    <col min="11797" max="12032" width="8.88888888888889" style="1938"/>
    <col min="12033" max="12033" width="9.44444444444444" style="1938" customWidth="1"/>
    <col min="12034" max="12034" width="8.88888888888889" style="1938"/>
    <col min="12035" max="12037" width="12.8888888888889" style="1938" customWidth="1"/>
    <col min="12038" max="12038" width="47.4444444444444" style="1938" customWidth="1"/>
    <col min="12039" max="12039" width="13" style="1938" customWidth="1"/>
    <col min="12040" max="12041" width="8.88888888888889" style="1938"/>
    <col min="12042" max="12042" width="5.77777777777778" style="1938" customWidth="1"/>
    <col min="12043" max="12043" width="11.7777777777778" style="1938" customWidth="1"/>
    <col min="12044" max="12045" width="10.7777777777778" style="1938" customWidth="1"/>
    <col min="12046" max="12046" width="10" style="1938" customWidth="1"/>
    <col min="12047" max="12048" width="10.4444444444444" style="1938" customWidth="1"/>
    <col min="12049" max="12049" width="10" style="1938" customWidth="1"/>
    <col min="12050" max="12050" width="10.1111111111111" style="1938" customWidth="1"/>
    <col min="12051" max="12051" width="10" style="1938" customWidth="1"/>
    <col min="12052" max="12052" width="26.1111111111111" style="1938" customWidth="1"/>
    <col min="12053" max="12288" width="8.88888888888889" style="1938"/>
    <col min="12289" max="12289" width="9.44444444444444" style="1938" customWidth="1"/>
    <col min="12290" max="12290" width="8.88888888888889" style="1938"/>
    <col min="12291" max="12293" width="12.8888888888889" style="1938" customWidth="1"/>
    <col min="12294" max="12294" width="47.4444444444444" style="1938" customWidth="1"/>
    <col min="12295" max="12295" width="13" style="1938" customWidth="1"/>
    <col min="12296" max="12297" width="8.88888888888889" style="1938"/>
    <col min="12298" max="12298" width="5.77777777777778" style="1938" customWidth="1"/>
    <col min="12299" max="12299" width="11.7777777777778" style="1938" customWidth="1"/>
    <col min="12300" max="12301" width="10.7777777777778" style="1938" customWidth="1"/>
    <col min="12302" max="12302" width="10" style="1938" customWidth="1"/>
    <col min="12303" max="12304" width="10.4444444444444" style="1938" customWidth="1"/>
    <col min="12305" max="12305" width="10" style="1938" customWidth="1"/>
    <col min="12306" max="12306" width="10.1111111111111" style="1938" customWidth="1"/>
    <col min="12307" max="12307" width="10" style="1938" customWidth="1"/>
    <col min="12308" max="12308" width="26.1111111111111" style="1938" customWidth="1"/>
    <col min="12309" max="12544" width="8.88888888888889" style="1938"/>
    <col min="12545" max="12545" width="9.44444444444444" style="1938" customWidth="1"/>
    <col min="12546" max="12546" width="8.88888888888889" style="1938"/>
    <col min="12547" max="12549" width="12.8888888888889" style="1938" customWidth="1"/>
    <col min="12550" max="12550" width="47.4444444444444" style="1938" customWidth="1"/>
    <col min="12551" max="12551" width="13" style="1938" customWidth="1"/>
    <col min="12552" max="12553" width="8.88888888888889" style="1938"/>
    <col min="12554" max="12554" width="5.77777777777778" style="1938" customWidth="1"/>
    <col min="12555" max="12555" width="11.7777777777778" style="1938" customWidth="1"/>
    <col min="12556" max="12557" width="10.7777777777778" style="1938" customWidth="1"/>
    <col min="12558" max="12558" width="10" style="1938" customWidth="1"/>
    <col min="12559" max="12560" width="10.4444444444444" style="1938" customWidth="1"/>
    <col min="12561" max="12561" width="10" style="1938" customWidth="1"/>
    <col min="12562" max="12562" width="10.1111111111111" style="1938" customWidth="1"/>
    <col min="12563" max="12563" width="10" style="1938" customWidth="1"/>
    <col min="12564" max="12564" width="26.1111111111111" style="1938" customWidth="1"/>
    <col min="12565" max="12800" width="8.88888888888889" style="1938"/>
    <col min="12801" max="12801" width="9.44444444444444" style="1938" customWidth="1"/>
    <col min="12802" max="12802" width="8.88888888888889" style="1938"/>
    <col min="12803" max="12805" width="12.8888888888889" style="1938" customWidth="1"/>
    <col min="12806" max="12806" width="47.4444444444444" style="1938" customWidth="1"/>
    <col min="12807" max="12807" width="13" style="1938" customWidth="1"/>
    <col min="12808" max="12809" width="8.88888888888889" style="1938"/>
    <col min="12810" max="12810" width="5.77777777777778" style="1938" customWidth="1"/>
    <col min="12811" max="12811" width="11.7777777777778" style="1938" customWidth="1"/>
    <col min="12812" max="12813" width="10.7777777777778" style="1938" customWidth="1"/>
    <col min="12814" max="12814" width="10" style="1938" customWidth="1"/>
    <col min="12815" max="12816" width="10.4444444444444" style="1938" customWidth="1"/>
    <col min="12817" max="12817" width="10" style="1938" customWidth="1"/>
    <col min="12818" max="12818" width="10.1111111111111" style="1938" customWidth="1"/>
    <col min="12819" max="12819" width="10" style="1938" customWidth="1"/>
    <col min="12820" max="12820" width="26.1111111111111" style="1938" customWidth="1"/>
    <col min="12821" max="13056" width="8.88888888888889" style="1938"/>
    <col min="13057" max="13057" width="9.44444444444444" style="1938" customWidth="1"/>
    <col min="13058" max="13058" width="8.88888888888889" style="1938"/>
    <col min="13059" max="13061" width="12.8888888888889" style="1938" customWidth="1"/>
    <col min="13062" max="13062" width="47.4444444444444" style="1938" customWidth="1"/>
    <col min="13063" max="13063" width="13" style="1938" customWidth="1"/>
    <col min="13064" max="13065" width="8.88888888888889" style="1938"/>
    <col min="13066" max="13066" width="5.77777777777778" style="1938" customWidth="1"/>
    <col min="13067" max="13067" width="11.7777777777778" style="1938" customWidth="1"/>
    <col min="13068" max="13069" width="10.7777777777778" style="1938" customWidth="1"/>
    <col min="13070" max="13070" width="10" style="1938" customWidth="1"/>
    <col min="13071" max="13072" width="10.4444444444444" style="1938" customWidth="1"/>
    <col min="13073" max="13073" width="10" style="1938" customWidth="1"/>
    <col min="13074" max="13074" width="10.1111111111111" style="1938" customWidth="1"/>
    <col min="13075" max="13075" width="10" style="1938" customWidth="1"/>
    <col min="13076" max="13076" width="26.1111111111111" style="1938" customWidth="1"/>
    <col min="13077" max="13312" width="8.88888888888889" style="1938"/>
    <col min="13313" max="13313" width="9.44444444444444" style="1938" customWidth="1"/>
    <col min="13314" max="13314" width="8.88888888888889" style="1938"/>
    <col min="13315" max="13317" width="12.8888888888889" style="1938" customWidth="1"/>
    <col min="13318" max="13318" width="47.4444444444444" style="1938" customWidth="1"/>
    <col min="13319" max="13319" width="13" style="1938" customWidth="1"/>
    <col min="13320" max="13321" width="8.88888888888889" style="1938"/>
    <col min="13322" max="13322" width="5.77777777777778" style="1938" customWidth="1"/>
    <col min="13323" max="13323" width="11.7777777777778" style="1938" customWidth="1"/>
    <col min="13324" max="13325" width="10.7777777777778" style="1938" customWidth="1"/>
    <col min="13326" max="13326" width="10" style="1938" customWidth="1"/>
    <col min="13327" max="13328" width="10.4444444444444" style="1938" customWidth="1"/>
    <col min="13329" max="13329" width="10" style="1938" customWidth="1"/>
    <col min="13330" max="13330" width="10.1111111111111" style="1938" customWidth="1"/>
    <col min="13331" max="13331" width="10" style="1938" customWidth="1"/>
    <col min="13332" max="13332" width="26.1111111111111" style="1938" customWidth="1"/>
    <col min="13333" max="13568" width="8.88888888888889" style="1938"/>
    <col min="13569" max="13569" width="9.44444444444444" style="1938" customWidth="1"/>
    <col min="13570" max="13570" width="8.88888888888889" style="1938"/>
    <col min="13571" max="13573" width="12.8888888888889" style="1938" customWidth="1"/>
    <col min="13574" max="13574" width="47.4444444444444" style="1938" customWidth="1"/>
    <col min="13575" max="13575" width="13" style="1938" customWidth="1"/>
    <col min="13576" max="13577" width="8.88888888888889" style="1938"/>
    <col min="13578" max="13578" width="5.77777777777778" style="1938" customWidth="1"/>
    <col min="13579" max="13579" width="11.7777777777778" style="1938" customWidth="1"/>
    <col min="13580" max="13581" width="10.7777777777778" style="1938" customWidth="1"/>
    <col min="13582" max="13582" width="10" style="1938" customWidth="1"/>
    <col min="13583" max="13584" width="10.4444444444444" style="1938" customWidth="1"/>
    <col min="13585" max="13585" width="10" style="1938" customWidth="1"/>
    <col min="13586" max="13586" width="10.1111111111111" style="1938" customWidth="1"/>
    <col min="13587" max="13587" width="10" style="1938" customWidth="1"/>
    <col min="13588" max="13588" width="26.1111111111111" style="1938" customWidth="1"/>
    <col min="13589" max="13824" width="8.88888888888889" style="1938"/>
    <col min="13825" max="13825" width="9.44444444444444" style="1938" customWidth="1"/>
    <col min="13826" max="13826" width="8.88888888888889" style="1938"/>
    <col min="13827" max="13829" width="12.8888888888889" style="1938" customWidth="1"/>
    <col min="13830" max="13830" width="47.4444444444444" style="1938" customWidth="1"/>
    <col min="13831" max="13831" width="13" style="1938" customWidth="1"/>
    <col min="13832" max="13833" width="8.88888888888889" style="1938"/>
    <col min="13834" max="13834" width="5.77777777777778" style="1938" customWidth="1"/>
    <col min="13835" max="13835" width="11.7777777777778" style="1938" customWidth="1"/>
    <col min="13836" max="13837" width="10.7777777777778" style="1938" customWidth="1"/>
    <col min="13838" max="13838" width="10" style="1938" customWidth="1"/>
    <col min="13839" max="13840" width="10.4444444444444" style="1938" customWidth="1"/>
    <col min="13841" max="13841" width="10" style="1938" customWidth="1"/>
    <col min="13842" max="13842" width="10.1111111111111" style="1938" customWidth="1"/>
    <col min="13843" max="13843" width="10" style="1938" customWidth="1"/>
    <col min="13844" max="13844" width="26.1111111111111" style="1938" customWidth="1"/>
    <col min="13845" max="14080" width="8.88888888888889" style="1938"/>
    <col min="14081" max="14081" width="9.44444444444444" style="1938" customWidth="1"/>
    <col min="14082" max="14082" width="8.88888888888889" style="1938"/>
    <col min="14083" max="14085" width="12.8888888888889" style="1938" customWidth="1"/>
    <col min="14086" max="14086" width="47.4444444444444" style="1938" customWidth="1"/>
    <col min="14087" max="14087" width="13" style="1938" customWidth="1"/>
    <col min="14088" max="14089" width="8.88888888888889" style="1938"/>
    <col min="14090" max="14090" width="5.77777777777778" style="1938" customWidth="1"/>
    <col min="14091" max="14091" width="11.7777777777778" style="1938" customWidth="1"/>
    <col min="14092" max="14093" width="10.7777777777778" style="1938" customWidth="1"/>
    <col min="14094" max="14094" width="10" style="1938" customWidth="1"/>
    <col min="14095" max="14096" width="10.4444444444444" style="1938" customWidth="1"/>
    <col min="14097" max="14097" width="10" style="1938" customWidth="1"/>
    <col min="14098" max="14098" width="10.1111111111111" style="1938" customWidth="1"/>
    <col min="14099" max="14099" width="10" style="1938" customWidth="1"/>
    <col min="14100" max="14100" width="26.1111111111111" style="1938" customWidth="1"/>
    <col min="14101" max="14336" width="8.88888888888889" style="1938"/>
    <col min="14337" max="14337" width="9.44444444444444" style="1938" customWidth="1"/>
    <col min="14338" max="14338" width="8.88888888888889" style="1938"/>
    <col min="14339" max="14341" width="12.8888888888889" style="1938" customWidth="1"/>
    <col min="14342" max="14342" width="47.4444444444444" style="1938" customWidth="1"/>
    <col min="14343" max="14343" width="13" style="1938" customWidth="1"/>
    <col min="14344" max="14345" width="8.88888888888889" style="1938"/>
    <col min="14346" max="14346" width="5.77777777777778" style="1938" customWidth="1"/>
    <col min="14347" max="14347" width="11.7777777777778" style="1938" customWidth="1"/>
    <col min="14348" max="14349" width="10.7777777777778" style="1938" customWidth="1"/>
    <col min="14350" max="14350" width="10" style="1938" customWidth="1"/>
    <col min="14351" max="14352" width="10.4444444444444" style="1938" customWidth="1"/>
    <col min="14353" max="14353" width="10" style="1938" customWidth="1"/>
    <col min="14354" max="14354" width="10.1111111111111" style="1938" customWidth="1"/>
    <col min="14355" max="14355" width="10" style="1938" customWidth="1"/>
    <col min="14356" max="14356" width="26.1111111111111" style="1938" customWidth="1"/>
    <col min="14357" max="14592" width="8.88888888888889" style="1938"/>
    <col min="14593" max="14593" width="9.44444444444444" style="1938" customWidth="1"/>
    <col min="14594" max="14594" width="8.88888888888889" style="1938"/>
    <col min="14595" max="14597" width="12.8888888888889" style="1938" customWidth="1"/>
    <col min="14598" max="14598" width="47.4444444444444" style="1938" customWidth="1"/>
    <col min="14599" max="14599" width="13" style="1938" customWidth="1"/>
    <col min="14600" max="14601" width="8.88888888888889" style="1938"/>
    <col min="14602" max="14602" width="5.77777777777778" style="1938" customWidth="1"/>
    <col min="14603" max="14603" width="11.7777777777778" style="1938" customWidth="1"/>
    <col min="14604" max="14605" width="10.7777777777778" style="1938" customWidth="1"/>
    <col min="14606" max="14606" width="10" style="1938" customWidth="1"/>
    <col min="14607" max="14608" width="10.4444444444444" style="1938" customWidth="1"/>
    <col min="14609" max="14609" width="10" style="1938" customWidth="1"/>
    <col min="14610" max="14610" width="10.1111111111111" style="1938" customWidth="1"/>
    <col min="14611" max="14611" width="10" style="1938" customWidth="1"/>
    <col min="14612" max="14612" width="26.1111111111111" style="1938" customWidth="1"/>
    <col min="14613" max="14848" width="8.88888888888889" style="1938"/>
    <col min="14849" max="14849" width="9.44444444444444" style="1938" customWidth="1"/>
    <col min="14850" max="14850" width="8.88888888888889" style="1938"/>
    <col min="14851" max="14853" width="12.8888888888889" style="1938" customWidth="1"/>
    <col min="14854" max="14854" width="47.4444444444444" style="1938" customWidth="1"/>
    <col min="14855" max="14855" width="13" style="1938" customWidth="1"/>
    <col min="14856" max="14857" width="8.88888888888889" style="1938"/>
    <col min="14858" max="14858" width="5.77777777777778" style="1938" customWidth="1"/>
    <col min="14859" max="14859" width="11.7777777777778" style="1938" customWidth="1"/>
    <col min="14860" max="14861" width="10.7777777777778" style="1938" customWidth="1"/>
    <col min="14862" max="14862" width="10" style="1938" customWidth="1"/>
    <col min="14863" max="14864" width="10.4444444444444" style="1938" customWidth="1"/>
    <col min="14865" max="14865" width="10" style="1938" customWidth="1"/>
    <col min="14866" max="14866" width="10.1111111111111" style="1938" customWidth="1"/>
    <col min="14867" max="14867" width="10" style="1938" customWidth="1"/>
    <col min="14868" max="14868" width="26.1111111111111" style="1938" customWidth="1"/>
    <col min="14869" max="15104" width="8.88888888888889" style="1938"/>
    <col min="15105" max="15105" width="9.44444444444444" style="1938" customWidth="1"/>
    <col min="15106" max="15106" width="8.88888888888889" style="1938"/>
    <col min="15107" max="15109" width="12.8888888888889" style="1938" customWidth="1"/>
    <col min="15110" max="15110" width="47.4444444444444" style="1938" customWidth="1"/>
    <col min="15111" max="15111" width="13" style="1938" customWidth="1"/>
    <col min="15112" max="15113" width="8.88888888888889" style="1938"/>
    <col min="15114" max="15114" width="5.77777777777778" style="1938" customWidth="1"/>
    <col min="15115" max="15115" width="11.7777777777778" style="1938" customWidth="1"/>
    <col min="15116" max="15117" width="10.7777777777778" style="1938" customWidth="1"/>
    <col min="15118" max="15118" width="10" style="1938" customWidth="1"/>
    <col min="15119" max="15120" width="10.4444444444444" style="1938" customWidth="1"/>
    <col min="15121" max="15121" width="10" style="1938" customWidth="1"/>
    <col min="15122" max="15122" width="10.1111111111111" style="1938" customWidth="1"/>
    <col min="15123" max="15123" width="10" style="1938" customWidth="1"/>
    <col min="15124" max="15124" width="26.1111111111111" style="1938" customWidth="1"/>
    <col min="15125" max="15360" width="8.88888888888889" style="1938"/>
    <col min="15361" max="15361" width="9.44444444444444" style="1938" customWidth="1"/>
    <col min="15362" max="15362" width="8.88888888888889" style="1938"/>
    <col min="15363" max="15365" width="12.8888888888889" style="1938" customWidth="1"/>
    <col min="15366" max="15366" width="47.4444444444444" style="1938" customWidth="1"/>
    <col min="15367" max="15367" width="13" style="1938" customWidth="1"/>
    <col min="15368" max="15369" width="8.88888888888889" style="1938"/>
    <col min="15370" max="15370" width="5.77777777777778" style="1938" customWidth="1"/>
    <col min="15371" max="15371" width="11.7777777777778" style="1938" customWidth="1"/>
    <col min="15372" max="15373" width="10.7777777777778" style="1938" customWidth="1"/>
    <col min="15374" max="15374" width="10" style="1938" customWidth="1"/>
    <col min="15375" max="15376" width="10.4444444444444" style="1938" customWidth="1"/>
    <col min="15377" max="15377" width="10" style="1938" customWidth="1"/>
    <col min="15378" max="15378" width="10.1111111111111" style="1938" customWidth="1"/>
    <col min="15379" max="15379" width="10" style="1938" customWidth="1"/>
    <col min="15380" max="15380" width="26.1111111111111" style="1938" customWidth="1"/>
    <col min="15381" max="15616" width="8.88888888888889" style="1938"/>
    <col min="15617" max="15617" width="9.44444444444444" style="1938" customWidth="1"/>
    <col min="15618" max="15618" width="8.88888888888889" style="1938"/>
    <col min="15619" max="15621" width="12.8888888888889" style="1938" customWidth="1"/>
    <col min="15622" max="15622" width="47.4444444444444" style="1938" customWidth="1"/>
    <col min="15623" max="15623" width="13" style="1938" customWidth="1"/>
    <col min="15624" max="15625" width="8.88888888888889" style="1938"/>
    <col min="15626" max="15626" width="5.77777777777778" style="1938" customWidth="1"/>
    <col min="15627" max="15627" width="11.7777777777778" style="1938" customWidth="1"/>
    <col min="15628" max="15629" width="10.7777777777778" style="1938" customWidth="1"/>
    <col min="15630" max="15630" width="10" style="1938" customWidth="1"/>
    <col min="15631" max="15632" width="10.4444444444444" style="1938" customWidth="1"/>
    <col min="15633" max="15633" width="10" style="1938" customWidth="1"/>
    <col min="15634" max="15634" width="10.1111111111111" style="1938" customWidth="1"/>
    <col min="15635" max="15635" width="10" style="1938" customWidth="1"/>
    <col min="15636" max="15636" width="26.1111111111111" style="1938" customWidth="1"/>
    <col min="15637" max="15872" width="8.88888888888889" style="1938"/>
    <col min="15873" max="15873" width="9.44444444444444" style="1938" customWidth="1"/>
    <col min="15874" max="15874" width="8.88888888888889" style="1938"/>
    <col min="15875" max="15877" width="12.8888888888889" style="1938" customWidth="1"/>
    <col min="15878" max="15878" width="47.4444444444444" style="1938" customWidth="1"/>
    <col min="15879" max="15879" width="13" style="1938" customWidth="1"/>
    <col min="15880" max="15881" width="8.88888888888889" style="1938"/>
    <col min="15882" max="15882" width="5.77777777777778" style="1938" customWidth="1"/>
    <col min="15883" max="15883" width="11.7777777777778" style="1938" customWidth="1"/>
    <col min="15884" max="15885" width="10.7777777777778" style="1938" customWidth="1"/>
    <col min="15886" max="15886" width="10" style="1938" customWidth="1"/>
    <col min="15887" max="15888" width="10.4444444444444" style="1938" customWidth="1"/>
    <col min="15889" max="15889" width="10" style="1938" customWidth="1"/>
    <col min="15890" max="15890" width="10.1111111111111" style="1938" customWidth="1"/>
    <col min="15891" max="15891" width="10" style="1938" customWidth="1"/>
    <col min="15892" max="15892" width="26.1111111111111" style="1938" customWidth="1"/>
    <col min="15893" max="16128" width="8.88888888888889" style="1938"/>
    <col min="16129" max="16129" width="9.44444444444444" style="1938" customWidth="1"/>
    <col min="16130" max="16130" width="8.88888888888889" style="1938"/>
    <col min="16131" max="16133" width="12.8888888888889" style="1938" customWidth="1"/>
    <col min="16134" max="16134" width="47.4444444444444" style="1938" customWidth="1"/>
    <col min="16135" max="16135" width="13" style="1938" customWidth="1"/>
    <col min="16136" max="16137" width="8.88888888888889" style="1938"/>
    <col min="16138" max="16138" width="5.77777777777778" style="1938" customWidth="1"/>
    <col min="16139" max="16139" width="11.7777777777778" style="1938" customWidth="1"/>
    <col min="16140" max="16141" width="10.7777777777778" style="1938" customWidth="1"/>
    <col min="16142" max="16142" width="10" style="1938" customWidth="1"/>
    <col min="16143" max="16144" width="10.4444444444444" style="1938" customWidth="1"/>
    <col min="16145" max="16145" width="10" style="1938" customWidth="1"/>
    <col min="16146" max="16146" width="10.1111111111111" style="1938" customWidth="1"/>
    <col min="16147" max="16147" width="10" style="1938" customWidth="1"/>
    <col min="16148" max="16148" width="26.1111111111111" style="1938" customWidth="1"/>
    <col min="16149" max="16384" width="8.88888888888889" style="1938"/>
  </cols>
  <sheetData>
    <row r="1" ht="21" customHeight="1" spans="1:21">
      <c r="A1" s="1943" t="s">
        <v>1348</v>
      </c>
      <c r="B1" s="1944"/>
      <c r="C1" s="1945"/>
      <c r="D1" s="1945"/>
      <c r="E1" s="1946"/>
      <c r="F1" s="1947"/>
      <c r="G1" s="1948"/>
      <c r="J1" s="2055" t="s">
        <v>1349</v>
      </c>
      <c r="K1" s="2056"/>
      <c r="L1" s="2056"/>
      <c r="M1" s="2056"/>
      <c r="N1" s="2056"/>
      <c r="O1" s="2056"/>
      <c r="P1" s="2056"/>
      <c r="Q1" s="2056"/>
      <c r="R1" s="2104"/>
      <c r="S1" s="2105"/>
      <c r="T1" s="2105"/>
      <c r="U1" s="2105"/>
    </row>
    <row r="2" s="1936" customFormat="1" customHeight="1" spans="1:22">
      <c r="A2" s="1949" t="s">
        <v>1148</v>
      </c>
      <c r="B2" s="1950" t="e">
        <f>IF(D2="——",C40,C40+E2)</f>
        <v>#DIV/0!</v>
      </c>
      <c r="C2" s="1945" t="s">
        <v>1149</v>
      </c>
      <c r="D2" s="1951" t="s">
        <v>1350</v>
      </c>
      <c r="E2" s="1952"/>
      <c r="F2" s="1953"/>
      <c r="G2" s="1954"/>
      <c r="H2" s="1955"/>
      <c r="I2" s="2057"/>
      <c r="J2" s="2058" t="s">
        <v>1351</v>
      </c>
      <c r="K2" s="2059"/>
      <c r="L2" s="2060" t="s">
        <v>1352</v>
      </c>
      <c r="M2" s="2060" t="s">
        <v>1353</v>
      </c>
      <c r="N2" s="2060" t="s">
        <v>1354</v>
      </c>
      <c r="O2" s="2060" t="s">
        <v>1355</v>
      </c>
      <c r="P2" s="2060" t="s">
        <v>1356</v>
      </c>
      <c r="Q2" s="2106" t="s">
        <v>1357</v>
      </c>
      <c r="R2" s="2107" t="s">
        <v>1358</v>
      </c>
      <c r="S2" s="2105"/>
      <c r="T2" s="2105"/>
      <c r="U2" s="2105"/>
      <c r="V2" s="2057"/>
    </row>
    <row r="3" s="1936" customFormat="1" customHeight="1" spans="1:22">
      <c r="A3" s="1956" t="s">
        <v>1150</v>
      </c>
      <c r="B3" s="1957" t="e">
        <f>ROUND(B2*10000/B4,0)</f>
        <v>#DIV/0!</v>
      </c>
      <c r="C3" s="1945" t="s">
        <v>1151</v>
      </c>
      <c r="D3" s="1945"/>
      <c r="E3" s="1958"/>
      <c r="F3" s="1953"/>
      <c r="G3" s="1954"/>
      <c r="H3" s="1955"/>
      <c r="I3" s="2057"/>
      <c r="J3" s="2061" t="s">
        <v>1359</v>
      </c>
      <c r="K3" s="2062"/>
      <c r="L3" s="2063"/>
      <c r="M3" s="2063"/>
      <c r="N3" s="2063"/>
      <c r="O3" s="2063"/>
      <c r="P3" s="2063"/>
      <c r="Q3" s="2108"/>
      <c r="R3" s="2109">
        <f>SUM(L3:Q3)</f>
        <v>0</v>
      </c>
      <c r="S3" s="2105"/>
      <c r="T3" s="2105"/>
      <c r="U3" s="2105"/>
      <c r="V3" s="2057"/>
    </row>
    <row r="4" s="1936" customFormat="1" customHeight="1" spans="1:22">
      <c r="A4" s="1959" t="s">
        <v>1360</v>
      </c>
      <c r="B4" s="1960"/>
      <c r="C4" s="1945"/>
      <c r="D4" s="1945"/>
      <c r="E4" s="1958"/>
      <c r="F4" s="1953"/>
      <c r="G4" s="1954"/>
      <c r="H4" s="1955"/>
      <c r="I4" s="2057"/>
      <c r="J4" s="2061" t="s">
        <v>1361</v>
      </c>
      <c r="K4" s="2062"/>
      <c r="L4" s="2064"/>
      <c r="M4" s="2064"/>
      <c r="N4" s="2064"/>
      <c r="O4" s="2064"/>
      <c r="P4" s="2064"/>
      <c r="Q4" s="2110"/>
      <c r="R4" s="2111">
        <f>SUM(L4:Q4)</f>
        <v>0</v>
      </c>
      <c r="S4" s="2105"/>
      <c r="T4" s="2105"/>
      <c r="U4" s="2105"/>
      <c r="V4" s="2057"/>
    </row>
    <row r="5" s="1936" customFormat="1" customHeight="1" spans="1:22">
      <c r="A5" s="1961" t="s">
        <v>1362</v>
      </c>
      <c r="B5" s="1962"/>
      <c r="C5" s="1945"/>
      <c r="D5" s="1963"/>
      <c r="E5" s="1953"/>
      <c r="F5" s="1953"/>
      <c r="G5" s="1954"/>
      <c r="H5" s="1955"/>
      <c r="I5" s="2057"/>
      <c r="J5" s="2065" t="s">
        <v>1363</v>
      </c>
      <c r="K5" s="2066"/>
      <c r="L5" s="2066"/>
      <c r="M5" s="2067"/>
      <c r="N5" s="2067"/>
      <c r="O5" s="2067"/>
      <c r="P5" s="2067"/>
      <c r="Q5" s="2067"/>
      <c r="R5" s="2107">
        <f>SUM(R14,R19,R24,R25,R27,R28)</f>
        <v>0</v>
      </c>
      <c r="S5" s="2105"/>
      <c r="T5" s="2105" t="s">
        <v>1364</v>
      </c>
      <c r="U5" s="2105" t="e">
        <f>ROUND(R5*10000/365/R3,1)</f>
        <v>#DIV/0!</v>
      </c>
      <c r="V5" s="2057"/>
    </row>
    <row r="6" s="1936" customFormat="1" customHeight="1" spans="1:22">
      <c r="A6" s="1964" t="s">
        <v>1365</v>
      </c>
      <c r="B6" s="1965"/>
      <c r="C6" s="1966"/>
      <c r="D6" s="1967"/>
      <c r="E6" s="1968"/>
      <c r="F6" s="1969"/>
      <c r="G6" s="1970"/>
      <c r="H6" s="1955"/>
      <c r="I6" s="2057"/>
      <c r="J6" s="2068">
        <v>1</v>
      </c>
      <c r="K6" s="2069" t="s">
        <v>1366</v>
      </c>
      <c r="L6" s="2070" t="s">
        <v>1367</v>
      </c>
      <c r="M6" s="2071" t="s">
        <v>1368</v>
      </c>
      <c r="N6" s="2071" t="s">
        <v>1369</v>
      </c>
      <c r="O6" s="2071" t="s">
        <v>1370</v>
      </c>
      <c r="P6" s="2071" t="s">
        <v>1371</v>
      </c>
      <c r="Q6" s="2071" t="s">
        <v>1372</v>
      </c>
      <c r="R6" s="2109" t="s">
        <v>1373</v>
      </c>
      <c r="S6" s="2105"/>
      <c r="T6" s="2105" t="s">
        <v>1374</v>
      </c>
      <c r="U6" s="2105"/>
      <c r="V6" s="2057"/>
    </row>
    <row r="7" s="1936" customFormat="1" customHeight="1" spans="1:22">
      <c r="A7" s="1971" t="s">
        <v>1375</v>
      </c>
      <c r="B7" s="1972"/>
      <c r="C7" s="1973"/>
      <c r="D7" s="1974">
        <f>SUM(D9,D10,D11,D17,0)</f>
        <v>0</v>
      </c>
      <c r="E7" s="1975" t="e">
        <f>E9+E10+E11+E17</f>
        <v>#DIV/0!</v>
      </c>
      <c r="F7" s="1976"/>
      <c r="G7" s="1977"/>
      <c r="H7" s="1955"/>
      <c r="I7" s="2057"/>
      <c r="J7" s="2068"/>
      <c r="K7" s="2072"/>
      <c r="L7" s="2073" t="s">
        <v>1376</v>
      </c>
      <c r="M7" s="2074"/>
      <c r="N7" s="1960"/>
      <c r="O7" s="2075"/>
      <c r="P7" s="2075"/>
      <c r="Q7" s="1996">
        <v>365</v>
      </c>
      <c r="R7" s="2112">
        <f>ROUND(M7*N7*O7*P7*Q7/10000,0)</f>
        <v>0</v>
      </c>
      <c r="S7" s="2105"/>
      <c r="T7" s="2105" t="s">
        <v>1377</v>
      </c>
      <c r="U7" s="2105"/>
      <c r="V7" s="2057"/>
    </row>
    <row r="8" s="1936" customFormat="1" customHeight="1" spans="1:22">
      <c r="A8" s="1978" t="s">
        <v>1378</v>
      </c>
      <c r="B8" s="1979" t="s">
        <v>1379</v>
      </c>
      <c r="C8" s="1980"/>
      <c r="D8" s="1981" t="s">
        <v>1380</v>
      </c>
      <c r="E8" s="1982" t="s">
        <v>1381</v>
      </c>
      <c r="F8" s="1983" t="s">
        <v>1382</v>
      </c>
      <c r="G8" s="1984"/>
      <c r="H8" s="1955"/>
      <c r="I8" s="2057"/>
      <c r="J8" s="2068"/>
      <c r="K8" s="2072"/>
      <c r="L8" s="2073" t="s">
        <v>1383</v>
      </c>
      <c r="M8" s="2074"/>
      <c r="N8" s="1960"/>
      <c r="O8" s="2075"/>
      <c r="P8" s="2075"/>
      <c r="Q8" s="1996">
        <v>365</v>
      </c>
      <c r="R8" s="2112">
        <f t="shared" ref="R8:R13" si="0">ROUND(M8*N8*O8*P8*Q8/10000,0)</f>
        <v>0</v>
      </c>
      <c r="S8" s="2105"/>
      <c r="T8" s="2105" t="s">
        <v>1384</v>
      </c>
      <c r="U8" s="2105"/>
      <c r="V8" s="2057"/>
    </row>
    <row r="9" s="1936" customFormat="1" customHeight="1" spans="1:22">
      <c r="A9" s="1978">
        <v>1</v>
      </c>
      <c r="B9" s="1979" t="s">
        <v>1385</v>
      </c>
      <c r="C9" s="1980"/>
      <c r="D9" s="1981">
        <f>ROUND(D6*E9,0)</f>
        <v>0</v>
      </c>
      <c r="E9" s="1985"/>
      <c r="F9" s="1986" t="s">
        <v>1386</v>
      </c>
      <c r="G9" s="1970"/>
      <c r="H9" s="1955"/>
      <c r="I9" s="2057"/>
      <c r="J9" s="2068"/>
      <c r="K9" s="2072"/>
      <c r="L9" s="2073" t="s">
        <v>1387</v>
      </c>
      <c r="M9" s="2074"/>
      <c r="N9" s="1960"/>
      <c r="O9" s="2075"/>
      <c r="P9" s="2075"/>
      <c r="Q9" s="1996">
        <v>365</v>
      </c>
      <c r="R9" s="2112">
        <f t="shared" si="0"/>
        <v>0</v>
      </c>
      <c r="S9" s="2105"/>
      <c r="T9" s="2105"/>
      <c r="U9" s="2105"/>
      <c r="V9" s="2057"/>
    </row>
    <row r="10" s="1936" customFormat="1" customHeight="1" spans="1:22">
      <c r="A10" s="1978">
        <v>2</v>
      </c>
      <c r="B10" s="1979" t="s">
        <v>1388</v>
      </c>
      <c r="C10" s="1980"/>
      <c r="D10" s="1981">
        <f>ROUND(D6*E10,0)</f>
        <v>0</v>
      </c>
      <c r="E10" s="1985"/>
      <c r="F10" s="1986" t="s">
        <v>1389</v>
      </c>
      <c r="G10" s="1970"/>
      <c r="H10" s="1955"/>
      <c r="I10" s="2057"/>
      <c r="J10" s="2068"/>
      <c r="K10" s="2072"/>
      <c r="L10" s="2073" t="s">
        <v>1390</v>
      </c>
      <c r="M10" s="2074"/>
      <c r="N10" s="1960"/>
      <c r="O10" s="2075"/>
      <c r="P10" s="2075"/>
      <c r="Q10" s="1996">
        <v>365</v>
      </c>
      <c r="R10" s="2112">
        <f t="shared" si="0"/>
        <v>0</v>
      </c>
      <c r="S10" s="2105"/>
      <c r="T10" s="2105"/>
      <c r="U10" s="2105"/>
      <c r="V10" s="2057"/>
    </row>
    <row r="11" s="1936" customFormat="1" customHeight="1" spans="1:22">
      <c r="A11" s="1978">
        <v>3</v>
      </c>
      <c r="B11" s="1979" t="s">
        <v>1391</v>
      </c>
      <c r="C11" s="1980"/>
      <c r="D11" s="1981">
        <f>D12+D14+D15+D16</f>
        <v>0</v>
      </c>
      <c r="E11" s="1987" t="e">
        <f>D11/D6</f>
        <v>#DIV/0!</v>
      </c>
      <c r="F11" s="1983"/>
      <c r="G11" s="1984"/>
      <c r="H11" s="1955"/>
      <c r="I11" s="2057"/>
      <c r="J11" s="2068"/>
      <c r="K11" s="2072"/>
      <c r="L11" s="2073" t="s">
        <v>1392</v>
      </c>
      <c r="M11" s="2074"/>
      <c r="N11" s="1960"/>
      <c r="O11" s="2075"/>
      <c r="P11" s="2075"/>
      <c r="Q11" s="1996">
        <v>365</v>
      </c>
      <c r="R11" s="2112">
        <f t="shared" si="0"/>
        <v>0</v>
      </c>
      <c r="S11" s="2105"/>
      <c r="T11" s="2105"/>
      <c r="U11" s="2105"/>
      <c r="V11" s="2057"/>
    </row>
    <row r="12" s="1936" customFormat="1" customHeight="1" spans="1:22">
      <c r="A12" s="1988" t="s">
        <v>1393</v>
      </c>
      <c r="B12" s="1989" t="s">
        <v>1394</v>
      </c>
      <c r="C12" s="1990"/>
      <c r="D12" s="1991">
        <f>ROUND(D13*1.2%*(1-30%),0)</f>
        <v>0</v>
      </c>
      <c r="E12" s="1992">
        <v>0.012</v>
      </c>
      <c r="F12" s="1983" t="s">
        <v>1395</v>
      </c>
      <c r="G12" s="1984"/>
      <c r="H12" s="1955"/>
      <c r="I12" s="2057"/>
      <c r="J12" s="2068"/>
      <c r="K12" s="2072"/>
      <c r="L12" s="2073" t="s">
        <v>1396</v>
      </c>
      <c r="M12" s="2074"/>
      <c r="N12" s="1960"/>
      <c r="O12" s="2075"/>
      <c r="P12" s="2075"/>
      <c r="Q12" s="1996">
        <v>365</v>
      </c>
      <c r="R12" s="2112">
        <f t="shared" si="0"/>
        <v>0</v>
      </c>
      <c r="S12" s="2105"/>
      <c r="T12" s="2105"/>
      <c r="U12" s="2105"/>
      <c r="V12" s="2057"/>
    </row>
    <row r="13" s="1936" customFormat="1" customHeight="1" spans="1:22">
      <c r="A13" s="1988"/>
      <c r="B13" s="1989"/>
      <c r="C13" s="1993" t="s">
        <v>1397</v>
      </c>
      <c r="D13" s="1994"/>
      <c r="E13" s="1995"/>
      <c r="F13" s="1983"/>
      <c r="G13" s="1984"/>
      <c r="H13" s="1955"/>
      <c r="I13" s="2057"/>
      <c r="J13" s="2068"/>
      <c r="K13" s="2072"/>
      <c r="L13" s="2073" t="s">
        <v>1398</v>
      </c>
      <c r="M13" s="2074"/>
      <c r="N13" s="1960"/>
      <c r="O13" s="2075"/>
      <c r="P13" s="2075"/>
      <c r="Q13" s="1996">
        <v>365</v>
      </c>
      <c r="R13" s="2112">
        <f t="shared" si="0"/>
        <v>0</v>
      </c>
      <c r="S13" s="2105"/>
      <c r="T13" s="2105"/>
      <c r="U13" s="2105"/>
      <c r="V13" s="2057"/>
    </row>
    <row r="14" s="1936" customFormat="1" customHeight="1" spans="1:22">
      <c r="A14" s="1988" t="s">
        <v>1399</v>
      </c>
      <c r="B14" s="1989" t="s">
        <v>1400</v>
      </c>
      <c r="C14" s="1990"/>
      <c r="D14" s="1991">
        <f>ROUND(E14*B5/10000,0)</f>
        <v>0</v>
      </c>
      <c r="E14" s="1996"/>
      <c r="F14" s="1983" t="s">
        <v>1401</v>
      </c>
      <c r="G14" s="1984"/>
      <c r="H14" s="1955"/>
      <c r="I14" s="2057"/>
      <c r="J14" s="2068"/>
      <c r="K14" s="2076"/>
      <c r="L14" s="2077" t="s">
        <v>1402</v>
      </c>
      <c r="M14" s="2078">
        <f>SUM(M7:M13)</f>
        <v>0</v>
      </c>
      <c r="N14" s="2078" t="e">
        <f>ROUND((N7*M7+N8*M8+N9*M9+N10*M10+N11*M11+N12*M12+N13*M13)/M14,0)</f>
        <v>#DIV/0!</v>
      </c>
      <c r="O14" s="2079"/>
      <c r="P14" s="2079"/>
      <c r="Q14" s="2113"/>
      <c r="R14" s="2107">
        <f>SUM(R7:R13)</f>
        <v>0</v>
      </c>
      <c r="S14" s="2105"/>
      <c r="T14" s="2105"/>
      <c r="U14" s="2105"/>
      <c r="V14" s="2057"/>
    </row>
    <row r="15" s="1936" customFormat="1" customHeight="1" spans="1:22">
      <c r="A15" s="1988" t="s">
        <v>1403</v>
      </c>
      <c r="B15" s="1989" t="s">
        <v>1404</v>
      </c>
      <c r="C15" s="1990"/>
      <c r="D15" s="1991">
        <f>ROUND(D6*E15,0)</f>
        <v>0</v>
      </c>
      <c r="E15" s="1992">
        <v>0.055</v>
      </c>
      <c r="F15" s="1983" t="s">
        <v>1405</v>
      </c>
      <c r="G15" s="1970"/>
      <c r="H15" s="1955"/>
      <c r="I15" s="2057"/>
      <c r="J15" s="2068">
        <v>2</v>
      </c>
      <c r="K15" s="2069" t="s">
        <v>1406</v>
      </c>
      <c r="L15" s="2073" t="s">
        <v>1407</v>
      </c>
      <c r="M15" s="2074" t="s">
        <v>1408</v>
      </c>
      <c r="N15" s="2074" t="s">
        <v>1409</v>
      </c>
      <c r="O15" s="2075" t="s">
        <v>1410</v>
      </c>
      <c r="P15" s="2075" t="s">
        <v>1372</v>
      </c>
      <c r="Q15" s="1960" t="s">
        <v>124</v>
      </c>
      <c r="R15" s="2114" t="s">
        <v>1373</v>
      </c>
      <c r="S15" s="2105"/>
      <c r="T15" s="2105"/>
      <c r="U15" s="2105"/>
      <c r="V15" s="2057"/>
    </row>
    <row r="16" s="1936" customFormat="1" customHeight="1" spans="1:22">
      <c r="A16" s="1988" t="s">
        <v>1411</v>
      </c>
      <c r="B16" s="1989" t="s">
        <v>1412</v>
      </c>
      <c r="C16" s="1990"/>
      <c r="D16" s="1997">
        <f>D6*E16</f>
        <v>0</v>
      </c>
      <c r="E16" s="1998"/>
      <c r="F16" s="1986" t="s">
        <v>1413</v>
      </c>
      <c r="G16" s="1970"/>
      <c r="H16" s="1955"/>
      <c r="I16" s="2057"/>
      <c r="J16" s="2068"/>
      <c r="K16" s="2072"/>
      <c r="L16" s="2073" t="s">
        <v>1414</v>
      </c>
      <c r="M16" s="2074"/>
      <c r="N16" s="2074"/>
      <c r="O16" s="2075"/>
      <c r="P16" s="1996">
        <v>365</v>
      </c>
      <c r="Q16" s="1960"/>
      <c r="R16" s="2114">
        <f>ROUND(M16*N16*O16*P16/10000,0)</f>
        <v>0</v>
      </c>
      <c r="S16" s="2105"/>
      <c r="T16" s="2105"/>
      <c r="U16" s="2105"/>
      <c r="V16" s="2057"/>
    </row>
    <row r="17" s="1936" customFormat="1" customHeight="1" spans="1:22">
      <c r="A17" s="1999">
        <v>4</v>
      </c>
      <c r="B17" s="2000" t="s">
        <v>1415</v>
      </c>
      <c r="C17" s="2001"/>
      <c r="D17" s="2002">
        <f>ROUND(D6*E17,0)</f>
        <v>0</v>
      </c>
      <c r="E17" s="2003"/>
      <c r="F17" s="2004" t="s">
        <v>1416</v>
      </c>
      <c r="G17" s="1970"/>
      <c r="H17" s="1955"/>
      <c r="I17" s="2057"/>
      <c r="J17" s="2068"/>
      <c r="K17" s="2072"/>
      <c r="L17" s="2073" t="s">
        <v>1417</v>
      </c>
      <c r="M17" s="2074"/>
      <c r="N17" s="2074"/>
      <c r="O17" s="2075"/>
      <c r="P17" s="1996">
        <v>365</v>
      </c>
      <c r="Q17" s="1960"/>
      <c r="R17" s="2114">
        <f>ROUND(M17*N17*O17*P17/10000,0)</f>
        <v>0</v>
      </c>
      <c r="S17" s="2105"/>
      <c r="T17" s="2105"/>
      <c r="U17" s="2105"/>
      <c r="V17" s="2057"/>
    </row>
    <row r="18" s="1936" customFormat="1" customHeight="1" spans="1:22">
      <c r="A18" s="1971" t="s">
        <v>1418</v>
      </c>
      <c r="B18" s="1972"/>
      <c r="C18" s="1972"/>
      <c r="D18" s="2005">
        <f>ROUND(D6*E18,0)</f>
        <v>0</v>
      </c>
      <c r="E18" s="2006"/>
      <c r="F18" s="2007" t="s">
        <v>1419</v>
      </c>
      <c r="G18" s="1970"/>
      <c r="H18" s="1955"/>
      <c r="I18" s="2057"/>
      <c r="J18" s="2068"/>
      <c r="K18" s="2072"/>
      <c r="L18" s="2073" t="s">
        <v>1420</v>
      </c>
      <c r="M18" s="2074"/>
      <c r="N18" s="2074"/>
      <c r="O18" s="2075"/>
      <c r="P18" s="1996">
        <v>365</v>
      </c>
      <c r="Q18" s="1960"/>
      <c r="R18" s="2114">
        <f>ROUND(M18*N18*O18*P18/10000,0)</f>
        <v>0</v>
      </c>
      <c r="S18" s="2105"/>
      <c r="T18" s="2105"/>
      <c r="U18" s="2105"/>
      <c r="V18" s="2057"/>
    </row>
    <row r="19" s="1936" customFormat="1" customHeight="1" spans="1:22">
      <c r="A19" s="2008" t="s">
        <v>1421</v>
      </c>
      <c r="B19" s="1968"/>
      <c r="C19" s="1968"/>
      <c r="D19" s="1968"/>
      <c r="E19" s="1968"/>
      <c r="F19" s="1969"/>
      <c r="G19" s="1984"/>
      <c r="H19" s="1955"/>
      <c r="I19" s="2057"/>
      <c r="J19" s="2068"/>
      <c r="K19" s="2076"/>
      <c r="L19" s="2077" t="s">
        <v>1402</v>
      </c>
      <c r="M19" s="2078"/>
      <c r="N19" s="2078">
        <f>SUM(N16:N18)</f>
        <v>0</v>
      </c>
      <c r="O19" s="2079"/>
      <c r="P19" s="2080" t="s">
        <v>1422</v>
      </c>
      <c r="Q19" s="2075">
        <v>0</v>
      </c>
      <c r="R19" s="2115">
        <f>ROUND(IF(P19="按比例",R14*Q19,SUM(R16:R18)),0)</f>
        <v>0</v>
      </c>
      <c r="S19" s="2105"/>
      <c r="T19" s="2105"/>
      <c r="U19" s="2105"/>
      <c r="V19" s="2057"/>
    </row>
    <row r="20" s="1936" customFormat="1" customHeight="1" spans="1:22">
      <c r="A20" s="1971"/>
      <c r="B20" s="1972"/>
      <c r="C20" s="1972"/>
      <c r="D20" s="1972"/>
      <c r="E20" s="1972"/>
      <c r="F20" s="2009"/>
      <c r="G20" s="1984"/>
      <c r="H20" s="1955"/>
      <c r="I20" s="2057"/>
      <c r="J20" s="2068">
        <v>3</v>
      </c>
      <c r="K20" s="2069" t="s">
        <v>1423</v>
      </c>
      <c r="L20" s="2073" t="s">
        <v>1424</v>
      </c>
      <c r="M20" s="2074" t="s">
        <v>1425</v>
      </c>
      <c r="N20" s="2081" t="s">
        <v>1426</v>
      </c>
      <c r="O20" s="2075" t="s">
        <v>1427</v>
      </c>
      <c r="P20" s="1996" t="s">
        <v>1372</v>
      </c>
      <c r="Q20" s="1960" t="s">
        <v>124</v>
      </c>
      <c r="R20" s="2114" t="s">
        <v>1373</v>
      </c>
      <c r="S20" s="2102"/>
      <c r="T20" s="2102"/>
      <c r="U20" s="2102"/>
      <c r="V20" s="2057"/>
    </row>
    <row r="21" s="1936" customFormat="1" customHeight="1" spans="1:22">
      <c r="A21" s="1971"/>
      <c r="B21" s="1972"/>
      <c r="C21" s="1979" t="s">
        <v>1428</v>
      </c>
      <c r="D21" s="2010" t="s">
        <v>1429</v>
      </c>
      <c r="E21" s="1980" t="s">
        <v>1430</v>
      </c>
      <c r="F21" s="2009"/>
      <c r="G21" s="1984"/>
      <c r="H21" s="1955"/>
      <c r="I21" s="2057"/>
      <c r="J21" s="2068"/>
      <c r="K21" s="2072"/>
      <c r="L21" s="2073" t="s">
        <v>1431</v>
      </c>
      <c r="M21" s="2074"/>
      <c r="N21" s="2074"/>
      <c r="O21" s="2075"/>
      <c r="P21" s="1996">
        <v>365</v>
      </c>
      <c r="Q21" s="1960"/>
      <c r="R21" s="2116">
        <f>ROUND(M21*N21*O21*P21/10000,0)</f>
        <v>0</v>
      </c>
      <c r="S21" s="2102"/>
      <c r="T21" s="2102"/>
      <c r="U21" s="2102"/>
      <c r="V21" s="2057"/>
    </row>
    <row r="22" s="1936" customFormat="1" customHeight="1" spans="1:22">
      <c r="A22" s="1971"/>
      <c r="B22" s="1972"/>
      <c r="C22" s="2011" t="s">
        <v>1432</v>
      </c>
      <c r="D22" s="2012" t="s">
        <v>1433</v>
      </c>
      <c r="E22" s="2013" t="s">
        <v>1434</v>
      </c>
      <c r="F22" s="2009"/>
      <c r="G22" s="2014"/>
      <c r="H22" s="1955"/>
      <c r="I22" s="2057"/>
      <c r="J22" s="2068"/>
      <c r="K22" s="2072"/>
      <c r="L22" s="2073" t="s">
        <v>1435</v>
      </c>
      <c r="M22" s="2074"/>
      <c r="N22" s="2074"/>
      <c r="O22" s="2075"/>
      <c r="P22" s="1996">
        <v>365</v>
      </c>
      <c r="Q22" s="1960"/>
      <c r="R22" s="2116">
        <f>ROUND(M22*N22*O22*P22/10000,0)</f>
        <v>0</v>
      </c>
      <c r="S22" s="2102"/>
      <c r="T22" s="2102"/>
      <c r="U22" s="2102"/>
      <c r="V22" s="2057"/>
    </row>
    <row r="23" s="1936" customFormat="1" customHeight="1" spans="1:22">
      <c r="A23" s="2015">
        <v>1</v>
      </c>
      <c r="B23" s="2016" t="s">
        <v>1436</v>
      </c>
      <c r="C23" s="2017">
        <f>D6</f>
        <v>0</v>
      </c>
      <c r="D23" s="2018">
        <f>C23*(1+D24)</f>
        <v>0</v>
      </c>
      <c r="E23" s="2019">
        <f>D23*(1+E24)</f>
        <v>0</v>
      </c>
      <c r="F23" s="2020"/>
      <c r="G23" s="2021"/>
      <c r="H23" s="1955"/>
      <c r="I23" s="2057"/>
      <c r="J23" s="2068"/>
      <c r="K23" s="2072"/>
      <c r="L23" s="2073" t="s">
        <v>1437</v>
      </c>
      <c r="M23" s="2074"/>
      <c r="N23" s="2074"/>
      <c r="O23" s="2075"/>
      <c r="P23" s="1996">
        <v>365</v>
      </c>
      <c r="Q23" s="1960"/>
      <c r="R23" s="2116">
        <f>ROUND(M23*N23*O23*P23/10000,0)</f>
        <v>0</v>
      </c>
      <c r="S23" s="2105"/>
      <c r="T23" s="2105"/>
      <c r="U23" s="2105"/>
      <c r="V23" s="2057"/>
    </row>
    <row r="24" s="1936" customFormat="1" customHeight="1" spans="1:22">
      <c r="A24" s="2022"/>
      <c r="B24" s="2023" t="s">
        <v>1438</v>
      </c>
      <c r="C24" s="2024"/>
      <c r="D24" s="2025"/>
      <c r="E24" s="2026"/>
      <c r="F24" s="2027"/>
      <c r="G24" s="2021"/>
      <c r="H24" s="1955"/>
      <c r="I24" s="2057"/>
      <c r="J24" s="2068"/>
      <c r="K24" s="2076"/>
      <c r="L24" s="2077" t="s">
        <v>1402</v>
      </c>
      <c r="M24" s="2078">
        <f>SUM(M21:M23)</f>
        <v>0</v>
      </c>
      <c r="N24" s="2078"/>
      <c r="O24" s="2079"/>
      <c r="P24" s="2080" t="s">
        <v>1422</v>
      </c>
      <c r="Q24" s="2075">
        <v>0</v>
      </c>
      <c r="R24" s="2115">
        <f>ROUND(IF(P24="按比例",R14*Q24,SUM(R21:R23)),0)</f>
        <v>0</v>
      </c>
      <c r="S24" s="2105"/>
      <c r="T24" s="2105"/>
      <c r="U24" s="2105"/>
      <c r="V24" s="2057"/>
    </row>
    <row r="25" s="1937" customFormat="1" customHeight="1" spans="1:22">
      <c r="A25" s="2022"/>
      <c r="B25" s="2023"/>
      <c r="C25" s="2024"/>
      <c r="D25" s="2025"/>
      <c r="E25" s="2026"/>
      <c r="F25" s="2027"/>
      <c r="G25" s="2014"/>
      <c r="H25" s="1955"/>
      <c r="I25" s="2057"/>
      <c r="J25" s="2068">
        <v>4</v>
      </c>
      <c r="K25" s="2082" t="s">
        <v>1439</v>
      </c>
      <c r="L25" s="2083"/>
      <c r="M25" s="2083"/>
      <c r="N25" s="2083"/>
      <c r="O25" s="2083"/>
      <c r="P25" s="2084"/>
      <c r="Q25" s="2117">
        <v>0</v>
      </c>
      <c r="R25" s="2115">
        <f>ROUND(R14*Q25,0)</f>
        <v>0</v>
      </c>
      <c r="S25" s="2105"/>
      <c r="T25" s="2105"/>
      <c r="U25" s="2105"/>
      <c r="V25" s="2091"/>
    </row>
    <row r="26" s="1937" customFormat="1" customHeight="1" spans="1:22">
      <c r="A26" s="2015">
        <v>2</v>
      </c>
      <c r="B26" s="2016" t="s">
        <v>1440</v>
      </c>
      <c r="C26" s="2017">
        <f>D7</f>
        <v>0</v>
      </c>
      <c r="D26" s="2018">
        <f>D23*D27</f>
        <v>0</v>
      </c>
      <c r="E26" s="2019">
        <f>E23*E27</f>
        <v>0</v>
      </c>
      <c r="F26" s="2020"/>
      <c r="G26" s="2021"/>
      <c r="H26" s="1955"/>
      <c r="I26" s="2057"/>
      <c r="J26" s="2085">
        <v>5</v>
      </c>
      <c r="K26" s="2086" t="s">
        <v>1441</v>
      </c>
      <c r="L26" s="2087"/>
      <c r="M26" s="2088"/>
      <c r="N26" s="2089" t="s">
        <v>456</v>
      </c>
      <c r="O26" s="2089" t="s">
        <v>1442</v>
      </c>
      <c r="P26" s="2090" t="s">
        <v>1443</v>
      </c>
      <c r="Q26" s="2090" t="s">
        <v>1444</v>
      </c>
      <c r="R26" s="2109" t="s">
        <v>1373</v>
      </c>
      <c r="S26" s="2118"/>
      <c r="T26" s="2118"/>
      <c r="U26" s="2118"/>
      <c r="V26" s="2091"/>
    </row>
    <row r="27" s="1936" customFormat="1" customHeight="1" spans="1:22">
      <c r="A27" s="2022"/>
      <c r="B27" s="2023" t="s">
        <v>1445</v>
      </c>
      <c r="C27" s="2028" t="e">
        <f>E7</f>
        <v>#DIV/0!</v>
      </c>
      <c r="D27" s="2025"/>
      <c r="E27" s="2026"/>
      <c r="F27" s="2027"/>
      <c r="G27" s="2021"/>
      <c r="H27" s="2029"/>
      <c r="I27" s="2091"/>
      <c r="J27" s="2092"/>
      <c r="K27" s="2093"/>
      <c r="L27" s="2094"/>
      <c r="M27" s="2095"/>
      <c r="N27" s="2096"/>
      <c r="O27" s="2096"/>
      <c r="P27" s="2096"/>
      <c r="Q27" s="2119"/>
      <c r="R27" s="2115">
        <f>ROUND(O27*N27*P27*(1-Q27)/10000,0)</f>
        <v>0</v>
      </c>
      <c r="S27" s="2105"/>
      <c r="T27" s="2105"/>
      <c r="U27" s="2105"/>
      <c r="V27" s="2057"/>
    </row>
    <row r="28" s="1937" customFormat="1" customHeight="1" spans="1:22">
      <c r="A28" s="2022"/>
      <c r="B28" s="2023"/>
      <c r="C28" s="2028"/>
      <c r="D28" s="2025"/>
      <c r="E28" s="2026" t="s">
        <v>1446</v>
      </c>
      <c r="F28" s="2027"/>
      <c r="G28" s="2014"/>
      <c r="H28" s="2029"/>
      <c r="I28" s="2091"/>
      <c r="J28" s="2097">
        <v>6</v>
      </c>
      <c r="K28" s="2098" t="s">
        <v>1447</v>
      </c>
      <c r="L28" s="2099" t="s">
        <v>1448</v>
      </c>
      <c r="M28" s="2100"/>
      <c r="N28" s="2099" t="s">
        <v>1449</v>
      </c>
      <c r="O28" s="2101"/>
      <c r="P28" s="2099" t="s">
        <v>1450</v>
      </c>
      <c r="Q28" s="2120">
        <v>0.015</v>
      </c>
      <c r="R28" s="2121"/>
      <c r="S28" s="2102"/>
      <c r="T28" s="2102"/>
      <c r="U28" s="2102"/>
      <c r="V28" s="2091"/>
    </row>
    <row r="29" s="1937" customFormat="1" customHeight="1" spans="1:22">
      <c r="A29" s="2015">
        <v>3</v>
      </c>
      <c r="B29" s="2016" t="s">
        <v>1451</v>
      </c>
      <c r="C29" s="2017">
        <f>C23*C30</f>
        <v>0</v>
      </c>
      <c r="D29" s="2018">
        <f>D23*C30</f>
        <v>0</v>
      </c>
      <c r="E29" s="2019">
        <f>E23*C30</f>
        <v>0</v>
      </c>
      <c r="F29" s="2020"/>
      <c r="G29" s="2021"/>
      <c r="H29" s="1955"/>
      <c r="I29" s="2057"/>
      <c r="J29" s="2102"/>
      <c r="K29" s="2102"/>
      <c r="L29" s="2102"/>
      <c r="M29" s="2102"/>
      <c r="N29" s="2102"/>
      <c r="O29" s="2102"/>
      <c r="P29" s="2102"/>
      <c r="Q29" s="2102"/>
      <c r="R29" s="2102"/>
      <c r="S29" s="2102"/>
      <c r="T29" s="2102"/>
      <c r="U29" s="2102"/>
      <c r="V29" s="2091"/>
    </row>
    <row r="30" s="1936" customFormat="1" customHeight="1" spans="1:22">
      <c r="A30" s="2022"/>
      <c r="B30" s="2023" t="s">
        <v>1445</v>
      </c>
      <c r="C30" s="2028">
        <f>E18</f>
        <v>0</v>
      </c>
      <c r="D30" s="2030"/>
      <c r="E30" s="1995"/>
      <c r="F30" s="2027"/>
      <c r="G30" s="2021"/>
      <c r="H30" s="2029"/>
      <c r="I30" s="2091"/>
      <c r="J30" s="2102"/>
      <c r="K30" s="2102"/>
      <c r="L30" s="2102"/>
      <c r="M30" s="2102"/>
      <c r="N30" s="2102"/>
      <c r="O30" s="2102"/>
      <c r="P30" s="2102"/>
      <c r="Q30" s="2102"/>
      <c r="R30" s="2102"/>
      <c r="S30" s="2102"/>
      <c r="T30" s="2102"/>
      <c r="U30" s="2105"/>
      <c r="V30" s="2057"/>
    </row>
    <row r="31" s="1937" customFormat="1" customHeight="1" spans="1:22">
      <c r="A31" s="2022"/>
      <c r="B31" s="2023"/>
      <c r="C31" s="2031"/>
      <c r="D31" s="2030"/>
      <c r="E31" s="1995"/>
      <c r="F31" s="2027"/>
      <c r="G31" s="2014"/>
      <c r="H31" s="2029"/>
      <c r="I31" s="2091"/>
      <c r="J31" s="2055" t="s">
        <v>1452</v>
      </c>
      <c r="K31" s="2056"/>
      <c r="L31" s="2056"/>
      <c r="M31" s="2056"/>
      <c r="N31" s="2056"/>
      <c r="O31" s="2056"/>
      <c r="P31" s="2056"/>
      <c r="Q31" s="2056"/>
      <c r="R31" s="2104"/>
      <c r="S31" s="2102"/>
      <c r="T31" s="2105"/>
      <c r="U31" s="2105"/>
      <c r="V31" s="2091"/>
    </row>
    <row r="32" s="1937" customFormat="1" customHeight="1" spans="1:22">
      <c r="A32" s="2015">
        <v>4</v>
      </c>
      <c r="B32" s="2016" t="s">
        <v>1453</v>
      </c>
      <c r="C32" s="2017">
        <f>C23-C26-C29</f>
        <v>0</v>
      </c>
      <c r="D32" s="2018">
        <f>D23-D26-D29</f>
        <v>0</v>
      </c>
      <c r="E32" s="2019">
        <f>E23-E26-E29</f>
        <v>0</v>
      </c>
      <c r="F32" s="2020"/>
      <c r="G32" s="2014"/>
      <c r="H32" s="1955"/>
      <c r="I32" s="2057"/>
      <c r="J32" s="2058" t="s">
        <v>1351</v>
      </c>
      <c r="K32" s="2059"/>
      <c r="L32" s="2060" t="s">
        <v>1352</v>
      </c>
      <c r="M32" s="2060" t="s">
        <v>1353</v>
      </c>
      <c r="N32" s="2060" t="s">
        <v>1354</v>
      </c>
      <c r="O32" s="2060" t="s">
        <v>1355</v>
      </c>
      <c r="P32" s="2060" t="s">
        <v>1356</v>
      </c>
      <c r="Q32" s="2106" t="s">
        <v>1357</v>
      </c>
      <c r="R32" s="2122" t="s">
        <v>1358</v>
      </c>
      <c r="S32" s="2102"/>
      <c r="T32" s="2105"/>
      <c r="U32" s="2105"/>
      <c r="V32" s="2091"/>
    </row>
    <row r="33" s="1936" customFormat="1" customHeight="1" spans="1:22">
      <c r="A33" s="2015"/>
      <c r="B33" s="2016"/>
      <c r="C33" s="2017"/>
      <c r="D33" s="2032"/>
      <c r="E33" s="1990"/>
      <c r="F33" s="2020"/>
      <c r="G33" s="2014"/>
      <c r="H33" s="2029"/>
      <c r="I33" s="2091"/>
      <c r="J33" s="2061" t="s">
        <v>1359</v>
      </c>
      <c r="K33" s="2062"/>
      <c r="L33" s="2063"/>
      <c r="M33" s="2063"/>
      <c r="N33" s="2063"/>
      <c r="O33" s="2063"/>
      <c r="P33" s="2063"/>
      <c r="Q33" s="2108"/>
      <c r="R33" s="2123">
        <f>SUM(L33:Q33)</f>
        <v>0</v>
      </c>
      <c r="S33" s="2102"/>
      <c r="T33" s="2105"/>
      <c r="U33" s="2105"/>
      <c r="V33" s="2057"/>
    </row>
    <row r="34" s="1936" customFormat="1" customHeight="1" spans="1:22">
      <c r="A34" s="2015">
        <v>5</v>
      </c>
      <c r="B34" s="2016" t="s">
        <v>1454</v>
      </c>
      <c r="C34" s="2033"/>
      <c r="D34" s="2034"/>
      <c r="E34" s="2035"/>
      <c r="F34" s="2020"/>
      <c r="G34" s="2014"/>
      <c r="H34" s="2029"/>
      <c r="I34" s="2091"/>
      <c r="J34" s="2061" t="s">
        <v>1361</v>
      </c>
      <c r="K34" s="2062"/>
      <c r="L34" s="2064"/>
      <c r="M34" s="2064"/>
      <c r="N34" s="2064"/>
      <c r="O34" s="2064"/>
      <c r="P34" s="2064"/>
      <c r="Q34" s="2110"/>
      <c r="R34" s="2124">
        <f>SUM(L34:Q34)</f>
        <v>0</v>
      </c>
      <c r="S34" s="2102"/>
      <c r="T34" s="2105"/>
      <c r="U34" s="2105" t="e">
        <f>ROUND(R35*10000/365/R33,1)</f>
        <v>#DIV/0!</v>
      </c>
      <c r="V34" s="2057"/>
    </row>
    <row r="35" s="1936" customFormat="1" customHeight="1" spans="1:22">
      <c r="A35" s="2015">
        <v>6</v>
      </c>
      <c r="B35" s="2016" t="s">
        <v>1455</v>
      </c>
      <c r="C35" s="2036"/>
      <c r="D35" s="2037"/>
      <c r="E35" s="2038"/>
      <c r="F35" s="2020"/>
      <c r="G35" s="2039"/>
      <c r="H35" s="1955"/>
      <c r="I35" s="2091"/>
      <c r="J35" s="2065" t="s">
        <v>1363</v>
      </c>
      <c r="K35" s="2066"/>
      <c r="L35" s="2066"/>
      <c r="M35" s="2067"/>
      <c r="N35" s="2067"/>
      <c r="O35" s="2067"/>
      <c r="P35" s="2067"/>
      <c r="Q35" s="2067"/>
      <c r="R35" s="2125">
        <f>R40+R41+R43</f>
        <v>0</v>
      </c>
      <c r="S35" s="2102"/>
      <c r="T35" s="2105" t="s">
        <v>1364</v>
      </c>
      <c r="U35" s="2105"/>
      <c r="V35" s="2057"/>
    </row>
    <row r="36" s="1936" customFormat="1" customHeight="1" spans="1:22">
      <c r="A36" s="2015">
        <v>7</v>
      </c>
      <c r="B36" s="2040" t="s">
        <v>1456</v>
      </c>
      <c r="C36" s="2041"/>
      <c r="D36" s="2042"/>
      <c r="E36" s="2043"/>
      <c r="F36" s="2044">
        <f>C36+D36+E36</f>
        <v>0</v>
      </c>
      <c r="G36" s="2014"/>
      <c r="H36" s="1955"/>
      <c r="I36" s="2057"/>
      <c r="J36" s="2068">
        <v>1</v>
      </c>
      <c r="K36" s="2069" t="s">
        <v>1457</v>
      </c>
      <c r="L36" s="2070"/>
      <c r="M36" s="2071"/>
      <c r="N36" s="2071"/>
      <c r="O36" s="2071"/>
      <c r="P36" s="2071"/>
      <c r="Q36" s="2071"/>
      <c r="R36" s="2109" t="s">
        <v>1373</v>
      </c>
      <c r="S36" s="2102"/>
      <c r="T36" s="2105" t="s">
        <v>1374</v>
      </c>
      <c r="U36" s="2105"/>
      <c r="V36" s="2057"/>
    </row>
    <row r="37" s="1936" customFormat="1" customHeight="1" spans="1:22">
      <c r="A37" s="2015"/>
      <c r="B37" s="2016"/>
      <c r="C37" s="2016"/>
      <c r="D37" s="2016"/>
      <c r="E37" s="2016"/>
      <c r="F37" s="2020"/>
      <c r="G37" s="2014"/>
      <c r="H37" s="1955"/>
      <c r="I37" s="2057"/>
      <c r="J37" s="2068"/>
      <c r="K37" s="2072"/>
      <c r="L37" s="2073"/>
      <c r="M37" s="2074"/>
      <c r="N37" s="1960"/>
      <c r="O37" s="2075"/>
      <c r="P37" s="2075"/>
      <c r="Q37" s="1996"/>
      <c r="R37" s="2112"/>
      <c r="S37" s="2102"/>
      <c r="T37" s="2105" t="s">
        <v>1377</v>
      </c>
      <c r="U37" s="2105"/>
      <c r="V37" s="2057"/>
    </row>
    <row r="38" s="1936" customFormat="1" customHeight="1" spans="1:22">
      <c r="A38" s="2015">
        <v>8</v>
      </c>
      <c r="B38" s="2016"/>
      <c r="C38" s="1981" t="e">
        <f>ROUND(C32*(1-((1+C35)/(1+C34))^C36)/(C34-C35),0)</f>
        <v>#DIV/0!</v>
      </c>
      <c r="D38" s="1981">
        <f>IF(D23=0,0,ROUND(D32*(1-((1+D35)/(1+D34))^D36)/(D34-D35),0))</f>
        <v>0</v>
      </c>
      <c r="E38" s="1981">
        <f>IF(E23=0,0,ROUND(E32*(1-((1+E35)/(1+E34))^E36)/(E34-E35),0))</f>
        <v>0</v>
      </c>
      <c r="F38" s="2020"/>
      <c r="G38" s="2014"/>
      <c r="H38" s="1955"/>
      <c r="I38" s="2057"/>
      <c r="J38" s="2068"/>
      <c r="K38" s="2072"/>
      <c r="L38" s="2073"/>
      <c r="M38" s="2074"/>
      <c r="N38" s="1960"/>
      <c r="O38" s="2075"/>
      <c r="P38" s="2075"/>
      <c r="Q38" s="1996"/>
      <c r="R38" s="2112"/>
      <c r="S38" s="2102"/>
      <c r="T38" s="2105" t="s">
        <v>1384</v>
      </c>
      <c r="U38" s="2105"/>
      <c r="V38" s="2057"/>
    </row>
    <row r="39" s="1936" customFormat="1" customHeight="1" spans="1:22">
      <c r="A39" s="2015">
        <v>9</v>
      </c>
      <c r="B39" s="2016" t="s">
        <v>1458</v>
      </c>
      <c r="C39" s="1991" t="e">
        <f>C38</f>
        <v>#DIV/0!</v>
      </c>
      <c r="D39" s="2016">
        <f>D38/(1+D34)^C36</f>
        <v>0</v>
      </c>
      <c r="E39" s="2016">
        <f>E38/(1+E34)^(C36+D36)</f>
        <v>0</v>
      </c>
      <c r="F39" s="2020"/>
      <c r="G39" s="2045"/>
      <c r="H39" s="1955"/>
      <c r="I39" s="2057"/>
      <c r="J39" s="2068"/>
      <c r="K39" s="2072"/>
      <c r="L39" s="2073"/>
      <c r="M39" s="2074"/>
      <c r="N39" s="1960"/>
      <c r="O39" s="2075"/>
      <c r="P39" s="2075"/>
      <c r="Q39" s="1996"/>
      <c r="R39" s="2112"/>
      <c r="S39" s="2102"/>
      <c r="T39" s="2105"/>
      <c r="U39" s="2105"/>
      <c r="V39" s="2057"/>
    </row>
    <row r="40" s="1936" customFormat="1" customHeight="1" spans="1:22">
      <c r="A40" s="2046">
        <v>10</v>
      </c>
      <c r="B40" s="2016" t="s">
        <v>1459</v>
      </c>
      <c r="C40" s="2047" t="e">
        <f>C39+D39+E39</f>
        <v>#DIV/0!</v>
      </c>
      <c r="D40" s="2048"/>
      <c r="E40" s="2048"/>
      <c r="F40" s="2049"/>
      <c r="G40" s="2014"/>
      <c r="H40" s="1955"/>
      <c r="I40" s="2057"/>
      <c r="J40" s="2068"/>
      <c r="K40" s="2076"/>
      <c r="L40" s="2077" t="s">
        <v>1402</v>
      </c>
      <c r="M40" s="2078"/>
      <c r="N40" s="2078"/>
      <c r="O40" s="2079"/>
      <c r="P40" s="2079"/>
      <c r="Q40" s="2113"/>
      <c r="R40" s="2107">
        <f>SUM(R37:R39)</f>
        <v>0</v>
      </c>
      <c r="S40" s="2102"/>
      <c r="T40" s="2105"/>
      <c r="U40" s="2105"/>
      <c r="V40" s="2057"/>
    </row>
    <row r="41" s="1936" customFormat="1" customHeight="1" spans="1:22">
      <c r="A41" s="2050">
        <v>11</v>
      </c>
      <c r="B41" s="2051" t="s">
        <v>1460</v>
      </c>
      <c r="C41" s="2051" t="e">
        <f>ROUND(C40*10000/B4,0)</f>
        <v>#DIV/0!</v>
      </c>
      <c r="D41" s="2052"/>
      <c r="E41" s="2052"/>
      <c r="F41" s="2053"/>
      <c r="G41" s="2054"/>
      <c r="H41" s="1955"/>
      <c r="I41" s="2057"/>
      <c r="J41" s="2068">
        <v>2</v>
      </c>
      <c r="K41" s="2082" t="s">
        <v>1439</v>
      </c>
      <c r="L41" s="2083"/>
      <c r="M41" s="2083"/>
      <c r="N41" s="2083"/>
      <c r="O41" s="2083"/>
      <c r="P41" s="2084"/>
      <c r="Q41" s="2117"/>
      <c r="R41" s="2115">
        <f>ROUND(R40*Q41,0)</f>
        <v>0</v>
      </c>
      <c r="S41" s="2102"/>
      <c r="T41" s="2105"/>
      <c r="U41" s="2118"/>
      <c r="V41" s="2057"/>
    </row>
    <row r="42" s="1936" customFormat="1" customHeight="1" spans="7:22">
      <c r="G42" s="2054"/>
      <c r="H42" s="1955"/>
      <c r="I42" s="2057"/>
      <c r="J42" s="2085">
        <v>3</v>
      </c>
      <c r="K42" s="2086" t="s">
        <v>1441</v>
      </c>
      <c r="L42" s="2087"/>
      <c r="M42" s="2088"/>
      <c r="N42" s="2089" t="s">
        <v>456</v>
      </c>
      <c r="O42" s="2089" t="s">
        <v>1442</v>
      </c>
      <c r="P42" s="2090" t="s">
        <v>1443</v>
      </c>
      <c r="Q42" s="2090" t="s">
        <v>1444</v>
      </c>
      <c r="R42" s="2109" t="s">
        <v>1373</v>
      </c>
      <c r="S42" s="2118"/>
      <c r="T42" s="2118"/>
      <c r="U42" s="2105"/>
      <c r="V42" s="2057"/>
    </row>
    <row r="43" customHeight="1" spans="1:23">
      <c r="A43" s="1936"/>
      <c r="B43" s="1936"/>
      <c r="C43" s="1936"/>
      <c r="D43" s="1936"/>
      <c r="E43" s="1936"/>
      <c r="F43" s="1936"/>
      <c r="I43" s="1940"/>
      <c r="J43" s="2092"/>
      <c r="K43" s="2093"/>
      <c r="L43" s="2094"/>
      <c r="M43" s="2095"/>
      <c r="N43" s="2074"/>
      <c r="O43" s="2074"/>
      <c r="P43" s="2074"/>
      <c r="Q43" s="2117"/>
      <c r="R43" s="2115">
        <f>ROUND(O43*N43*P43*(1-Q43)/10000,0)</f>
        <v>0</v>
      </c>
      <c r="S43" s="2102"/>
      <c r="T43" s="2105"/>
      <c r="V43" s="1942"/>
      <c r="W43" s="2126"/>
    </row>
    <row r="44" customHeight="1" spans="10:18">
      <c r="J44" s="2097">
        <v>6</v>
      </c>
      <c r="K44" s="2098" t="s">
        <v>1447</v>
      </c>
      <c r="L44" s="2103" t="s">
        <v>1448</v>
      </c>
      <c r="M44" s="2100"/>
      <c r="N44" s="2103" t="s">
        <v>1449</v>
      </c>
      <c r="O44" s="2100"/>
      <c r="P44" s="2103" t="s">
        <v>1450</v>
      </c>
      <c r="Q44" s="2120">
        <v>0.015</v>
      </c>
      <c r="R44" s="212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1021" customWidth="1"/>
    <col min="2" max="2" width="12" style="1021" customWidth="1"/>
    <col min="3" max="3" width="9" style="1021"/>
    <col min="4" max="4" width="14.1111111111111" style="1021" customWidth="1"/>
    <col min="5" max="5" width="9" style="1021"/>
    <col min="6" max="6" width="12.8888888888889" style="1021" customWidth="1"/>
    <col min="7" max="16384" width="9" style="1021"/>
  </cols>
  <sheetData>
    <row r="1" ht="20.4" spans="1:19">
      <c r="A1" s="1022" t="s">
        <v>1461</v>
      </c>
      <c r="B1" s="1911"/>
      <c r="C1" s="1911"/>
      <c r="D1" s="1911"/>
      <c r="E1" s="1912"/>
      <c r="F1" s="1913"/>
      <c r="G1" s="1914"/>
      <c r="H1" s="1914"/>
      <c r="I1" s="1914"/>
      <c r="J1" s="1914"/>
      <c r="K1" s="1914"/>
      <c r="L1" s="1914"/>
      <c r="M1" s="1914"/>
      <c r="N1" s="1914"/>
      <c r="O1" s="1914"/>
      <c r="P1" s="1914"/>
      <c r="Q1" s="1914"/>
      <c r="R1" s="1914"/>
      <c r="S1" s="1914"/>
    </row>
    <row r="2" ht="15.6" spans="1:19">
      <c r="A2" s="1915" t="s">
        <v>989</v>
      </c>
      <c r="B2" s="1916">
        <f ca="1">SUMIF(B6:B13,"&lt;&gt;#ref!",B6:B13)</f>
        <v>14528</v>
      </c>
      <c r="C2" s="1917" t="s">
        <v>1462</v>
      </c>
      <c r="D2" s="1918" t="s">
        <v>1463</v>
      </c>
      <c r="E2" s="1919">
        <f>SUM(E6:E13)</f>
        <v>10109.15</v>
      </c>
      <c r="F2" s="1913"/>
      <c r="G2" s="1914"/>
      <c r="H2" s="1914"/>
      <c r="I2" s="1914"/>
      <c r="J2" s="1914"/>
      <c r="K2" s="1914"/>
      <c r="L2" s="1914"/>
      <c r="M2" s="1914"/>
      <c r="N2" s="1914"/>
      <c r="O2" s="1914"/>
      <c r="P2" s="1914"/>
      <c r="Q2" s="1914"/>
      <c r="R2" s="1914"/>
      <c r="S2" s="1914"/>
    </row>
    <row r="3" ht="15.6" spans="1:19">
      <c r="A3" s="1915" t="s">
        <v>991</v>
      </c>
      <c r="B3" s="1920">
        <f ca="1">ROUND(B2*10000/E2,0)</f>
        <v>14371</v>
      </c>
      <c r="C3" s="1917" t="s">
        <v>1464</v>
      </c>
      <c r="D3" s="1921"/>
      <c r="E3" s="1922"/>
      <c r="F3" s="1913"/>
      <c r="G3" s="1914"/>
      <c r="H3" s="1914"/>
      <c r="I3" s="1914"/>
      <c r="J3" s="1914"/>
      <c r="K3" s="1914"/>
      <c r="L3" s="1914"/>
      <c r="M3" s="1914"/>
      <c r="N3" s="1914"/>
      <c r="O3" s="1914"/>
      <c r="P3" s="1914"/>
      <c r="Q3" s="1914"/>
      <c r="R3" s="1914"/>
      <c r="S3" s="1914"/>
    </row>
    <row r="4" ht="15.6" spans="1:19">
      <c r="A4" s="1923"/>
      <c r="B4" s="1921"/>
      <c r="C4" s="1921"/>
      <c r="D4" s="1921"/>
      <c r="E4" s="1922"/>
      <c r="F4" s="1913"/>
      <c r="G4" s="1914"/>
      <c r="H4" s="1914"/>
      <c r="I4" s="1914"/>
      <c r="J4" s="1914"/>
      <c r="K4" s="1914"/>
      <c r="L4" s="1914"/>
      <c r="M4" s="1914"/>
      <c r="N4" s="1914"/>
      <c r="O4" s="1914"/>
      <c r="P4" s="1914"/>
      <c r="Q4" s="1914"/>
      <c r="R4" s="1914"/>
      <c r="S4" s="1914"/>
    </row>
    <row r="5" ht="14.4" spans="1:19">
      <c r="A5" s="1924" t="s">
        <v>1465</v>
      </c>
      <c r="B5" s="1925" t="s">
        <v>1466</v>
      </c>
      <c r="C5" s="1926"/>
      <c r="D5" s="1927"/>
      <c r="E5" s="1928" t="s">
        <v>1467</v>
      </c>
      <c r="F5" s="1929" t="s">
        <v>1468</v>
      </c>
      <c r="G5" s="1914"/>
      <c r="H5" s="1914"/>
      <c r="I5" s="1914"/>
      <c r="J5" s="1914"/>
      <c r="K5" s="1914"/>
      <c r="L5" s="1914"/>
      <c r="M5" s="1914"/>
      <c r="N5" s="1914"/>
      <c r="O5" s="1914"/>
      <c r="P5" s="1914"/>
      <c r="Q5" s="1914"/>
      <c r="R5" s="1914"/>
      <c r="S5" s="1914"/>
    </row>
    <row r="6" ht="14.4" spans="1:19">
      <c r="A6" s="1930" t="str">
        <f>'数据-取费表'!AN6</f>
        <v>收益法</v>
      </c>
      <c r="B6" s="1026">
        <f ca="1">IF(F6="是",'数据-取费表'!AO6,0)</f>
        <v>14528</v>
      </c>
      <c r="C6" s="1917" t="s">
        <v>1462</v>
      </c>
      <c r="D6" s="1921"/>
      <c r="E6" s="1931">
        <f>IF(OR(A6=0,F6="否"),0,'数据-取费表'!K6+'数据-取费表'!S6)</f>
        <v>10109.15</v>
      </c>
      <c r="F6" s="1932" t="s">
        <v>1469</v>
      </c>
      <c r="G6" s="1914"/>
      <c r="H6" s="1914"/>
      <c r="I6" s="1914"/>
      <c r="J6" s="1914"/>
      <c r="K6" s="1914"/>
      <c r="L6" s="1914"/>
      <c r="M6" s="1914"/>
      <c r="N6" s="1914"/>
      <c r="O6" s="1914"/>
      <c r="P6" s="1914"/>
      <c r="Q6" s="1914"/>
      <c r="R6" s="1914"/>
      <c r="S6" s="1914"/>
    </row>
    <row r="7" ht="14.4" spans="1:19">
      <c r="A7" s="1930">
        <f>'数据-取费表'!AN7</f>
        <v>0</v>
      </c>
      <c r="B7" s="1026" t="e">
        <f ca="1">IF(F7="是",'数据-取费表'!AO7,0)</f>
        <v>#REF!</v>
      </c>
      <c r="C7" s="1917" t="s">
        <v>1462</v>
      </c>
      <c r="D7" s="1921"/>
      <c r="E7" s="1931">
        <f>IF(OR(A7=0,F7="否"),0,'数据-取费表'!K7+'数据-取费表'!S7)</f>
        <v>0</v>
      </c>
      <c r="F7" s="1932" t="s">
        <v>1469</v>
      </c>
      <c r="G7" s="1914"/>
      <c r="H7" s="1914"/>
      <c r="I7" s="1914"/>
      <c r="J7" s="1914"/>
      <c r="K7" s="1914"/>
      <c r="L7" s="1914"/>
      <c r="M7" s="1914"/>
      <c r="N7" s="1914"/>
      <c r="O7" s="1914"/>
      <c r="P7" s="1914"/>
      <c r="Q7" s="1914"/>
      <c r="R7" s="1914"/>
      <c r="S7" s="1914"/>
    </row>
    <row r="8" ht="14.4" spans="1:19">
      <c r="A8" s="1930">
        <f>'数据-取费表'!AN8</f>
        <v>0</v>
      </c>
      <c r="B8" s="1026" t="e">
        <f ca="1">IF(F8="是",'数据-取费表'!AO8,0)</f>
        <v>#REF!</v>
      </c>
      <c r="C8" s="1917" t="s">
        <v>1462</v>
      </c>
      <c r="D8" s="1921"/>
      <c r="E8" s="1931">
        <f>IF(OR(A8=0,F8="否"),0,'数据-取费表'!K8+'数据-取费表'!S8)</f>
        <v>0</v>
      </c>
      <c r="F8" s="1932" t="s">
        <v>1469</v>
      </c>
      <c r="G8" s="1914"/>
      <c r="H8" s="1914"/>
      <c r="I8" s="1914"/>
      <c r="J8" s="1914"/>
      <c r="K8" s="1914"/>
      <c r="L8" s="1914"/>
      <c r="M8" s="1914"/>
      <c r="N8" s="1914"/>
      <c r="O8" s="1914"/>
      <c r="P8" s="1914"/>
      <c r="Q8" s="1914"/>
      <c r="R8" s="1914"/>
      <c r="S8" s="1914"/>
    </row>
    <row r="9" ht="14.4" spans="1:19">
      <c r="A9" s="1930">
        <f>'数据-取费表'!AN9</f>
        <v>0</v>
      </c>
      <c r="B9" s="1026" t="e">
        <f ca="1">IF(F9="是",'数据-取费表'!AO9,0)</f>
        <v>#REF!</v>
      </c>
      <c r="C9" s="1917" t="s">
        <v>1462</v>
      </c>
      <c r="D9" s="1921"/>
      <c r="E9" s="1931">
        <f>IF(OR(A9=0,F9="否"),0,'数据-取费表'!K9+'数据-取费表'!S9)</f>
        <v>0</v>
      </c>
      <c r="F9" s="1932" t="s">
        <v>1469</v>
      </c>
      <c r="G9" s="1914"/>
      <c r="H9" s="1914"/>
      <c r="I9" s="1914"/>
      <c r="J9" s="1914"/>
      <c r="K9" s="1914"/>
      <c r="L9" s="1914"/>
      <c r="M9" s="1914"/>
      <c r="N9" s="1914"/>
      <c r="O9" s="1914"/>
      <c r="P9" s="1914"/>
      <c r="Q9" s="1914"/>
      <c r="R9" s="1914"/>
      <c r="S9" s="1914"/>
    </row>
    <row r="10" ht="14.4" spans="1:19">
      <c r="A10" s="1930">
        <f>'数据-取费表'!AN10</f>
        <v>0</v>
      </c>
      <c r="B10" s="1026" t="e">
        <f ca="1">IF(F10="是",'数据-取费表'!AO10,0)</f>
        <v>#REF!</v>
      </c>
      <c r="C10" s="1917" t="s">
        <v>1462</v>
      </c>
      <c r="D10" s="1921"/>
      <c r="E10" s="1931">
        <f>IF(OR(A10=0,F10="否"),0,'数据-取费表'!K10+'数据-取费表'!S10)</f>
        <v>0</v>
      </c>
      <c r="F10" s="1932" t="s">
        <v>1469</v>
      </c>
      <c r="G10" s="1914"/>
      <c r="H10" s="1914"/>
      <c r="I10" s="1914"/>
      <c r="J10" s="1914"/>
      <c r="K10" s="1914"/>
      <c r="L10" s="1914"/>
      <c r="M10" s="1914"/>
      <c r="N10" s="1914"/>
      <c r="O10" s="1914"/>
      <c r="P10" s="1914"/>
      <c r="Q10" s="1914"/>
      <c r="R10" s="1914"/>
      <c r="S10" s="1914"/>
    </row>
    <row r="11" ht="14.4" spans="1:19">
      <c r="A11" s="1930">
        <f>'数据-取费表'!AN11</f>
        <v>0</v>
      </c>
      <c r="B11" s="1026" t="e">
        <f ca="1">IF(F11="是",'数据-取费表'!AO11,0)</f>
        <v>#REF!</v>
      </c>
      <c r="C11" s="1917" t="s">
        <v>1462</v>
      </c>
      <c r="D11" s="1921"/>
      <c r="E11" s="1931">
        <f>IF(OR(A11=0,F11="否"),0,'数据-取费表'!K11+'数据-取费表'!S11)</f>
        <v>0</v>
      </c>
      <c r="F11" s="1932" t="s">
        <v>1469</v>
      </c>
      <c r="G11" s="1914"/>
      <c r="H11" s="1914"/>
      <c r="I11" s="1914"/>
      <c r="J11" s="1914"/>
      <c r="K11" s="1914"/>
      <c r="L11" s="1914"/>
      <c r="M11" s="1914"/>
      <c r="N11" s="1914"/>
      <c r="O11" s="1914"/>
      <c r="P11" s="1914"/>
      <c r="Q11" s="1914"/>
      <c r="R11" s="1914"/>
      <c r="S11" s="1914"/>
    </row>
    <row r="12" ht="14.4" spans="1:19">
      <c r="A12" s="1930">
        <f>'数据-取费表'!AN12</f>
        <v>0</v>
      </c>
      <c r="B12" s="1026" t="e">
        <f ca="1">IF(F12="是",'数据-取费表'!AO12,0)</f>
        <v>#REF!</v>
      </c>
      <c r="C12" s="1917" t="s">
        <v>1462</v>
      </c>
      <c r="D12" s="1921"/>
      <c r="E12" s="1931">
        <f>IF(OR(A12=0,F12="否"),0,'数据-取费表'!K12+'数据-取费表'!S12)</f>
        <v>0</v>
      </c>
      <c r="F12" s="1932" t="s">
        <v>1469</v>
      </c>
      <c r="G12" s="1914"/>
      <c r="H12" s="1914"/>
      <c r="I12" s="1914"/>
      <c r="J12" s="1914"/>
      <c r="K12" s="1914"/>
      <c r="L12" s="1914"/>
      <c r="M12" s="1914"/>
      <c r="N12" s="1914"/>
      <c r="O12" s="1914"/>
      <c r="P12" s="1914"/>
      <c r="Q12" s="1914"/>
      <c r="R12" s="1914"/>
      <c r="S12" s="1914"/>
    </row>
    <row r="13" ht="15.15" spans="1:19">
      <c r="A13" s="1933">
        <f>'数据-取费表'!AN13</f>
        <v>0</v>
      </c>
      <c r="B13" s="1026" t="e">
        <f ca="1">IF(F13="是",'数据-取费表'!AO13,0)</f>
        <v>#REF!</v>
      </c>
      <c r="C13" s="1934" t="s">
        <v>1462</v>
      </c>
      <c r="D13" s="1935"/>
      <c r="E13" s="1931">
        <f>IF(OR(A13=0,F13="否"),0,'数据-取费表'!K13+'数据-取费表'!S13)</f>
        <v>0</v>
      </c>
      <c r="F13" s="1932" t="s">
        <v>1469</v>
      </c>
      <c r="G13" s="1914"/>
      <c r="H13" s="1914"/>
      <c r="I13" s="1914"/>
      <c r="J13" s="1914"/>
      <c r="K13" s="1914"/>
      <c r="L13" s="1914"/>
      <c r="M13" s="1914"/>
      <c r="N13" s="1914"/>
      <c r="O13" s="1914"/>
      <c r="P13" s="1914"/>
      <c r="Q13" s="1914"/>
      <c r="R13" s="1914"/>
      <c r="S13" s="1914"/>
    </row>
    <row r="14" spans="1:22">
      <c r="A14" s="1914"/>
      <c r="B14" s="1914"/>
      <c r="C14" s="1914"/>
      <c r="D14" s="1914"/>
      <c r="E14" s="1914"/>
      <c r="F14" s="1914"/>
      <c r="G14" s="1914"/>
      <c r="H14" s="1914"/>
      <c r="I14" s="1914"/>
      <c r="J14" s="1914"/>
      <c r="K14" s="1914"/>
      <c r="L14" s="1914"/>
      <c r="M14" s="1914"/>
      <c r="N14" s="1914"/>
      <c r="O14" s="1914"/>
      <c r="P14" s="1914"/>
      <c r="Q14" s="1914"/>
      <c r="R14" s="1914"/>
      <c r="S14" s="1914"/>
      <c r="T14" s="1914"/>
      <c r="U14" s="1914"/>
      <c r="V14" s="1914"/>
    </row>
    <row r="15" spans="1:22">
      <c r="A15" s="1914"/>
      <c r="B15" s="1914"/>
      <c r="C15" s="1914"/>
      <c r="D15" s="1914"/>
      <c r="E15" s="1914"/>
      <c r="F15" s="1914"/>
      <c r="G15" s="1914"/>
      <c r="H15" s="1914"/>
      <c r="I15" s="1914"/>
      <c r="J15" s="1914"/>
      <c r="K15" s="1914"/>
      <c r="L15" s="1914"/>
      <c r="M15" s="1914"/>
      <c r="N15" s="1914"/>
      <c r="O15" s="1914"/>
      <c r="P15" s="1914"/>
      <c r="Q15" s="1914"/>
      <c r="R15" s="1914"/>
      <c r="S15" s="1914"/>
      <c r="T15" s="1914"/>
      <c r="U15" s="1914"/>
      <c r="V15" s="1914"/>
    </row>
    <row r="16" spans="1:22">
      <c r="A16" s="1914"/>
      <c r="B16" s="1914"/>
      <c r="C16" s="1914"/>
      <c r="D16" s="1914"/>
      <c r="E16" s="1914"/>
      <c r="F16" s="1914"/>
      <c r="G16" s="1914"/>
      <c r="H16" s="1914"/>
      <c r="I16" s="1914"/>
      <c r="J16" s="1914"/>
      <c r="K16" s="1914"/>
      <c r="L16" s="1914"/>
      <c r="M16" s="1914"/>
      <c r="N16" s="1914"/>
      <c r="O16" s="1914"/>
      <c r="P16" s="1914"/>
      <c r="Q16" s="1914"/>
      <c r="R16" s="1914"/>
      <c r="S16" s="1914"/>
      <c r="T16" s="1914"/>
      <c r="U16" s="1914"/>
      <c r="V16" s="1914"/>
    </row>
    <row r="17" spans="1:22">
      <c r="A17" s="1914"/>
      <c r="B17" s="1914"/>
      <c r="C17" s="1914"/>
      <c r="D17" s="1914"/>
      <c r="E17" s="1914"/>
      <c r="F17" s="1914"/>
      <c r="G17" s="1914"/>
      <c r="H17" s="1914"/>
      <c r="I17" s="1914"/>
      <c r="J17" s="1914"/>
      <c r="K17" s="1914"/>
      <c r="L17" s="1914"/>
      <c r="M17" s="1914"/>
      <c r="N17" s="1914"/>
      <c r="O17" s="1914"/>
      <c r="P17" s="1914"/>
      <c r="Q17" s="1914"/>
      <c r="R17" s="1914"/>
      <c r="S17" s="1914"/>
      <c r="T17" s="1914"/>
      <c r="U17" s="1914"/>
      <c r="V17" s="1914"/>
    </row>
    <row r="18" spans="1:22">
      <c r="A18" s="1914"/>
      <c r="B18" s="1914"/>
      <c r="C18" s="1914"/>
      <c r="D18" s="1914"/>
      <c r="E18" s="1914"/>
      <c r="F18" s="1914"/>
      <c r="G18" s="1914"/>
      <c r="H18" s="1914"/>
      <c r="I18" s="1914"/>
      <c r="J18" s="1914"/>
      <c r="K18" s="1914"/>
      <c r="L18" s="1914"/>
      <c r="M18" s="1914"/>
      <c r="N18" s="1914"/>
      <c r="O18" s="1914"/>
      <c r="P18" s="1914"/>
      <c r="Q18" s="1914"/>
      <c r="R18" s="1914"/>
      <c r="S18" s="1914"/>
      <c r="T18" s="1914"/>
      <c r="U18" s="1914"/>
      <c r="V18" s="1914"/>
    </row>
    <row r="19" spans="1:22">
      <c r="A19" s="1914"/>
      <c r="B19" s="1914"/>
      <c r="C19" s="1914"/>
      <c r="D19" s="1914"/>
      <c r="E19" s="1914"/>
      <c r="F19" s="1914"/>
      <c r="G19" s="1914"/>
      <c r="H19" s="1914"/>
      <c r="I19" s="1914"/>
      <c r="J19" s="1914"/>
      <c r="K19" s="1914"/>
      <c r="L19" s="1914"/>
      <c r="M19" s="1914"/>
      <c r="N19" s="1914"/>
      <c r="O19" s="1914"/>
      <c r="P19" s="1914"/>
      <c r="Q19" s="1914"/>
      <c r="R19" s="1914"/>
      <c r="S19" s="1914"/>
      <c r="T19" s="1914"/>
      <c r="U19" s="1914"/>
      <c r="V19" s="1914"/>
    </row>
    <row r="20" spans="1:22">
      <c r="A20" s="1914"/>
      <c r="B20" s="1914"/>
      <c r="C20" s="1914"/>
      <c r="D20" s="1914"/>
      <c r="E20" s="1914"/>
      <c r="F20" s="1914"/>
      <c r="G20" s="1914"/>
      <c r="H20" s="1914"/>
      <c r="I20" s="1914"/>
      <c r="J20" s="1914"/>
      <c r="K20" s="1914"/>
      <c r="L20" s="1914"/>
      <c r="M20" s="1914"/>
      <c r="N20" s="1914"/>
      <c r="O20" s="1914"/>
      <c r="P20" s="1914"/>
      <c r="Q20" s="1914"/>
      <c r="R20" s="1914"/>
      <c r="S20" s="1914"/>
      <c r="T20" s="1914"/>
      <c r="U20" s="1914"/>
      <c r="V20" s="1914"/>
    </row>
    <row r="21" spans="1:22">
      <c r="A21" s="1914"/>
      <c r="B21" s="1914"/>
      <c r="C21" s="1914"/>
      <c r="D21" s="1914"/>
      <c r="E21" s="1914"/>
      <c r="F21" s="1914"/>
      <c r="G21" s="1914"/>
      <c r="H21" s="1914"/>
      <c r="I21" s="1914"/>
      <c r="J21" s="1914"/>
      <c r="K21" s="1914"/>
      <c r="L21" s="1914"/>
      <c r="M21" s="1914"/>
      <c r="N21" s="1914"/>
      <c r="O21" s="1914"/>
      <c r="P21" s="1914"/>
      <c r="Q21" s="1914"/>
      <c r="R21" s="1914"/>
      <c r="S21" s="1914"/>
      <c r="T21" s="1914"/>
      <c r="U21" s="1914"/>
      <c r="V21" s="1914"/>
    </row>
    <row r="22" spans="1:22">
      <c r="A22" s="1914"/>
      <c r="B22" s="1914"/>
      <c r="C22" s="1914"/>
      <c r="D22" s="1914"/>
      <c r="E22" s="1914"/>
      <c r="F22" s="1914"/>
      <c r="G22" s="1914"/>
      <c r="H22" s="1914"/>
      <c r="I22" s="1914"/>
      <c r="J22" s="1914"/>
      <c r="K22" s="1914"/>
      <c r="L22" s="1914"/>
      <c r="M22" s="1914"/>
      <c r="N22" s="1914"/>
      <c r="O22" s="1914"/>
      <c r="P22" s="1914"/>
      <c r="Q22" s="1914"/>
      <c r="R22" s="1914"/>
      <c r="S22" s="1914"/>
      <c r="T22" s="1914"/>
      <c r="U22" s="1914"/>
      <c r="V22" s="1914"/>
    </row>
    <row r="23" spans="1:22">
      <c r="A23" s="1914"/>
      <c r="B23" s="1914"/>
      <c r="C23" s="1914"/>
      <c r="D23" s="1914"/>
      <c r="E23" s="1914"/>
      <c r="F23" s="1914"/>
      <c r="G23" s="1914"/>
      <c r="H23" s="1914"/>
      <c r="I23" s="1914"/>
      <c r="J23" s="1914"/>
      <c r="K23" s="1914"/>
      <c r="L23" s="1914"/>
      <c r="M23" s="1914"/>
      <c r="N23" s="1914"/>
      <c r="O23" s="1914"/>
      <c r="P23" s="1914"/>
      <c r="Q23" s="1914"/>
      <c r="R23" s="1914"/>
      <c r="S23" s="1914"/>
      <c r="T23" s="1914"/>
      <c r="U23" s="1914"/>
      <c r="V23" s="1914"/>
    </row>
    <row r="24" spans="1:22">
      <c r="A24" s="1914"/>
      <c r="B24" s="1914"/>
      <c r="C24" s="1914"/>
      <c r="D24" s="1914"/>
      <c r="E24" s="1914"/>
      <c r="F24" s="1914"/>
      <c r="G24" s="1914"/>
      <c r="H24" s="1914"/>
      <c r="I24" s="1914"/>
      <c r="J24" s="1914"/>
      <c r="K24" s="1914"/>
      <c r="L24" s="1914"/>
      <c r="M24" s="1914"/>
      <c r="N24" s="1914"/>
      <c r="O24" s="1914"/>
      <c r="P24" s="1914"/>
      <c r="Q24" s="1914"/>
      <c r="R24" s="1914"/>
      <c r="S24" s="1914"/>
      <c r="T24" s="1914"/>
      <c r="U24" s="1914"/>
      <c r="V24" s="1914"/>
    </row>
    <row r="25" spans="1:22">
      <c r="A25" s="1914"/>
      <c r="B25" s="1914"/>
      <c r="C25" s="1914"/>
      <c r="D25" s="1914"/>
      <c r="E25" s="1914"/>
      <c r="F25" s="1914"/>
      <c r="G25" s="1914"/>
      <c r="H25" s="1914"/>
      <c r="I25" s="1914"/>
      <c r="J25" s="1914"/>
      <c r="K25" s="1914"/>
      <c r="L25" s="1914"/>
      <c r="M25" s="1914"/>
      <c r="N25" s="1914"/>
      <c r="O25" s="1914"/>
      <c r="P25" s="1914"/>
      <c r="Q25" s="1914"/>
      <c r="R25" s="1914"/>
      <c r="S25" s="1914"/>
      <c r="T25" s="1914"/>
      <c r="U25" s="1914"/>
      <c r="V25" s="1914"/>
    </row>
    <row r="26" spans="1:22">
      <c r="A26" s="1914"/>
      <c r="B26" s="1914"/>
      <c r="C26" s="1914"/>
      <c r="D26" s="1914"/>
      <c r="E26" s="1914"/>
      <c r="F26" s="1914"/>
      <c r="G26" s="1914"/>
      <c r="H26" s="1914"/>
      <c r="I26" s="1914"/>
      <c r="J26" s="1914"/>
      <c r="K26" s="1914"/>
      <c r="L26" s="1914"/>
      <c r="M26" s="1914"/>
      <c r="N26" s="1914"/>
      <c r="O26" s="1914"/>
      <c r="P26" s="1914"/>
      <c r="Q26" s="1914"/>
      <c r="R26" s="1914"/>
      <c r="S26" s="1914"/>
      <c r="T26" s="1914"/>
      <c r="U26" s="1914"/>
      <c r="V26" s="1914"/>
    </row>
    <row r="27" spans="1:22">
      <c r="A27" s="1914"/>
      <c r="B27" s="1914"/>
      <c r="C27" s="1914"/>
      <c r="D27" s="1914"/>
      <c r="E27" s="1914"/>
      <c r="F27" s="1914"/>
      <c r="G27" s="1914"/>
      <c r="H27" s="1914"/>
      <c r="I27" s="1914"/>
      <c r="J27" s="1914"/>
      <c r="K27" s="1914"/>
      <c r="L27" s="1914"/>
      <c r="M27" s="1914"/>
      <c r="N27" s="1914"/>
      <c r="O27" s="1914"/>
      <c r="P27" s="1914"/>
      <c r="Q27" s="1914"/>
      <c r="R27" s="1914"/>
      <c r="S27" s="1914"/>
      <c r="T27" s="1914"/>
      <c r="U27" s="1914"/>
      <c r="V27" s="1914"/>
    </row>
    <row r="28" spans="1:22">
      <c r="A28" s="1914"/>
      <c r="B28" s="1914"/>
      <c r="C28" s="1914"/>
      <c r="D28" s="1914"/>
      <c r="E28" s="1914"/>
      <c r="F28" s="1914"/>
      <c r="G28" s="1914"/>
      <c r="H28" s="1914"/>
      <c r="I28" s="1914"/>
      <c r="J28" s="1914"/>
      <c r="K28" s="1914"/>
      <c r="L28" s="1914"/>
      <c r="M28" s="1914"/>
      <c r="N28" s="1914"/>
      <c r="O28" s="1914"/>
      <c r="P28" s="1914"/>
      <c r="Q28" s="1914"/>
      <c r="R28" s="1914"/>
      <c r="S28" s="1914"/>
      <c r="T28" s="1914"/>
      <c r="U28" s="1914"/>
      <c r="V28" s="1914"/>
    </row>
    <row r="29" spans="1:22">
      <c r="A29" s="1914"/>
      <c r="B29" s="1914"/>
      <c r="C29" s="1914"/>
      <c r="D29" s="1914"/>
      <c r="E29" s="1914"/>
      <c r="F29" s="1914"/>
      <c r="G29" s="1914"/>
      <c r="H29" s="1914"/>
      <c r="I29" s="1914"/>
      <c r="J29" s="1914"/>
      <c r="K29" s="1914"/>
      <c r="L29" s="1914"/>
      <c r="M29" s="1914"/>
      <c r="N29" s="1914"/>
      <c r="O29" s="1914"/>
      <c r="P29" s="1914"/>
      <c r="Q29" s="1914"/>
      <c r="R29" s="1914"/>
      <c r="S29" s="1914"/>
      <c r="T29" s="1914"/>
      <c r="U29" s="1914"/>
      <c r="V29" s="1914"/>
    </row>
    <row r="30" spans="1:22">
      <c r="A30" s="1914"/>
      <c r="B30" s="1914"/>
      <c r="C30" s="1914"/>
      <c r="D30" s="1914"/>
      <c r="E30" s="1914"/>
      <c r="F30" s="1914"/>
      <c r="G30" s="1914"/>
      <c r="H30" s="1914"/>
      <c r="I30" s="1914"/>
      <c r="J30" s="1914"/>
      <c r="K30" s="1914"/>
      <c r="L30" s="1914"/>
      <c r="M30" s="1914"/>
      <c r="N30" s="1914"/>
      <c r="O30" s="1914"/>
      <c r="P30" s="1914"/>
      <c r="Q30" s="1914"/>
      <c r="R30" s="1914"/>
      <c r="S30" s="1914"/>
      <c r="T30" s="1914"/>
      <c r="U30" s="1914"/>
      <c r="V30" s="1914"/>
    </row>
    <row r="31" spans="1:22">
      <c r="A31" s="1914"/>
      <c r="B31" s="1914"/>
      <c r="C31" s="1914"/>
      <c r="D31" s="1914"/>
      <c r="E31" s="1914"/>
      <c r="F31" s="1914"/>
      <c r="G31" s="1914"/>
      <c r="H31" s="1914"/>
      <c r="I31" s="1914"/>
      <c r="J31" s="1914"/>
      <c r="K31" s="1914"/>
      <c r="L31" s="1914"/>
      <c r="M31" s="1914"/>
      <c r="N31" s="1914"/>
      <c r="O31" s="1914"/>
      <c r="P31" s="1914"/>
      <c r="Q31" s="1914"/>
      <c r="R31" s="1914"/>
      <c r="S31" s="1914"/>
      <c r="T31" s="1914"/>
      <c r="U31" s="1914"/>
      <c r="V31" s="191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1170" customWidth="1"/>
    <col min="2" max="3" width="15.7777777777778" style="1170" customWidth="1"/>
    <col min="4" max="4" width="12.2222222222222" style="1170" customWidth="1"/>
    <col min="5" max="5" width="17.1111111111111" style="1170" customWidth="1"/>
    <col min="6" max="6" width="12.2222222222222" style="1170" customWidth="1"/>
    <col min="7" max="7" width="16.5555555555556" style="1170" customWidth="1"/>
    <col min="8" max="8" width="12.2222222222222" style="1170" customWidth="1"/>
    <col min="9" max="9" width="15.6666666666667" style="1170" customWidth="1"/>
    <col min="10" max="10" width="12.2222222222222" style="1170" customWidth="1"/>
    <col min="11" max="11" width="12.2222222222222" style="1171" customWidth="1"/>
    <col min="12" max="12" width="12.2222222222222" style="1172" customWidth="1"/>
    <col min="13" max="15" width="12.2222222222222" style="1170" customWidth="1"/>
    <col min="16" max="16" width="4.77777777777778" style="1806" customWidth="1"/>
    <col min="17" max="17" width="19.4444444444444" style="1170" customWidth="1"/>
    <col min="18" max="22" width="6.11111111111111" style="1170" customWidth="1"/>
    <col min="23" max="23" width="5.77777777777778" style="1170" customWidth="1"/>
    <col min="24" max="24" width="4.22222222222222" style="1170" customWidth="1"/>
    <col min="25" max="25" width="3.44444444444444" style="1170" customWidth="1"/>
    <col min="26" max="26" width="19.7777777777778" style="1170" customWidth="1"/>
    <col min="27" max="28" width="9.33333333333333" style="1170" customWidth="1"/>
    <col min="29" max="16384" width="9" style="1170"/>
  </cols>
  <sheetData>
    <row r="1" s="1582" customFormat="1" ht="28.5" customHeight="1" spans="1:29">
      <c r="A1" s="1583" t="s">
        <v>1470</v>
      </c>
      <c r="B1" s="1807" t="s">
        <v>1471</v>
      </c>
      <c r="C1" s="1643" t="s">
        <v>1472</v>
      </c>
      <c r="D1" s="1586"/>
      <c r="E1" s="1808"/>
      <c r="F1" s="1588"/>
      <c r="G1" s="1589" t="s">
        <v>1473</v>
      </c>
      <c r="H1" s="1590"/>
      <c r="I1" s="1590"/>
      <c r="J1" s="1590"/>
      <c r="K1" s="1641"/>
      <c r="L1" s="1642"/>
      <c r="M1" s="1643"/>
      <c r="N1" s="1643"/>
      <c r="O1" s="1643"/>
      <c r="P1" s="1840"/>
      <c r="Q1" s="1585"/>
      <c r="R1" s="1585"/>
      <c r="S1" s="1585"/>
      <c r="T1" s="1585"/>
      <c r="U1" s="1585"/>
      <c r="V1" s="1585"/>
      <c r="W1" s="1585"/>
      <c r="X1" s="1585"/>
      <c r="Y1" s="1585"/>
      <c r="Z1" s="1585"/>
      <c r="AA1" s="1585"/>
      <c r="AB1" s="1585"/>
      <c r="AC1" s="1650"/>
    </row>
    <row r="2" s="1830" customFormat="1" ht="28.5" customHeight="1" spans="1:29">
      <c r="A2" s="1591" t="s">
        <v>989</v>
      </c>
      <c r="B2" s="1831" t="b">
        <f ca="1">IF(E1="项目模式",IF(C2="——",ROUND(C49*D3/10000,0),ROUND(C49*D3/10000,0)-D2),IF(E1="单套模式",IF(C2="——",ROUND(C49*D3/10000,4),ROUND(C49*D3/10000,4)-D2)))</f>
        <v>0</v>
      </c>
      <c r="C2" s="1593"/>
      <c r="D2" s="1764" t="e">
        <f ca="1">IF(E1="项目模式",SUMIF(INDIRECT("'"&amp;F2&amp;"'"&amp;"!A:A"),"承租人权益价值",INDIRECT("'"&amp;F2&amp;"'"&amp;"!c:c")),SUMIF(INDIRECT("'"&amp;F2&amp;"'"&amp;"!A:A"),"承租人权益价值（单套）",INDIRECT("'"&amp;F2&amp;"'"&amp;"!c:c")))</f>
        <v>#REF!</v>
      </c>
      <c r="E2" s="1594" t="s">
        <v>990</v>
      </c>
      <c r="F2" s="1595"/>
      <c r="G2" s="1545"/>
      <c r="H2" s="1545"/>
      <c r="I2" s="1545"/>
      <c r="J2" s="1545"/>
      <c r="K2" s="1841"/>
      <c r="L2" s="1842"/>
      <c r="M2" s="1843"/>
      <c r="N2" s="1843"/>
      <c r="O2" s="1843"/>
      <c r="P2" s="1844"/>
      <c r="Q2" s="1862"/>
      <c r="R2" s="1862"/>
      <c r="S2" s="1862"/>
      <c r="T2" s="1862"/>
      <c r="U2" s="1862"/>
      <c r="V2" s="1862"/>
      <c r="W2" s="1862"/>
      <c r="X2" s="1862"/>
      <c r="Y2" s="1862"/>
      <c r="Z2" s="1862"/>
      <c r="AA2" s="1862"/>
      <c r="AB2" s="1862"/>
      <c r="AC2" s="1863"/>
    </row>
    <row r="3" s="1830" customFormat="1" ht="28.5" customHeight="1" spans="1:29">
      <c r="A3" s="397" t="s">
        <v>991</v>
      </c>
      <c r="B3" s="1597">
        <f ca="1">IF(C2="——",C49,ROUND(B2*10000/D3,0))</f>
        <v>0</v>
      </c>
      <c r="C3" s="1596" t="s">
        <v>1474</v>
      </c>
      <c r="D3" s="1597">
        <f>IF(D1="",'数据-汇总表'!E3,SUMIF('数据-汇总表'!$C19:$C33,D1,'数据-汇总表'!$E19:$E33))</f>
        <v>10109.15</v>
      </c>
      <c r="E3" s="1545"/>
      <c r="F3" s="1832"/>
      <c r="G3" s="1545"/>
      <c r="H3" s="1545"/>
      <c r="I3" s="1545"/>
      <c r="J3" s="1545"/>
      <c r="K3" s="1841"/>
      <c r="L3" s="1842"/>
      <c r="M3" s="1843"/>
      <c r="N3" s="1843"/>
      <c r="O3" s="1843"/>
      <c r="P3" s="1844"/>
      <c r="Q3" s="1862"/>
      <c r="R3" s="1862"/>
      <c r="S3" s="1862"/>
      <c r="T3" s="1862"/>
      <c r="U3" s="1862"/>
      <c r="V3" s="1862"/>
      <c r="W3" s="1862"/>
      <c r="X3" s="1862"/>
      <c r="Y3" s="1862"/>
      <c r="Z3" s="1862"/>
      <c r="AA3" s="1862"/>
      <c r="AB3" s="1862"/>
      <c r="AC3" s="1864"/>
    </row>
    <row r="4" ht="14.4" spans="1:29">
      <c r="A4" s="1183" t="s">
        <v>1475</v>
      </c>
      <c r="B4" s="1184"/>
      <c r="C4" s="1185" t="s">
        <v>1476</v>
      </c>
      <c r="D4" s="1186"/>
      <c r="E4" s="1187" t="s">
        <v>1477</v>
      </c>
      <c r="F4" s="1188"/>
      <c r="G4" s="1185" t="s">
        <v>1478</v>
      </c>
      <c r="H4" s="1186"/>
      <c r="I4" s="1185" t="s">
        <v>1479</v>
      </c>
      <c r="J4" s="1186"/>
      <c r="K4" s="1845" t="s">
        <v>1480</v>
      </c>
      <c r="L4" s="1344"/>
      <c r="M4" s="1345"/>
      <c r="N4" s="1345"/>
      <c r="O4" s="1345"/>
      <c r="P4" s="1346" t="s">
        <v>1481</v>
      </c>
      <c r="Q4" s="1395"/>
      <c r="R4" s="1396" t="s">
        <v>1477</v>
      </c>
      <c r="S4" s="1397"/>
      <c r="T4" s="1396" t="s">
        <v>1478</v>
      </c>
      <c r="U4" s="1397"/>
      <c r="V4" s="1385" t="s">
        <v>1479</v>
      </c>
      <c r="W4" s="1385"/>
      <c r="X4" s="1398"/>
      <c r="Y4" s="1396" t="s">
        <v>1481</v>
      </c>
      <c r="Z4" s="1397"/>
      <c r="AA4" s="1423" t="s">
        <v>1477</v>
      </c>
      <c r="AB4" s="1423" t="s">
        <v>1478</v>
      </c>
      <c r="AC4" s="1423" t="s">
        <v>1479</v>
      </c>
    </row>
    <row r="5" spans="1:29">
      <c r="A5" s="1189"/>
      <c r="B5" s="1190"/>
      <c r="C5" s="1191" t="s">
        <v>1482</v>
      </c>
      <c r="D5" s="1192"/>
      <c r="E5" s="1193" t="s">
        <v>1483</v>
      </c>
      <c r="F5" s="1194"/>
      <c r="G5" s="1191" t="s">
        <v>1484</v>
      </c>
      <c r="H5" s="1192"/>
      <c r="I5" s="1191" t="s">
        <v>1485</v>
      </c>
      <c r="J5" s="1192"/>
      <c r="K5" s="1846"/>
      <c r="L5" s="1344"/>
      <c r="M5" s="1345"/>
      <c r="N5" s="1345"/>
      <c r="O5" s="1345"/>
      <c r="P5" s="1347"/>
      <c r="Q5" s="1399"/>
      <c r="R5" s="1400"/>
      <c r="S5" s="1401"/>
      <c r="T5" s="1400"/>
      <c r="U5" s="1401"/>
      <c r="V5" s="1385"/>
      <c r="W5" s="1385"/>
      <c r="X5" s="1398"/>
      <c r="Y5" s="1400"/>
      <c r="Z5" s="1401"/>
      <c r="AA5" s="1398"/>
      <c r="AB5" s="1398"/>
      <c r="AC5" s="1398"/>
    </row>
    <row r="6" ht="15.15" spans="1:29">
      <c r="A6" s="1195"/>
      <c r="B6" s="1196"/>
      <c r="C6" s="1546" t="s">
        <v>1486</v>
      </c>
      <c r="D6" s="1547"/>
      <c r="E6" s="1548" t="s">
        <v>1486</v>
      </c>
      <c r="F6" s="1549"/>
      <c r="G6" s="1546" t="s">
        <v>1486</v>
      </c>
      <c r="H6" s="1547"/>
      <c r="I6" s="1546" t="s">
        <v>1486</v>
      </c>
      <c r="J6" s="1547"/>
      <c r="K6" s="1846" t="s">
        <v>1487</v>
      </c>
      <c r="L6" s="1344"/>
      <c r="M6" s="1345"/>
      <c r="N6" s="1345"/>
      <c r="O6" s="1345"/>
      <c r="P6" s="1348"/>
      <c r="Q6" s="1402"/>
      <c r="R6" s="1400"/>
      <c r="S6" s="1401"/>
      <c r="T6" s="1403"/>
      <c r="U6" s="1404"/>
      <c r="V6" s="1385"/>
      <c r="W6" s="1385"/>
      <c r="X6" s="1398"/>
      <c r="Y6" s="1403"/>
      <c r="Z6" s="1404"/>
      <c r="AA6" s="1424"/>
      <c r="AB6" s="1424"/>
      <c r="AC6" s="1424"/>
    </row>
    <row r="7" s="1164" customFormat="1" ht="15.15" spans="1:29">
      <c r="A7" s="1201" t="s">
        <v>1488</v>
      </c>
      <c r="B7" s="1202"/>
      <c r="C7" s="1203">
        <f>'数据-取费表'!B2</f>
        <v>45022</v>
      </c>
      <c r="D7" s="1204">
        <v>100</v>
      </c>
      <c r="E7" s="1205"/>
      <c r="F7" s="1206">
        <f>SUMIF(58:58,YEAR(E7)&amp;"-"&amp;MONTH(E7),59:59)</f>
        <v>0</v>
      </c>
      <c r="G7" s="1205"/>
      <c r="H7" s="1204">
        <f>SUMIF(58:58,YEAR(G7)&amp;"-"&amp;MONTH(G7),59:59)</f>
        <v>0</v>
      </c>
      <c r="I7" s="1205"/>
      <c r="J7" s="1204">
        <f>SUMIF(58:58,YEAR(I7)&amp;"-"&amp;MONTH(I7),59:59)</f>
        <v>0</v>
      </c>
      <c r="K7" s="1847"/>
      <c r="L7" s="1350"/>
      <c r="M7" s="1351"/>
      <c r="N7" s="1351"/>
      <c r="O7" s="1351"/>
      <c r="P7" s="1352" t="s">
        <v>1489</v>
      </c>
      <c r="Q7" s="1405"/>
      <c r="R7" s="1406" t="s">
        <v>1490</v>
      </c>
      <c r="S7" s="1407">
        <f t="shared" ref="S7:S15" si="0">F7</f>
        <v>0</v>
      </c>
      <c r="T7" s="1406" t="s">
        <v>1490</v>
      </c>
      <c r="U7" s="1407">
        <f t="shared" ref="U7:U15" si="1">H7</f>
        <v>0</v>
      </c>
      <c r="V7" s="1406" t="s">
        <v>1490</v>
      </c>
      <c r="W7" s="1407">
        <f t="shared" ref="W7:W15" si="2">J7</f>
        <v>0</v>
      </c>
      <c r="X7" s="1408"/>
      <c r="Y7" s="1352" t="s">
        <v>1489</v>
      </c>
      <c r="Z7" s="1409"/>
      <c r="AA7" s="1425" t="e">
        <f>D7/F7</f>
        <v>#DIV/0!</v>
      </c>
      <c r="AB7" s="1425" t="e">
        <f>D7/H7</f>
        <v>#DIV/0!</v>
      </c>
      <c r="AC7" s="1425" t="e">
        <f>D7/J7</f>
        <v>#DIV/0!</v>
      </c>
    </row>
    <row r="8" s="1164" customFormat="1" ht="15.15" spans="1:29">
      <c r="A8" s="1201" t="s">
        <v>1491</v>
      </c>
      <c r="B8" s="1202"/>
      <c r="C8" s="1208"/>
      <c r="D8" s="1204">
        <v>100</v>
      </c>
      <c r="E8" s="1833"/>
      <c r="F8" s="1206">
        <f>SUMIF(61:61,E8,62:62)-SUMIF(61:61,C8,62:62)+100</f>
        <v>100</v>
      </c>
      <c r="G8" s="1208"/>
      <c r="H8" s="1204">
        <f>SUMIF(61:61,G8,62:62)-SUMIF(61:61,C8,62:62)+100</f>
        <v>100</v>
      </c>
      <c r="I8" s="1833"/>
      <c r="J8" s="1204">
        <f>SUMIF(61:61,I8,62:62)-SUMIF(61:61,C8,62:62)+100</f>
        <v>100</v>
      </c>
      <c r="K8" s="1847"/>
      <c r="L8" s="1350"/>
      <c r="M8" s="1351"/>
      <c r="N8" s="1351"/>
      <c r="O8" s="1351"/>
      <c r="P8" s="1352" t="s">
        <v>1492</v>
      </c>
      <c r="Q8" s="1409"/>
      <c r="R8" s="1406" t="s">
        <v>1490</v>
      </c>
      <c r="S8" s="1407">
        <f t="shared" si="0"/>
        <v>100</v>
      </c>
      <c r="T8" s="1406" t="s">
        <v>1490</v>
      </c>
      <c r="U8" s="1407">
        <f t="shared" si="1"/>
        <v>100</v>
      </c>
      <c r="V8" s="1406" t="s">
        <v>1490</v>
      </c>
      <c r="W8" s="1407">
        <f t="shared" si="2"/>
        <v>100</v>
      </c>
      <c r="X8" s="1408"/>
      <c r="Y8" s="1352" t="s">
        <v>1492</v>
      </c>
      <c r="Z8" s="1409"/>
      <c r="AA8" s="1425">
        <f t="shared" ref="AA8:AA19" si="3">D8/F8</f>
        <v>1</v>
      </c>
      <c r="AB8" s="1425">
        <f t="shared" ref="AB8:AB19" si="4">D8/H8</f>
        <v>1</v>
      </c>
      <c r="AC8" s="1425">
        <f t="shared" ref="AC8:AC19" si="5">D8/J8</f>
        <v>1</v>
      </c>
    </row>
    <row r="9" s="1164" customFormat="1" ht="14.4" spans="1:29">
      <c r="A9" s="1209" t="s">
        <v>1493</v>
      </c>
      <c r="B9" s="1210" t="s">
        <v>1494</v>
      </c>
      <c r="C9" s="1598"/>
      <c r="D9" s="1212">
        <v>100</v>
      </c>
      <c r="E9" s="1668"/>
      <c r="F9" s="1600">
        <f>SUMIF(63:63,E9,64:64)-SUMIF(63:63,C9,64:64)+100</f>
        <v>100</v>
      </c>
      <c r="G9" s="1599"/>
      <c r="H9" s="1212">
        <f>SUMIF(63:63,G9,64:64)-SUMIF(63:63,C9,64:64)+100</f>
        <v>100</v>
      </c>
      <c r="I9" s="1599"/>
      <c r="J9" s="1212">
        <f>SUMIF(63:63,I9,64:64)-SUMIF(63:63,C9,64:64)+100</f>
        <v>100</v>
      </c>
      <c r="K9" s="1847"/>
      <c r="L9" s="1350"/>
      <c r="M9" s="1351"/>
      <c r="N9" s="1351"/>
      <c r="O9" s="1351"/>
      <c r="P9" s="1312" t="s">
        <v>1495</v>
      </c>
      <c r="Q9" s="1410" t="str">
        <f t="shared" ref="Q9:Q15" si="6">B9</f>
        <v>用途</v>
      </c>
      <c r="R9" s="1406" t="s">
        <v>1490</v>
      </c>
      <c r="S9" s="1407">
        <f t="shared" si="0"/>
        <v>100</v>
      </c>
      <c r="T9" s="1406" t="s">
        <v>1490</v>
      </c>
      <c r="U9" s="1407">
        <f t="shared" si="1"/>
        <v>100</v>
      </c>
      <c r="V9" s="1406" t="s">
        <v>1490</v>
      </c>
      <c r="W9" s="1407">
        <f t="shared" si="2"/>
        <v>100</v>
      </c>
      <c r="X9" s="1408"/>
      <c r="Y9" s="1410" t="s">
        <v>1496</v>
      </c>
      <c r="Z9" s="1426" t="str">
        <f t="shared" ref="Z9:Z15" si="7">Q9</f>
        <v>用途</v>
      </c>
      <c r="AA9" s="1425">
        <f t="shared" si="3"/>
        <v>1</v>
      </c>
      <c r="AB9" s="1425">
        <f t="shared" si="4"/>
        <v>1</v>
      </c>
      <c r="AC9" s="1425">
        <f t="shared" si="5"/>
        <v>1</v>
      </c>
    </row>
    <row r="10" s="1165" customFormat="1" ht="28.8" spans="1:29">
      <c r="A10" s="1213"/>
      <c r="B10" s="1214" t="s">
        <v>1497</v>
      </c>
      <c r="C10" s="1601"/>
      <c r="D10" s="1216">
        <v>100</v>
      </c>
      <c r="E10" s="1671"/>
      <c r="F10" s="1602">
        <f>SUMIF(65:65,E10,66:66)-SUMIF(65:65,C10,66:66)+100</f>
        <v>100</v>
      </c>
      <c r="G10" s="1601"/>
      <c r="H10" s="1216">
        <f>SUMIF(65:65,G10,66:66)-SUMIF(65:65,C10,66:66)+100</f>
        <v>100</v>
      </c>
      <c r="I10" s="1601"/>
      <c r="J10" s="1216">
        <f>SUMIF(65:65,I10,66:66)-SUMIF(65:65,C10,66:66)+100</f>
        <v>100</v>
      </c>
      <c r="K10" s="1847"/>
      <c r="L10" s="1355"/>
      <c r="M10" s="1356"/>
      <c r="N10" s="1356"/>
      <c r="O10" s="1356"/>
      <c r="P10" s="1312"/>
      <c r="Q10" s="1410" t="str">
        <f t="shared" si="6"/>
        <v>土地使用年限（年）</v>
      </c>
      <c r="R10" s="1406" t="s">
        <v>1490</v>
      </c>
      <c r="S10" s="1407">
        <f t="shared" si="0"/>
        <v>100</v>
      </c>
      <c r="T10" s="1406" t="s">
        <v>1490</v>
      </c>
      <c r="U10" s="1407">
        <f t="shared" si="1"/>
        <v>100</v>
      </c>
      <c r="V10" s="1406" t="s">
        <v>1490</v>
      </c>
      <c r="W10" s="1407">
        <f t="shared" si="2"/>
        <v>100</v>
      </c>
      <c r="X10" s="1408"/>
      <c r="Y10" s="1410"/>
      <c r="Z10" s="1426" t="str">
        <f t="shared" si="7"/>
        <v>土地使用年限（年）</v>
      </c>
      <c r="AA10" s="1425">
        <f t="shared" si="3"/>
        <v>1</v>
      </c>
      <c r="AB10" s="1425">
        <f t="shared" si="4"/>
        <v>1</v>
      </c>
      <c r="AC10" s="1425">
        <f t="shared" si="5"/>
        <v>1</v>
      </c>
    </row>
    <row r="11" ht="15" spans="1:29">
      <c r="A11" s="1217"/>
      <c r="B11" s="1214" t="s">
        <v>1498</v>
      </c>
      <c r="C11" s="1218"/>
      <c r="D11" s="1216">
        <v>100</v>
      </c>
      <c r="E11" s="1219"/>
      <c r="F11" s="1602" t="e">
        <f>LOOKUP(E11,68:68,69:69)-LOOKUP(C11,68:68,69:69)+100</f>
        <v>#N/A</v>
      </c>
      <c r="G11" s="1218"/>
      <c r="H11" s="1216" t="e">
        <f>LOOKUP(G11,68:68,69:69)-LOOKUP(C11,68:68,69:69)+100</f>
        <v>#N/A</v>
      </c>
      <c r="I11" s="1218"/>
      <c r="J11" s="1216" t="e">
        <f>LOOKUP(I11,68:68,69:69)-LOOKUP(C11,68:68,69:69)+100</f>
        <v>#N/A</v>
      </c>
      <c r="K11" s="1848"/>
      <c r="L11" s="1359"/>
      <c r="M11" s="1345"/>
      <c r="N11" s="1345"/>
      <c r="O11" s="1345"/>
      <c r="P11" s="1312"/>
      <c r="Q11" s="1410" t="str">
        <f t="shared" si="6"/>
        <v>容积率</v>
      </c>
      <c r="R11" s="1406" t="s">
        <v>1490</v>
      </c>
      <c r="S11" s="1407" t="e">
        <f t="shared" si="0"/>
        <v>#N/A</v>
      </c>
      <c r="T11" s="1406" t="s">
        <v>1490</v>
      </c>
      <c r="U11" s="1407" t="e">
        <f t="shared" si="1"/>
        <v>#N/A</v>
      </c>
      <c r="V11" s="1406" t="s">
        <v>1490</v>
      </c>
      <c r="W11" s="1407" t="e">
        <f t="shared" si="2"/>
        <v>#N/A</v>
      </c>
      <c r="X11" s="1408"/>
      <c r="Y11" s="1410"/>
      <c r="Z11" s="1426" t="str">
        <f t="shared" si="7"/>
        <v>容积率</v>
      </c>
      <c r="AA11" s="1425" t="e">
        <f t="shared" si="3"/>
        <v>#N/A</v>
      </c>
      <c r="AB11" s="1425" t="e">
        <f t="shared" si="4"/>
        <v>#N/A</v>
      </c>
      <c r="AC11" s="1425" t="e">
        <f t="shared" si="5"/>
        <v>#N/A</v>
      </c>
    </row>
    <row r="12" s="1164" customFormat="1" ht="15" spans="1:29">
      <c r="A12" s="1220"/>
      <c r="B12" s="1221">
        <v>111</v>
      </c>
      <c r="C12" s="1215"/>
      <c r="D12" s="1222">
        <v>100</v>
      </c>
      <c r="E12" s="1215"/>
      <c r="F12" s="1602">
        <f>SUMIF(70:70,E12,71:71)-SUMIF(70:70,C12,71:71)+100</f>
        <v>100</v>
      </c>
      <c r="G12" s="1215"/>
      <c r="H12" s="1216">
        <f>SUMIF(70:70,G12,71:71)-SUMIF(70:70,C12,71:71)+100</f>
        <v>100</v>
      </c>
      <c r="I12" s="1215"/>
      <c r="J12" s="1216">
        <f>SUMIF(70:70,I12,71:71)-SUMIF(70:70,C12,71:71)+100</f>
        <v>100</v>
      </c>
      <c r="K12" s="1849"/>
      <c r="L12" s="1350"/>
      <c r="M12" s="1351"/>
      <c r="N12" s="1351"/>
      <c r="O12" s="1351"/>
      <c r="P12" s="1312"/>
      <c r="Q12" s="1410">
        <f t="shared" si="6"/>
        <v>111</v>
      </c>
      <c r="R12" s="1406" t="s">
        <v>1490</v>
      </c>
      <c r="S12" s="1407">
        <f t="shared" si="0"/>
        <v>100</v>
      </c>
      <c r="T12" s="1406" t="s">
        <v>1490</v>
      </c>
      <c r="U12" s="1407">
        <f t="shared" si="1"/>
        <v>100</v>
      </c>
      <c r="V12" s="1406" t="s">
        <v>1490</v>
      </c>
      <c r="W12" s="1407">
        <f t="shared" si="2"/>
        <v>100</v>
      </c>
      <c r="X12" s="1408"/>
      <c r="Y12" s="1410"/>
      <c r="Z12" s="1426">
        <f t="shared" si="7"/>
        <v>111</v>
      </c>
      <c r="AA12" s="1425">
        <f t="shared" si="3"/>
        <v>1</v>
      </c>
      <c r="AB12" s="1425">
        <f t="shared" si="4"/>
        <v>1</v>
      </c>
      <c r="AC12" s="1425">
        <f t="shared" si="5"/>
        <v>1</v>
      </c>
    </row>
    <row r="13" ht="15" spans="1:29">
      <c r="A13" s="1217"/>
      <c r="B13" s="1221">
        <v>111</v>
      </c>
      <c r="C13" s="1225"/>
      <c r="D13" s="1226">
        <v>100</v>
      </c>
      <c r="E13" s="1225"/>
      <c r="F13" s="1602">
        <f>SUMIF(72:72,E13,73:73)-SUMIF(72:72,C13,73:73)+100</f>
        <v>100</v>
      </c>
      <c r="G13" s="1225"/>
      <c r="H13" s="1226">
        <f>SUMIF(72:72,G13,73:73)-SUMIF(72:72,C13,73:73)+100</f>
        <v>100</v>
      </c>
      <c r="I13" s="1225"/>
      <c r="J13" s="1226">
        <f>SUMIF(72:72,I13,73:73)-SUMIF(72:72,C13,73:73)+100</f>
        <v>100</v>
      </c>
      <c r="K13" s="1849"/>
      <c r="L13" s="1361"/>
      <c r="M13" s="1345"/>
      <c r="N13" s="1345"/>
      <c r="O13" s="1345"/>
      <c r="P13" s="1312"/>
      <c r="Q13" s="1410">
        <f t="shared" si="6"/>
        <v>111</v>
      </c>
      <c r="R13" s="1406" t="s">
        <v>1490</v>
      </c>
      <c r="S13" s="1407">
        <f t="shared" si="0"/>
        <v>100</v>
      </c>
      <c r="T13" s="1406" t="s">
        <v>1490</v>
      </c>
      <c r="U13" s="1407">
        <f t="shared" si="1"/>
        <v>100</v>
      </c>
      <c r="V13" s="1406" t="s">
        <v>1490</v>
      </c>
      <c r="W13" s="1407">
        <f t="shared" si="2"/>
        <v>100</v>
      </c>
      <c r="X13" s="1408"/>
      <c r="Y13" s="1410"/>
      <c r="Z13" s="1426">
        <f t="shared" si="7"/>
        <v>111</v>
      </c>
      <c r="AA13" s="1425">
        <f t="shared" si="3"/>
        <v>1</v>
      </c>
      <c r="AB13" s="1425">
        <f t="shared" si="4"/>
        <v>1</v>
      </c>
      <c r="AC13" s="1425">
        <f t="shared" si="5"/>
        <v>1</v>
      </c>
    </row>
    <row r="14" ht="15.75" spans="1:29">
      <c r="A14" s="1227"/>
      <c r="B14" s="1228">
        <v>111</v>
      </c>
      <c r="C14" s="1229"/>
      <c r="D14" s="1230">
        <v>100</v>
      </c>
      <c r="E14" s="1229"/>
      <c r="F14" s="1622">
        <f>SUMIF(74:74,E14,75:75)-SUMIF(74:74,C14,75:75)+100</f>
        <v>100</v>
      </c>
      <c r="G14" s="1229"/>
      <c r="H14" s="1230">
        <f>SUMIF(74:74,G14,75:75)-SUMIF(74:74,C14,75:75)+100</f>
        <v>100</v>
      </c>
      <c r="I14" s="1229"/>
      <c r="J14" s="1230">
        <f>SUMIF(74:74,I14,75:75)-SUMIF(74:74,C14,75:75)+100</f>
        <v>100</v>
      </c>
      <c r="K14" s="1849"/>
      <c r="L14" s="1361"/>
      <c r="M14" s="1345"/>
      <c r="N14" s="1345"/>
      <c r="O14" s="1345"/>
      <c r="P14" s="1312"/>
      <c r="Q14" s="1410">
        <f t="shared" si="6"/>
        <v>111</v>
      </c>
      <c r="R14" s="1406" t="s">
        <v>1490</v>
      </c>
      <c r="S14" s="1407">
        <f t="shared" si="0"/>
        <v>100</v>
      </c>
      <c r="T14" s="1406" t="s">
        <v>1490</v>
      </c>
      <c r="U14" s="1407">
        <f t="shared" si="1"/>
        <v>100</v>
      </c>
      <c r="V14" s="1406" t="s">
        <v>1490</v>
      </c>
      <c r="W14" s="1407">
        <f t="shared" si="2"/>
        <v>100</v>
      </c>
      <c r="X14" s="1408"/>
      <c r="Y14" s="1410"/>
      <c r="Z14" s="1426">
        <f t="shared" si="7"/>
        <v>111</v>
      </c>
      <c r="AA14" s="1425">
        <f t="shared" si="3"/>
        <v>1</v>
      </c>
      <c r="AB14" s="1425">
        <f t="shared" si="4"/>
        <v>1</v>
      </c>
      <c r="AC14" s="1425">
        <f t="shared" si="5"/>
        <v>1</v>
      </c>
    </row>
    <row r="15" ht="100.8" spans="1:29">
      <c r="A15" s="1231" t="s">
        <v>1499</v>
      </c>
      <c r="B15" s="1552" t="s">
        <v>1500</v>
      </c>
      <c r="C15" s="1553" t="str">
        <f>估价对象房地状况!C3</f>
        <v>估价对象周边居住用地比例、居住小区规模和社区发展完善程度，综合评价居住社区成熟度一般</v>
      </c>
      <c r="D15" s="1234">
        <v>100</v>
      </c>
      <c r="E15" s="1362"/>
      <c r="F15" s="1234">
        <f>SUMIF(76:76,E16,77:77)-SUMIF(76:76,C16,77:77)+100</f>
        <v>100</v>
      </c>
      <c r="G15" s="1235"/>
      <c r="H15" s="1234">
        <f>SUMIF(76:76,G16,77:77)-SUMIF(76:76,C16,77:77)+100</f>
        <v>100</v>
      </c>
      <c r="I15" s="1235"/>
      <c r="J15" s="1234">
        <f>SUMIF(76:76,I16,77:77)-SUMIF(76:76,C16,77:77)+100</f>
        <v>100</v>
      </c>
      <c r="K15" s="1850"/>
      <c r="L15" s="1361"/>
      <c r="M15" s="1345"/>
      <c r="N15" s="1345"/>
      <c r="O15" s="1345"/>
      <c r="P15" s="1781" t="s">
        <v>1501</v>
      </c>
      <c r="Q15" s="749" t="str">
        <f t="shared" si="6"/>
        <v>居住社区成熟度</v>
      </c>
      <c r="R15" s="1411" t="s">
        <v>1490</v>
      </c>
      <c r="S15" s="1412">
        <f t="shared" si="0"/>
        <v>100</v>
      </c>
      <c r="T15" s="1411" t="s">
        <v>1490</v>
      </c>
      <c r="U15" s="1412">
        <f t="shared" si="1"/>
        <v>100</v>
      </c>
      <c r="V15" s="1411" t="s">
        <v>1490</v>
      </c>
      <c r="W15" s="1412">
        <f t="shared" si="2"/>
        <v>100</v>
      </c>
      <c r="X15" s="1398"/>
      <c r="Y15" s="1363" t="s">
        <v>1501</v>
      </c>
      <c r="Z15" s="1385" t="str">
        <f t="shared" si="7"/>
        <v>居住社区成熟度</v>
      </c>
      <c r="AA15" s="1427">
        <f t="shared" si="3"/>
        <v>1</v>
      </c>
      <c r="AB15" s="1427">
        <f t="shared" si="4"/>
        <v>1</v>
      </c>
      <c r="AC15" s="1427">
        <f t="shared" si="5"/>
        <v>1</v>
      </c>
    </row>
    <row r="16" ht="15" spans="1:29">
      <c r="A16" s="1217"/>
      <c r="B16" s="1554"/>
      <c r="C16" s="1237"/>
      <c r="D16" s="1238"/>
      <c r="E16" s="1366"/>
      <c r="F16" s="1238"/>
      <c r="G16" s="1246"/>
      <c r="H16" s="1240"/>
      <c r="I16" s="1246"/>
      <c r="J16" s="1238"/>
      <c r="K16" s="1851"/>
      <c r="L16" s="1361"/>
      <c r="M16" s="1345"/>
      <c r="N16" s="1345"/>
      <c r="O16" s="1345"/>
      <c r="P16" s="1782"/>
      <c r="Q16" s="749"/>
      <c r="R16" s="1411"/>
      <c r="S16" s="1412"/>
      <c r="T16" s="1411"/>
      <c r="U16" s="1412"/>
      <c r="V16" s="1411"/>
      <c r="W16" s="1412"/>
      <c r="X16" s="1398"/>
      <c r="Y16" s="1364"/>
      <c r="Z16" s="1385"/>
      <c r="AA16" s="1427">
        <v>1</v>
      </c>
      <c r="AB16" s="1427">
        <v>1</v>
      </c>
      <c r="AC16" s="1427">
        <v>1</v>
      </c>
    </row>
    <row r="17" ht="86.4" spans="1:29">
      <c r="A17" s="1217"/>
      <c r="B17" s="1555" t="s">
        <v>1502</v>
      </c>
      <c r="C17" s="1242" t="str">
        <f>估价对象房地状况!C6</f>
        <v>估价对象周边道路状况、公共交通通达情况、停车便捷程度，综合评价交通便捷度较好</v>
      </c>
      <c r="D17" s="1240">
        <v>100</v>
      </c>
      <c r="E17" s="1365"/>
      <c r="F17" s="1240">
        <f>SUMIF(78:78,E18,79:79)-SUMIF(78:78,C18,79:79)+100</f>
        <v>100</v>
      </c>
      <c r="G17" s="1243"/>
      <c r="H17" s="1244">
        <f>SUMIF(78:78,G18,79:79)-SUMIF(78:78,C18,79:79)+100</f>
        <v>100</v>
      </c>
      <c r="I17" s="1243"/>
      <c r="J17" s="1244">
        <f>SUMIF(78:78,I18,79:79)-SUMIF(78:78,C18,79:79)+100</f>
        <v>100</v>
      </c>
      <c r="K17" s="1850"/>
      <c r="L17" s="1361"/>
      <c r="M17" s="1345"/>
      <c r="N17" s="1345"/>
      <c r="O17" s="1345"/>
      <c r="P17" s="1782"/>
      <c r="Q17" s="749" t="str">
        <f>B17</f>
        <v>交通便捷度</v>
      </c>
      <c r="R17" s="1411" t="s">
        <v>1490</v>
      </c>
      <c r="S17" s="1412">
        <f>F17</f>
        <v>100</v>
      </c>
      <c r="T17" s="1411" t="s">
        <v>1490</v>
      </c>
      <c r="U17" s="1412">
        <f>H17</f>
        <v>100</v>
      </c>
      <c r="V17" s="1411" t="s">
        <v>1490</v>
      </c>
      <c r="W17" s="1412">
        <f>J17</f>
        <v>100</v>
      </c>
      <c r="X17" s="1398"/>
      <c r="Y17" s="1364"/>
      <c r="Z17" s="1385" t="str">
        <f>Q17</f>
        <v>交通便捷度</v>
      </c>
      <c r="AA17" s="1427">
        <f t="shared" si="3"/>
        <v>1</v>
      </c>
      <c r="AB17" s="1427">
        <f t="shared" si="4"/>
        <v>1</v>
      </c>
      <c r="AC17" s="1427">
        <f t="shared" si="5"/>
        <v>1</v>
      </c>
    </row>
    <row r="18" ht="15" spans="1:29">
      <c r="A18" s="1217"/>
      <c r="B18" s="1265"/>
      <c r="C18" s="1556"/>
      <c r="D18" s="1240"/>
      <c r="E18" s="1565"/>
      <c r="F18" s="1240"/>
      <c r="G18" s="1557"/>
      <c r="H18" s="1238"/>
      <c r="I18" s="1557"/>
      <c r="J18" s="1238"/>
      <c r="K18" s="1851"/>
      <c r="L18" s="1361"/>
      <c r="M18" s="1345"/>
      <c r="N18" s="1345"/>
      <c r="O18" s="1345"/>
      <c r="P18" s="1782"/>
      <c r="Q18" s="749"/>
      <c r="R18" s="1411"/>
      <c r="S18" s="1412"/>
      <c r="T18" s="1411"/>
      <c r="U18" s="1412"/>
      <c r="V18" s="1411"/>
      <c r="W18" s="1412"/>
      <c r="X18" s="1398"/>
      <c r="Y18" s="1364"/>
      <c r="Z18" s="1385"/>
      <c r="AA18" s="1427">
        <v>1</v>
      </c>
      <c r="AB18" s="1427">
        <v>1</v>
      </c>
      <c r="AC18" s="1427">
        <v>1</v>
      </c>
    </row>
    <row r="19" ht="43.2" spans="1:29">
      <c r="A19" s="1217"/>
      <c r="B19" s="1555" t="s">
        <v>1503</v>
      </c>
      <c r="C19" s="1242" t="str">
        <f>估价对象房地状况!C7</f>
        <v>估价对象所在区域公共配套设施齐备情况</v>
      </c>
      <c r="D19" s="1244">
        <v>100</v>
      </c>
      <c r="E19" s="1566"/>
      <c r="F19" s="1244">
        <f>SUMIF(80:80,E20,81:81)-SUMIF(80:80,C20,81:81)+100</f>
        <v>100</v>
      </c>
      <c r="G19" s="1558"/>
      <c r="H19" s="1240">
        <f>SUMIF(80:80,G20,81:81)-SUMIF(80:80,C20,81:81)+100</f>
        <v>100</v>
      </c>
      <c r="I19" s="1558"/>
      <c r="J19" s="1240">
        <f>SUMIF(80:80,I20,81:81)-SUMIF(80:80,C20,81:81)+100</f>
        <v>100</v>
      </c>
      <c r="K19" s="1850"/>
      <c r="L19" s="1361"/>
      <c r="M19" s="1345"/>
      <c r="N19" s="1345"/>
      <c r="O19" s="1345"/>
      <c r="P19" s="1782"/>
      <c r="Q19" s="749" t="str">
        <f>B19</f>
        <v>公共配套设施</v>
      </c>
      <c r="R19" s="1411" t="s">
        <v>1490</v>
      </c>
      <c r="S19" s="1412">
        <f>F19</f>
        <v>100</v>
      </c>
      <c r="T19" s="1411" t="s">
        <v>1490</v>
      </c>
      <c r="U19" s="1412">
        <f>H19</f>
        <v>100</v>
      </c>
      <c r="V19" s="1411" t="s">
        <v>1490</v>
      </c>
      <c r="W19" s="1412">
        <f>J19</f>
        <v>100</v>
      </c>
      <c r="X19" s="1398"/>
      <c r="Y19" s="1364"/>
      <c r="Z19" s="1385" t="str">
        <f>Q19</f>
        <v>公共配套设施</v>
      </c>
      <c r="AA19" s="1427">
        <f t="shared" si="3"/>
        <v>1</v>
      </c>
      <c r="AB19" s="1427">
        <f t="shared" si="4"/>
        <v>1</v>
      </c>
      <c r="AC19" s="1427">
        <f t="shared" si="5"/>
        <v>1</v>
      </c>
    </row>
    <row r="20" ht="15" spans="1:29">
      <c r="A20" s="1217"/>
      <c r="B20" s="1265"/>
      <c r="C20" s="1237"/>
      <c r="D20" s="1238"/>
      <c r="E20" s="1366"/>
      <c r="F20" s="1238"/>
      <c r="G20" s="1246"/>
      <c r="H20" s="1238"/>
      <c r="I20" s="1246"/>
      <c r="J20" s="1238"/>
      <c r="K20" s="1851"/>
      <c r="L20" s="1361"/>
      <c r="M20" s="1345"/>
      <c r="N20" s="1345"/>
      <c r="O20" s="1345"/>
      <c r="P20" s="1782"/>
      <c r="Q20" s="749"/>
      <c r="R20" s="1411"/>
      <c r="S20" s="1412"/>
      <c r="T20" s="1411"/>
      <c r="U20" s="1412"/>
      <c r="V20" s="1411"/>
      <c r="W20" s="1412"/>
      <c r="X20" s="1398"/>
      <c r="Y20" s="1364"/>
      <c r="Z20" s="1385"/>
      <c r="AA20" s="1427">
        <v>1</v>
      </c>
      <c r="AB20" s="1427">
        <v>1</v>
      </c>
      <c r="AC20" s="1427">
        <v>1</v>
      </c>
    </row>
    <row r="21" ht="28.8" spans="1:29">
      <c r="A21" s="1217"/>
      <c r="B21" s="1559" t="s">
        <v>1504</v>
      </c>
      <c r="C21" s="1242" t="str">
        <f>估价对象房地状况!C8</f>
        <v>估价对象所在区域基础设施水平</v>
      </c>
      <c r="D21" s="1240">
        <v>100</v>
      </c>
      <c r="E21" s="1566"/>
      <c r="F21" s="1244">
        <f>SUMIF(82:82,E22,83:83)-SUMIF(82:82,C22,83:83)+100</f>
        <v>100</v>
      </c>
      <c r="G21" s="1558"/>
      <c r="H21" s="1240">
        <f>SUMIF(82:82,G22,83:83)-SUMIF(82:82,C22,83:83)+100</f>
        <v>100</v>
      </c>
      <c r="I21" s="1558"/>
      <c r="J21" s="1240">
        <f>SUMIF(82:82,I22,83:83)-SUMIF(82:82,C22,83:83)+100</f>
        <v>100</v>
      </c>
      <c r="K21" s="1850"/>
      <c r="L21" s="1361"/>
      <c r="M21" s="1345"/>
      <c r="N21" s="1345"/>
      <c r="O21" s="1345"/>
      <c r="P21" s="1782"/>
      <c r="Q21" s="749" t="str">
        <f>B21</f>
        <v>基础设施水平</v>
      </c>
      <c r="R21" s="1411" t="s">
        <v>1490</v>
      </c>
      <c r="S21" s="1412">
        <f>F21</f>
        <v>100</v>
      </c>
      <c r="T21" s="1411" t="s">
        <v>1490</v>
      </c>
      <c r="U21" s="1412">
        <f>H21</f>
        <v>100</v>
      </c>
      <c r="V21" s="1411" t="s">
        <v>1490</v>
      </c>
      <c r="W21" s="1412">
        <f>J21</f>
        <v>100</v>
      </c>
      <c r="X21" s="1398"/>
      <c r="Y21" s="1364"/>
      <c r="Z21" s="1385" t="str">
        <f>Q21</f>
        <v>基础设施水平</v>
      </c>
      <c r="AA21" s="1427">
        <f t="shared" ref="AA21" si="8">D21/F21</f>
        <v>1</v>
      </c>
      <c r="AB21" s="1427">
        <f t="shared" ref="AB21" si="9">D21/H21</f>
        <v>1</v>
      </c>
      <c r="AC21" s="1427">
        <f t="shared" ref="AC21" si="10">D21/J21</f>
        <v>1</v>
      </c>
    </row>
    <row r="22" ht="15" spans="1:29">
      <c r="A22" s="1217"/>
      <c r="B22" s="1559"/>
      <c r="C22" s="1556"/>
      <c r="D22" s="1238"/>
      <c r="E22" s="1237"/>
      <c r="F22" s="1238"/>
      <c r="G22" s="1239"/>
      <c r="H22" s="1238"/>
      <c r="I22" s="1237"/>
      <c r="J22" s="1238"/>
      <c r="K22" s="1852"/>
      <c r="L22" s="1361"/>
      <c r="M22" s="1345"/>
      <c r="N22" s="1345"/>
      <c r="O22" s="1345"/>
      <c r="P22" s="1782"/>
      <c r="Q22" s="749"/>
      <c r="R22" s="1411"/>
      <c r="S22" s="1412"/>
      <c r="T22" s="1411"/>
      <c r="U22" s="1412"/>
      <c r="V22" s="1411"/>
      <c r="W22" s="1412"/>
      <c r="X22" s="1398"/>
      <c r="Y22" s="1364"/>
      <c r="Z22" s="1385"/>
      <c r="AA22" s="1427">
        <v>1</v>
      </c>
      <c r="AB22" s="1427">
        <v>1</v>
      </c>
      <c r="AC22" s="1427">
        <v>1</v>
      </c>
    </row>
    <row r="23" ht="57.6" spans="1:29">
      <c r="A23" s="1217"/>
      <c r="B23" s="1555" t="s">
        <v>1505</v>
      </c>
      <c r="C23" s="1242" t="str">
        <f>估价对象房地状况!C9</f>
        <v>区域自然环境：；人文环境；综合评价环境状况一般</v>
      </c>
      <c r="D23" s="1240">
        <v>100</v>
      </c>
      <c r="E23" s="1365"/>
      <c r="F23" s="1240">
        <f>SUMIF(84:84,E24,85:85)-SUMIF(84:84,C24,85:85)+100</f>
        <v>100</v>
      </c>
      <c r="G23" s="1243"/>
      <c r="H23" s="1240">
        <f>SUMIF(84:84,G24,85:85)-SUMIF(84:84,C24,85:85)+100</f>
        <v>100</v>
      </c>
      <c r="I23" s="1243"/>
      <c r="J23" s="1240">
        <f>SUMIF(84:84,I24,85:85)-SUMIF(84:84,C24,85:85)+100</f>
        <v>100</v>
      </c>
      <c r="K23" s="1850"/>
      <c r="L23" s="1361"/>
      <c r="M23" s="1345"/>
      <c r="N23" s="1345"/>
      <c r="O23" s="1345"/>
      <c r="P23" s="1782"/>
      <c r="Q23" s="749" t="str">
        <f>B23</f>
        <v>自然及人文环境</v>
      </c>
      <c r="R23" s="1411" t="s">
        <v>1490</v>
      </c>
      <c r="S23" s="1412">
        <f>F23</f>
        <v>100</v>
      </c>
      <c r="T23" s="1411" t="s">
        <v>1490</v>
      </c>
      <c r="U23" s="1412">
        <f>H23</f>
        <v>100</v>
      </c>
      <c r="V23" s="1411" t="s">
        <v>1490</v>
      </c>
      <c r="W23" s="1412">
        <f>J23</f>
        <v>100</v>
      </c>
      <c r="X23" s="1398"/>
      <c r="Y23" s="1364"/>
      <c r="Z23" s="1385" t="str">
        <f>Q23</f>
        <v>自然及人文环境</v>
      </c>
      <c r="AA23" s="1427">
        <f>D23/F23</f>
        <v>1</v>
      </c>
      <c r="AB23" s="1427">
        <f>D23/H23</f>
        <v>1</v>
      </c>
      <c r="AC23" s="1427">
        <f>D23/J23</f>
        <v>1</v>
      </c>
    </row>
    <row r="24" ht="15" spans="1:29">
      <c r="A24" s="1217"/>
      <c r="B24" s="1265"/>
      <c r="C24" s="1237"/>
      <c r="D24" s="1238"/>
      <c r="E24" s="1366"/>
      <c r="F24" s="1238"/>
      <c r="G24" s="1246"/>
      <c r="H24" s="1238"/>
      <c r="I24" s="1246"/>
      <c r="J24" s="1238"/>
      <c r="K24" s="1851"/>
      <c r="L24" s="1361"/>
      <c r="M24" s="1345"/>
      <c r="N24" s="1345"/>
      <c r="O24" s="1345"/>
      <c r="P24" s="1782"/>
      <c r="Q24" s="749"/>
      <c r="R24" s="1411"/>
      <c r="S24" s="1412"/>
      <c r="T24" s="1411"/>
      <c r="U24" s="1412"/>
      <c r="V24" s="1411"/>
      <c r="W24" s="1412"/>
      <c r="X24" s="1398"/>
      <c r="Y24" s="1364"/>
      <c r="Z24" s="1385"/>
      <c r="AA24" s="1427">
        <v>1</v>
      </c>
      <c r="AB24" s="1427">
        <v>1</v>
      </c>
      <c r="AC24" s="1427">
        <v>1</v>
      </c>
    </row>
    <row r="25" ht="15" spans="1:29">
      <c r="A25" s="1217"/>
      <c r="B25" s="1214" t="s">
        <v>1506</v>
      </c>
      <c r="C25" s="1619"/>
      <c r="D25" s="1226">
        <v>100</v>
      </c>
      <c r="E25" s="1269"/>
      <c r="F25" s="1226">
        <f>SUMIF(86:86,E25,87:87)-SUMIF(86:86,C25,87:87)+100</f>
        <v>100</v>
      </c>
      <c r="G25" s="1834"/>
      <c r="H25" s="1226">
        <f>SUMIF(86:86,G25,87:87)-SUMIF(86:86,C25,87:87)+100</f>
        <v>100</v>
      </c>
      <c r="I25" s="1834"/>
      <c r="J25" s="1226">
        <f>SUMIF(86:86,I25,87:87)-SUMIF(86:86,C25,87:87)+100</f>
        <v>100</v>
      </c>
      <c r="K25" s="1848"/>
      <c r="L25" s="1361"/>
      <c r="M25" s="1345"/>
      <c r="N25" s="1345"/>
      <c r="O25" s="1345"/>
      <c r="P25" s="1782"/>
      <c r="Q25" s="749" t="str">
        <f t="shared" ref="Q25:Q46" si="11">B25</f>
        <v>楼层-1</v>
      </c>
      <c r="R25" s="1411" t="s">
        <v>1490</v>
      </c>
      <c r="S25" s="1412">
        <f t="shared" ref="S25:S46" si="12">F25</f>
        <v>100</v>
      </c>
      <c r="T25" s="1411" t="s">
        <v>1490</v>
      </c>
      <c r="U25" s="1412">
        <f t="shared" ref="U25:U46" si="13">H25</f>
        <v>100</v>
      </c>
      <c r="V25" s="1411" t="s">
        <v>1490</v>
      </c>
      <c r="W25" s="1412">
        <f t="shared" ref="W25:W46" si="14">J25</f>
        <v>100</v>
      </c>
      <c r="X25" s="1398"/>
      <c r="Y25" s="1364"/>
      <c r="Z25" s="1385" t="str">
        <f>Q25</f>
        <v>楼层-1</v>
      </c>
      <c r="AA25" s="1427">
        <f t="shared" ref="AA25:AA46" si="15">D25/F25</f>
        <v>1</v>
      </c>
      <c r="AB25" s="1427">
        <f t="shared" ref="AB25:AB46" si="16">D25/H25</f>
        <v>1</v>
      </c>
      <c r="AC25" s="1427">
        <f t="shared" ref="AC25:AC46" si="17">D25/J25</f>
        <v>1</v>
      </c>
    </row>
    <row r="26" ht="15" spans="1:29">
      <c r="A26" s="1217"/>
      <c r="B26" s="1214" t="s">
        <v>1507</v>
      </c>
      <c r="C26" s="1619"/>
      <c r="D26" s="1226">
        <v>100</v>
      </c>
      <c r="E26" s="1269"/>
      <c r="F26" s="1226">
        <f>SUMIF(88:88,E26,89:89)-SUMIF(88:88,C26,89:89)+100</f>
        <v>100</v>
      </c>
      <c r="G26" s="1834"/>
      <c r="H26" s="1226">
        <f>SUMIF(88:88,G26,89:89)-SUMIF(88:88,C26,89:89)+100</f>
        <v>100</v>
      </c>
      <c r="I26" s="1834"/>
      <c r="J26" s="1226">
        <f>SUMIF(88:88,I26,89:89)-SUMIF(88:88,C26,89:89)+100</f>
        <v>100</v>
      </c>
      <c r="K26" s="1848"/>
      <c r="L26" s="1361"/>
      <c r="M26" s="1345"/>
      <c r="N26" s="1345"/>
      <c r="O26" s="1345"/>
      <c r="P26" s="1782"/>
      <c r="Q26" s="749" t="str">
        <f t="shared" si="11"/>
        <v>朝向</v>
      </c>
      <c r="R26" s="1411" t="s">
        <v>1490</v>
      </c>
      <c r="S26" s="1412">
        <f t="shared" si="12"/>
        <v>100</v>
      </c>
      <c r="T26" s="1411" t="s">
        <v>1490</v>
      </c>
      <c r="U26" s="1412">
        <f t="shared" si="13"/>
        <v>100</v>
      </c>
      <c r="V26" s="1411" t="s">
        <v>1490</v>
      </c>
      <c r="W26" s="1412">
        <f t="shared" si="14"/>
        <v>100</v>
      </c>
      <c r="X26" s="1398"/>
      <c r="Y26" s="1364"/>
      <c r="Z26" s="1385" t="str">
        <f>Q26</f>
        <v>朝向</v>
      </c>
      <c r="AA26" s="1427">
        <f t="shared" si="15"/>
        <v>1</v>
      </c>
      <c r="AB26" s="1427">
        <f t="shared" si="16"/>
        <v>1</v>
      </c>
      <c r="AC26" s="1427">
        <f t="shared" si="17"/>
        <v>1</v>
      </c>
    </row>
    <row r="27" s="1164" customFormat="1" ht="15" spans="1:29">
      <c r="A27" s="1220"/>
      <c r="B27" s="1560">
        <v>111</v>
      </c>
      <c r="C27" s="1215"/>
      <c r="D27" s="1722">
        <v>100</v>
      </c>
      <c r="E27" s="1550"/>
      <c r="F27" s="1722">
        <f>SUMIF(90:90,E27,91:91)-SUMIF(90:90,C27,91:91)+100</f>
        <v>100</v>
      </c>
      <c r="G27" s="1551"/>
      <c r="H27" s="1722">
        <f>SUMIF(90:90,G27,91:91)-SUMIF(90:90,C27,91:91)+100</f>
        <v>100</v>
      </c>
      <c r="I27" s="1551"/>
      <c r="J27" s="1722">
        <f>SUMIF(90:90,I27,91:91)-SUMIF(90:90,C27,91:91)+100</f>
        <v>100</v>
      </c>
      <c r="K27" s="1849"/>
      <c r="L27" s="1350"/>
      <c r="M27" s="1351"/>
      <c r="N27" s="1351"/>
      <c r="O27" s="1351"/>
      <c r="P27" s="1782"/>
      <c r="Q27" s="1410">
        <f t="shared" si="11"/>
        <v>111</v>
      </c>
      <c r="R27" s="1406" t="s">
        <v>1490</v>
      </c>
      <c r="S27" s="1407">
        <f t="shared" si="12"/>
        <v>100</v>
      </c>
      <c r="T27" s="1406" t="s">
        <v>1490</v>
      </c>
      <c r="U27" s="1407">
        <f t="shared" si="13"/>
        <v>100</v>
      </c>
      <c r="V27" s="1406" t="s">
        <v>1490</v>
      </c>
      <c r="W27" s="1407">
        <f t="shared" si="14"/>
        <v>100</v>
      </c>
      <c r="X27" s="1408"/>
      <c r="Y27" s="1364"/>
      <c r="Z27" s="1426">
        <f>Q27</f>
        <v>111</v>
      </c>
      <c r="AA27" s="1427">
        <f t="shared" si="15"/>
        <v>1</v>
      </c>
      <c r="AB27" s="1427">
        <f t="shared" si="16"/>
        <v>1</v>
      </c>
      <c r="AC27" s="1427">
        <f t="shared" si="17"/>
        <v>1</v>
      </c>
    </row>
    <row r="28" ht="15" spans="1:29">
      <c r="A28" s="1217"/>
      <c r="B28" s="1560">
        <v>111</v>
      </c>
      <c r="C28" s="1225"/>
      <c r="D28" s="1226">
        <v>100</v>
      </c>
      <c r="E28" s="1225"/>
      <c r="F28" s="1226">
        <f>SUMIF(92:92,E28,93:93)-SUMIF(92:92,C28,93:93)+100</f>
        <v>100</v>
      </c>
      <c r="G28" s="1771"/>
      <c r="H28" s="1226">
        <f>SUMIF(92:92,G28,93:93)-SUMIF(92:92,C28,93:93)+100</f>
        <v>100</v>
      </c>
      <c r="I28" s="1225"/>
      <c r="J28" s="1226">
        <f>SUMIF(92:92,I28,93:93)-SUMIF(92:92,C28,93:93)+100</f>
        <v>100</v>
      </c>
      <c r="K28" s="1849"/>
      <c r="L28" s="1361"/>
      <c r="M28" s="1345"/>
      <c r="N28" s="1345"/>
      <c r="O28" s="1345"/>
      <c r="P28" s="1782"/>
      <c r="Q28" s="749">
        <f t="shared" si="11"/>
        <v>111</v>
      </c>
      <c r="R28" s="1411" t="s">
        <v>1490</v>
      </c>
      <c r="S28" s="1412">
        <f t="shared" si="12"/>
        <v>100</v>
      </c>
      <c r="T28" s="1411" t="s">
        <v>1490</v>
      </c>
      <c r="U28" s="1412">
        <f t="shared" si="13"/>
        <v>100</v>
      </c>
      <c r="V28" s="1411" t="s">
        <v>1490</v>
      </c>
      <c r="W28" s="1412">
        <f t="shared" si="14"/>
        <v>100</v>
      </c>
      <c r="X28" s="1398"/>
      <c r="Y28" s="1364"/>
      <c r="Z28" s="1385">
        <f t="shared" ref="Z28:Z46" si="18">Q28</f>
        <v>111</v>
      </c>
      <c r="AA28" s="1427">
        <f t="shared" si="15"/>
        <v>1</v>
      </c>
      <c r="AB28" s="1427">
        <f t="shared" si="16"/>
        <v>1</v>
      </c>
      <c r="AC28" s="1427">
        <f t="shared" si="17"/>
        <v>1</v>
      </c>
    </row>
    <row r="29" ht="15" spans="1:29">
      <c r="A29" s="1217"/>
      <c r="B29" s="1560">
        <v>111</v>
      </c>
      <c r="C29" s="1225"/>
      <c r="D29" s="1226">
        <v>100</v>
      </c>
      <c r="E29" s="1225"/>
      <c r="F29" s="1226">
        <f>SUMIF(94:94,E29,95:95)-SUMIF(94:94,C29,95:95)+100</f>
        <v>100</v>
      </c>
      <c r="G29" s="1771"/>
      <c r="H29" s="1226">
        <f>SUMIF(94:94,G29,95:95)-SUMIF(94:94,C29,95:95)+100</f>
        <v>100</v>
      </c>
      <c r="I29" s="1225"/>
      <c r="J29" s="1226">
        <f>SUMIF(94:94,I29,95:95)-SUMIF(94:94,C29,95:95)+100</f>
        <v>100</v>
      </c>
      <c r="K29" s="1849"/>
      <c r="L29" s="1361"/>
      <c r="M29" s="1345"/>
      <c r="N29" s="1345"/>
      <c r="O29" s="1345"/>
      <c r="P29" s="1782"/>
      <c r="Q29" s="749">
        <f t="shared" si="11"/>
        <v>111</v>
      </c>
      <c r="R29" s="1411" t="s">
        <v>1490</v>
      </c>
      <c r="S29" s="1412">
        <f t="shared" si="12"/>
        <v>100</v>
      </c>
      <c r="T29" s="1411" t="s">
        <v>1490</v>
      </c>
      <c r="U29" s="1412">
        <f t="shared" si="13"/>
        <v>100</v>
      </c>
      <c r="V29" s="1411" t="s">
        <v>1490</v>
      </c>
      <c r="W29" s="1412">
        <f t="shared" si="14"/>
        <v>100</v>
      </c>
      <c r="X29" s="1398"/>
      <c r="Y29" s="1364"/>
      <c r="Z29" s="1385">
        <f t="shared" si="18"/>
        <v>111</v>
      </c>
      <c r="AA29" s="1427">
        <f t="shared" si="15"/>
        <v>1</v>
      </c>
      <c r="AB29" s="1427">
        <f t="shared" si="16"/>
        <v>1</v>
      </c>
      <c r="AC29" s="1427">
        <f t="shared" si="17"/>
        <v>1</v>
      </c>
    </row>
    <row r="30" ht="15" spans="1:29">
      <c r="A30" s="1217"/>
      <c r="B30" s="1560">
        <v>111</v>
      </c>
      <c r="C30" s="1225"/>
      <c r="D30" s="1226">
        <v>100</v>
      </c>
      <c r="E30" s="1225"/>
      <c r="F30" s="1226">
        <f>SUMIF(96:96,E30,97:97)-SUMIF(96:96,C30,97:97)+100</f>
        <v>100</v>
      </c>
      <c r="G30" s="1771"/>
      <c r="H30" s="1226">
        <f>SUMIF(96:96,G30,97:97)-SUMIF(96:96,C30,97:97)+100</f>
        <v>100</v>
      </c>
      <c r="I30" s="1225"/>
      <c r="J30" s="1226">
        <f>SUMIF(96:96,I30,97:97)-SUMIF(96:96,C30,97:97)+100</f>
        <v>100</v>
      </c>
      <c r="K30" s="1849"/>
      <c r="L30" s="1361"/>
      <c r="M30" s="1345"/>
      <c r="N30" s="1345"/>
      <c r="O30" s="1345"/>
      <c r="P30" s="1782"/>
      <c r="Q30" s="749">
        <f t="shared" si="11"/>
        <v>111</v>
      </c>
      <c r="R30" s="1411" t="s">
        <v>1490</v>
      </c>
      <c r="S30" s="1412">
        <f t="shared" si="12"/>
        <v>100</v>
      </c>
      <c r="T30" s="1411" t="s">
        <v>1490</v>
      </c>
      <c r="U30" s="1412">
        <f t="shared" si="13"/>
        <v>100</v>
      </c>
      <c r="V30" s="1411" t="s">
        <v>1490</v>
      </c>
      <c r="W30" s="1412">
        <f t="shared" si="14"/>
        <v>100</v>
      </c>
      <c r="X30" s="1398"/>
      <c r="Y30" s="1364"/>
      <c r="Z30" s="1385">
        <f t="shared" si="18"/>
        <v>111</v>
      </c>
      <c r="AA30" s="1427">
        <f t="shared" si="15"/>
        <v>1</v>
      </c>
      <c r="AB30" s="1427">
        <f t="shared" si="16"/>
        <v>1</v>
      </c>
      <c r="AC30" s="1427">
        <f t="shared" si="17"/>
        <v>1</v>
      </c>
    </row>
    <row r="31" ht="15.75" spans="1:29">
      <c r="A31" s="1227"/>
      <c r="B31" s="1560">
        <v>111</v>
      </c>
      <c r="C31" s="1229"/>
      <c r="D31" s="1230">
        <v>100</v>
      </c>
      <c r="E31" s="1229"/>
      <c r="F31" s="1230">
        <f>SUMIF(98:98,E31,99:99)-SUMIF(98:98,C31,99:99)+100</f>
        <v>100</v>
      </c>
      <c r="G31" s="1774"/>
      <c r="H31" s="1230">
        <f>SUMIF(98:98,G31,99:99)-SUMIF(98:98,C31,99:99)+100</f>
        <v>100</v>
      </c>
      <c r="I31" s="1229"/>
      <c r="J31" s="1230">
        <f>SUMIF(98:98,I31,99:99)-SUMIF(98:98,C31,99:99)+100</f>
        <v>100</v>
      </c>
      <c r="K31" s="1849"/>
      <c r="L31" s="1361"/>
      <c r="M31" s="1345"/>
      <c r="N31" s="1345"/>
      <c r="O31" s="1345"/>
      <c r="P31" s="1782"/>
      <c r="Q31" s="749">
        <f t="shared" si="11"/>
        <v>111</v>
      </c>
      <c r="R31" s="1411" t="s">
        <v>1490</v>
      </c>
      <c r="S31" s="1412">
        <f t="shared" si="12"/>
        <v>100</v>
      </c>
      <c r="T31" s="1411" t="s">
        <v>1490</v>
      </c>
      <c r="U31" s="1412">
        <f t="shared" si="13"/>
        <v>100</v>
      </c>
      <c r="V31" s="1411" t="s">
        <v>1490</v>
      </c>
      <c r="W31" s="1412">
        <f t="shared" si="14"/>
        <v>100</v>
      </c>
      <c r="X31" s="1398"/>
      <c r="Y31" s="1364"/>
      <c r="Z31" s="1385">
        <f t="shared" si="18"/>
        <v>111</v>
      </c>
      <c r="AA31" s="1427">
        <f t="shared" si="15"/>
        <v>1</v>
      </c>
      <c r="AB31" s="1427">
        <f t="shared" si="16"/>
        <v>1</v>
      </c>
      <c r="AC31" s="1427">
        <f t="shared" si="17"/>
        <v>1</v>
      </c>
    </row>
    <row r="32" ht="15" spans="1:29">
      <c r="A32" s="1231" t="s">
        <v>1508</v>
      </c>
      <c r="B32" s="1210" t="s">
        <v>1509</v>
      </c>
      <c r="C32" s="1809"/>
      <c r="D32" s="1267">
        <v>100</v>
      </c>
      <c r="E32" s="1835"/>
      <c r="F32" s="1609">
        <f>SUMIF(100:100,E32,101:101)-SUMIF(100:100,C32,101:101)+100</f>
        <v>100</v>
      </c>
      <c r="G32" s="1809"/>
      <c r="H32" s="1267">
        <f>SUMIF(100:100,G32,101:101)-SUMIF(100:100,C32,101:101)+100</f>
        <v>100</v>
      </c>
      <c r="I32" s="1835"/>
      <c r="J32" s="1226">
        <f>SUMIF(100:100,I32,101:101)-SUMIF(100:100,C32,101:101)+100</f>
        <v>100</v>
      </c>
      <c r="K32" s="1848"/>
      <c r="L32" s="1361"/>
      <c r="M32" s="1345"/>
      <c r="N32" s="1345"/>
      <c r="O32" s="1345"/>
      <c r="P32" s="1783" t="s">
        <v>1510</v>
      </c>
      <c r="Q32" s="749" t="str">
        <f t="shared" si="11"/>
        <v>建筑类型</v>
      </c>
      <c r="R32" s="1411" t="s">
        <v>1490</v>
      </c>
      <c r="S32" s="1412">
        <f t="shared" si="12"/>
        <v>100</v>
      </c>
      <c r="T32" s="1411" t="s">
        <v>1490</v>
      </c>
      <c r="U32" s="1412">
        <f t="shared" si="13"/>
        <v>100</v>
      </c>
      <c r="V32" s="1411" t="s">
        <v>1490</v>
      </c>
      <c r="W32" s="1412">
        <f t="shared" si="14"/>
        <v>100</v>
      </c>
      <c r="X32" s="1398"/>
      <c r="Y32" s="1373" t="s">
        <v>1510</v>
      </c>
      <c r="Z32" s="1385" t="str">
        <f t="shared" si="18"/>
        <v>建筑类型</v>
      </c>
      <c r="AA32" s="1427">
        <f t="shared" si="15"/>
        <v>1</v>
      </c>
      <c r="AB32" s="1427">
        <f t="shared" si="16"/>
        <v>1</v>
      </c>
      <c r="AC32" s="1427">
        <f t="shared" si="17"/>
        <v>1</v>
      </c>
    </row>
    <row r="33" s="1166" customFormat="1" ht="15" spans="1:29">
      <c r="A33" s="1273"/>
      <c r="B33" s="1214" t="s">
        <v>1511</v>
      </c>
      <c r="C33" s="1603"/>
      <c r="D33" s="1216">
        <v>100</v>
      </c>
      <c r="E33" s="1219"/>
      <c r="F33" s="1602" t="e">
        <f>LOOKUP(E33,103:103,104:104)-LOOKUP(C33,103:103,104:104)+100</f>
        <v>#N/A</v>
      </c>
      <c r="G33" s="1218"/>
      <c r="H33" s="1216" t="e">
        <f>LOOKUP(G33,103:103,104:104)-LOOKUP(C33,103:103,104:104)+100</f>
        <v>#N/A</v>
      </c>
      <c r="I33" s="1219"/>
      <c r="J33" s="1216" t="e">
        <f>LOOKUP(I33,103:103,104:104)-LOOKUP(C33,103:103,104:104)+100</f>
        <v>#N/A</v>
      </c>
      <c r="K33" s="1849"/>
      <c r="L33" s="1359"/>
      <c r="M33" s="1371"/>
      <c r="N33" s="1371"/>
      <c r="O33" s="1371"/>
      <c r="P33" s="1784"/>
      <c r="Q33" s="1648" t="str">
        <f t="shared" si="11"/>
        <v>项目建筑规模</v>
      </c>
      <c r="R33" s="1413" t="s">
        <v>1490</v>
      </c>
      <c r="S33" s="1414" t="e">
        <f t="shared" si="12"/>
        <v>#N/A</v>
      </c>
      <c r="T33" s="1413" t="s">
        <v>1490</v>
      </c>
      <c r="U33" s="1414" t="e">
        <f t="shared" si="13"/>
        <v>#N/A</v>
      </c>
      <c r="V33" s="1413" t="s">
        <v>1490</v>
      </c>
      <c r="W33" s="1414" t="e">
        <f t="shared" si="14"/>
        <v>#N/A</v>
      </c>
      <c r="X33" s="1415"/>
      <c r="Y33" s="1373"/>
      <c r="Z33" s="1428" t="str">
        <f t="shared" si="18"/>
        <v>项目建筑规模</v>
      </c>
      <c r="AA33" s="1427" t="e">
        <f t="shared" si="15"/>
        <v>#N/A</v>
      </c>
      <c r="AB33" s="1427" t="e">
        <f t="shared" si="16"/>
        <v>#N/A</v>
      </c>
      <c r="AC33" s="1427" t="e">
        <f t="shared" si="17"/>
        <v>#N/A</v>
      </c>
    </row>
    <row r="34" ht="15" spans="1:29">
      <c r="A34" s="1268"/>
      <c r="B34" s="1214" t="s">
        <v>1512</v>
      </c>
      <c r="C34" s="1810"/>
      <c r="D34" s="1226">
        <v>100</v>
      </c>
      <c r="E34" s="1836"/>
      <c r="F34" s="1609">
        <f>SUMIF(105:105,E34,106:106)-SUMIF(105:105,C34,106:106)+100</f>
        <v>100</v>
      </c>
      <c r="G34" s="1810"/>
      <c r="H34" s="1226">
        <f>SUMIF(105:105,G34,106:106)-SUMIF(105:105,C34,106:106)+100</f>
        <v>100</v>
      </c>
      <c r="I34" s="1836"/>
      <c r="J34" s="1226">
        <f>SUMIF(105:105,I34,106:106)-SUMIF(105:105,C34,106:106)+100</f>
        <v>100</v>
      </c>
      <c r="K34" s="1848"/>
      <c r="L34" s="1361"/>
      <c r="M34" s="1345"/>
      <c r="N34" s="1345"/>
      <c r="O34" s="1345"/>
      <c r="P34" s="1784"/>
      <c r="Q34" s="749" t="str">
        <f t="shared" si="11"/>
        <v>建筑结构</v>
      </c>
      <c r="R34" s="1411" t="s">
        <v>1490</v>
      </c>
      <c r="S34" s="1412">
        <f t="shared" si="12"/>
        <v>100</v>
      </c>
      <c r="T34" s="1411" t="s">
        <v>1490</v>
      </c>
      <c r="U34" s="1412">
        <f t="shared" si="13"/>
        <v>100</v>
      </c>
      <c r="V34" s="1411" t="s">
        <v>1490</v>
      </c>
      <c r="W34" s="1412">
        <f t="shared" si="14"/>
        <v>100</v>
      </c>
      <c r="X34" s="1398"/>
      <c r="Y34" s="1373"/>
      <c r="Z34" s="1385" t="str">
        <f t="shared" si="18"/>
        <v>建筑结构</v>
      </c>
      <c r="AA34" s="1427">
        <f t="shared" si="15"/>
        <v>1</v>
      </c>
      <c r="AB34" s="1427">
        <f t="shared" si="16"/>
        <v>1</v>
      </c>
      <c r="AC34" s="1427">
        <f t="shared" si="17"/>
        <v>1</v>
      </c>
    </row>
    <row r="35" ht="15" spans="1:29">
      <c r="A35" s="1268"/>
      <c r="B35" s="1214" t="s">
        <v>1513</v>
      </c>
      <c r="C35" s="1269"/>
      <c r="D35" s="1226">
        <v>100</v>
      </c>
      <c r="E35" s="1834"/>
      <c r="F35" s="1609">
        <f>SUMIF(107:107,E35,108:108)-SUMIF(107:107,C35,108:108)+100</f>
        <v>100</v>
      </c>
      <c r="G35" s="1269"/>
      <c r="H35" s="1226">
        <f>SUMIF(107:107,G35,108:108)-SUMIF(107:107,C35,108:108)+100</f>
        <v>100</v>
      </c>
      <c r="I35" s="1834"/>
      <c r="J35" s="1226">
        <f>SUMIF(107:107,I35,108:108)-SUMIF(107:107,C35,108:108)+100</f>
        <v>100</v>
      </c>
      <c r="K35" s="1848"/>
      <c r="L35" s="1361"/>
      <c r="M35" s="1345"/>
      <c r="N35" s="1345"/>
      <c r="O35" s="1345"/>
      <c r="P35" s="1784"/>
      <c r="Q35" s="749" t="str">
        <f t="shared" si="11"/>
        <v>建筑品质</v>
      </c>
      <c r="R35" s="1411" t="s">
        <v>1490</v>
      </c>
      <c r="S35" s="1412">
        <f t="shared" si="12"/>
        <v>100</v>
      </c>
      <c r="T35" s="1411" t="s">
        <v>1490</v>
      </c>
      <c r="U35" s="1412">
        <f t="shared" si="13"/>
        <v>100</v>
      </c>
      <c r="V35" s="1411" t="s">
        <v>1490</v>
      </c>
      <c r="W35" s="1412">
        <f t="shared" si="14"/>
        <v>100</v>
      </c>
      <c r="X35" s="1398"/>
      <c r="Y35" s="1373"/>
      <c r="Z35" s="1385" t="str">
        <f t="shared" si="18"/>
        <v>建筑品质</v>
      </c>
      <c r="AA35" s="1427">
        <f t="shared" si="15"/>
        <v>1</v>
      </c>
      <c r="AB35" s="1427">
        <f t="shared" si="16"/>
        <v>1</v>
      </c>
      <c r="AC35" s="1427">
        <f t="shared" si="17"/>
        <v>1</v>
      </c>
    </row>
    <row r="36" ht="15" spans="1:29">
      <c r="A36" s="1268"/>
      <c r="B36" s="1214" t="s">
        <v>1514</v>
      </c>
      <c r="C36" s="1269"/>
      <c r="D36" s="1226">
        <v>100</v>
      </c>
      <c r="E36" s="1834"/>
      <c r="F36" s="1609">
        <f>SUMIF(109:109,E36,110:110)-SUMIF(109:109,C36,110:110)+100</f>
        <v>100</v>
      </c>
      <c r="G36" s="1269"/>
      <c r="H36" s="1226">
        <f>SUMIF(109:109,G36,110:110)-SUMIF(109:109,C36,110:110)+100</f>
        <v>100</v>
      </c>
      <c r="I36" s="1834"/>
      <c r="J36" s="1226">
        <f>SUMIF(109:109,I36,110:110)-SUMIF(109:109,C36,110:110)+100</f>
        <v>100</v>
      </c>
      <c r="K36" s="1848"/>
      <c r="L36" s="1361"/>
      <c r="M36" s="1345"/>
      <c r="N36" s="1345"/>
      <c r="O36" s="1345"/>
      <c r="P36" s="1784"/>
      <c r="Q36" s="749" t="str">
        <f t="shared" si="11"/>
        <v>公共部分装修</v>
      </c>
      <c r="R36" s="1411" t="s">
        <v>1490</v>
      </c>
      <c r="S36" s="1412">
        <f t="shared" si="12"/>
        <v>100</v>
      </c>
      <c r="T36" s="1411" t="s">
        <v>1490</v>
      </c>
      <c r="U36" s="1412">
        <f t="shared" si="13"/>
        <v>100</v>
      </c>
      <c r="V36" s="1411" t="s">
        <v>1490</v>
      </c>
      <c r="W36" s="1412">
        <f t="shared" si="14"/>
        <v>100</v>
      </c>
      <c r="X36" s="1398"/>
      <c r="Y36" s="1373"/>
      <c r="Z36" s="1385" t="str">
        <f t="shared" si="18"/>
        <v>公共部分装修</v>
      </c>
      <c r="AA36" s="1427">
        <f t="shared" si="15"/>
        <v>1</v>
      </c>
      <c r="AB36" s="1427">
        <f t="shared" si="16"/>
        <v>1</v>
      </c>
      <c r="AC36" s="1427">
        <f t="shared" si="17"/>
        <v>1</v>
      </c>
    </row>
    <row r="37" s="1164" customFormat="1" ht="15" spans="1:29">
      <c r="A37" s="1270"/>
      <c r="B37" s="1214" t="s">
        <v>636</v>
      </c>
      <c r="C37" s="1616"/>
      <c r="D37" s="1216">
        <v>100</v>
      </c>
      <c r="E37" s="1616"/>
      <c r="F37" s="1602" t="e">
        <f>LOOKUP(E37,112:112,113:113)-LOOKUP(C37,112:112,113:113)+100</f>
        <v>#N/A</v>
      </c>
      <c r="G37" s="1618"/>
      <c r="H37" s="1216" t="e">
        <f>LOOKUP(G37,112:112,113:113)-LOOKUP(C37,112:112,113:113)+100</f>
        <v>#N/A</v>
      </c>
      <c r="I37" s="1617"/>
      <c r="J37" s="1216" t="e">
        <f>LOOKUP(I37,112:112,113:113)-LOOKUP(C37,112:112,113:113)+100</f>
        <v>#N/A</v>
      </c>
      <c r="K37" s="1848"/>
      <c r="L37" s="1350"/>
      <c r="M37" s="1351"/>
      <c r="N37" s="1351"/>
      <c r="O37" s="1351"/>
      <c r="P37" s="1784"/>
      <c r="Q37" s="1410" t="str">
        <f t="shared" si="11"/>
        <v>成新度</v>
      </c>
      <c r="R37" s="1406" t="s">
        <v>1490</v>
      </c>
      <c r="S37" s="1407" t="e">
        <f t="shared" si="12"/>
        <v>#N/A</v>
      </c>
      <c r="T37" s="1406" t="s">
        <v>1490</v>
      </c>
      <c r="U37" s="1407" t="e">
        <f t="shared" si="13"/>
        <v>#N/A</v>
      </c>
      <c r="V37" s="1406" t="s">
        <v>1490</v>
      </c>
      <c r="W37" s="1407" t="e">
        <f t="shared" si="14"/>
        <v>#N/A</v>
      </c>
      <c r="X37" s="1408"/>
      <c r="Y37" s="1373"/>
      <c r="Z37" s="1426" t="str">
        <f t="shared" si="18"/>
        <v>成新度</v>
      </c>
      <c r="AA37" s="1425" t="e">
        <f t="shared" si="15"/>
        <v>#N/A</v>
      </c>
      <c r="AB37" s="1425" t="e">
        <f t="shared" si="16"/>
        <v>#N/A</v>
      </c>
      <c r="AC37" s="1425" t="e">
        <f t="shared" si="17"/>
        <v>#N/A</v>
      </c>
    </row>
    <row r="38" ht="15" spans="1:29">
      <c r="A38" s="1268"/>
      <c r="B38" s="1214" t="s">
        <v>1515</v>
      </c>
      <c r="C38" s="1269"/>
      <c r="D38" s="1226">
        <v>100</v>
      </c>
      <c r="E38" s="1834"/>
      <c r="F38" s="1609">
        <f>SUMIF(114:114,E38,115:115)-SUMIF(114:114,C38,115:115)+100</f>
        <v>100</v>
      </c>
      <c r="G38" s="1269"/>
      <c r="H38" s="1226">
        <f>SUMIF(114:114,G38,115:115)-SUMIF(114:114,C38,115:115)+100</f>
        <v>100</v>
      </c>
      <c r="I38" s="1834"/>
      <c r="J38" s="1226">
        <f>SUMIF(114:114,I38,115:115)-SUMIF(114:114,C38,115:115)+100</f>
        <v>100</v>
      </c>
      <c r="K38" s="1848"/>
      <c r="L38" s="1361"/>
      <c r="M38" s="1345"/>
      <c r="N38" s="1345"/>
      <c r="O38" s="1345"/>
      <c r="P38" s="1784" t="s">
        <v>1510</v>
      </c>
      <c r="Q38" s="749" t="str">
        <f t="shared" si="11"/>
        <v>物业管理</v>
      </c>
      <c r="R38" s="1411" t="s">
        <v>1490</v>
      </c>
      <c r="S38" s="1412">
        <f t="shared" si="12"/>
        <v>100</v>
      </c>
      <c r="T38" s="1411" t="s">
        <v>1490</v>
      </c>
      <c r="U38" s="1412">
        <f t="shared" si="13"/>
        <v>100</v>
      </c>
      <c r="V38" s="1411" t="s">
        <v>1490</v>
      </c>
      <c r="W38" s="1412">
        <f t="shared" si="14"/>
        <v>100</v>
      </c>
      <c r="X38" s="1398"/>
      <c r="Y38" s="1373" t="s">
        <v>1510</v>
      </c>
      <c r="Z38" s="1385" t="str">
        <f t="shared" si="18"/>
        <v>物业管理</v>
      </c>
      <c r="AA38" s="1427">
        <f t="shared" si="15"/>
        <v>1</v>
      </c>
      <c r="AB38" s="1427">
        <f t="shared" si="16"/>
        <v>1</v>
      </c>
      <c r="AC38" s="1427">
        <f t="shared" si="17"/>
        <v>1</v>
      </c>
    </row>
    <row r="39" ht="15" spans="1:29">
      <c r="A39" s="1268"/>
      <c r="B39" s="1214" t="s">
        <v>1516</v>
      </c>
      <c r="C39" s="1269"/>
      <c r="D39" s="1226">
        <v>100</v>
      </c>
      <c r="E39" s="1834"/>
      <c r="F39" s="1609">
        <f>SUMIF(116:116,E39,117:117)-SUMIF(116:116,C39,117:117)+100</f>
        <v>100</v>
      </c>
      <c r="G39" s="1269"/>
      <c r="H39" s="1226">
        <f>SUMIF(116:116,G39,117:117)-SUMIF(116:116,C39,117:117)+100</f>
        <v>100</v>
      </c>
      <c r="I39" s="1834"/>
      <c r="J39" s="1226">
        <f>SUMIF(116:116,I39,117:117)-SUMIF(116:116,C39,117:117)+100</f>
        <v>100</v>
      </c>
      <c r="K39" s="1848"/>
      <c r="L39" s="1361"/>
      <c r="M39" s="1345"/>
      <c r="N39" s="1345"/>
      <c r="O39" s="1345"/>
      <c r="P39" s="1784"/>
      <c r="Q39" s="749" t="str">
        <f t="shared" si="11"/>
        <v>市政基础设施</v>
      </c>
      <c r="R39" s="1411" t="s">
        <v>1490</v>
      </c>
      <c r="S39" s="1412">
        <f t="shared" si="12"/>
        <v>100</v>
      </c>
      <c r="T39" s="1411" t="s">
        <v>1490</v>
      </c>
      <c r="U39" s="1412">
        <f t="shared" si="13"/>
        <v>100</v>
      </c>
      <c r="V39" s="1411" t="s">
        <v>1490</v>
      </c>
      <c r="W39" s="1412">
        <f t="shared" si="14"/>
        <v>100</v>
      </c>
      <c r="X39" s="1398"/>
      <c r="Y39" s="1373"/>
      <c r="Z39" s="1385" t="str">
        <f t="shared" si="18"/>
        <v>市政基础设施</v>
      </c>
      <c r="AA39" s="1427">
        <f t="shared" si="15"/>
        <v>1</v>
      </c>
      <c r="AB39" s="1427">
        <f t="shared" si="16"/>
        <v>1</v>
      </c>
      <c r="AC39" s="1427">
        <f t="shared" si="17"/>
        <v>1</v>
      </c>
    </row>
    <row r="40" ht="15" spans="1:29">
      <c r="A40" s="1268"/>
      <c r="B40" s="1214" t="s">
        <v>1517</v>
      </c>
      <c r="C40" s="1269"/>
      <c r="D40" s="1226">
        <v>100</v>
      </c>
      <c r="E40" s="1834"/>
      <c r="F40" s="1609">
        <f>SUMIF(118:118,E40,119:119)-SUMIF(118:118,C40,119:119)+100</f>
        <v>100</v>
      </c>
      <c r="G40" s="1269"/>
      <c r="H40" s="1226">
        <f>SUMIF(118:118,G40,119:119)-SUMIF(118:118,C40,119:119)+100</f>
        <v>100</v>
      </c>
      <c r="I40" s="1834"/>
      <c r="J40" s="1226">
        <f>SUMIF(118:118,I40,119:119)-SUMIF(118:118,C40,119:119)+100</f>
        <v>100</v>
      </c>
      <c r="K40" s="1848"/>
      <c r="L40" s="1361"/>
      <c r="M40" s="1345"/>
      <c r="N40" s="1345"/>
      <c r="O40" s="1345"/>
      <c r="P40" s="1784"/>
      <c r="Q40" s="749" t="str">
        <f t="shared" si="11"/>
        <v>房型</v>
      </c>
      <c r="R40" s="1411" t="s">
        <v>1490</v>
      </c>
      <c r="S40" s="1412">
        <f t="shared" si="12"/>
        <v>100</v>
      </c>
      <c r="T40" s="1411" t="s">
        <v>1490</v>
      </c>
      <c r="U40" s="1412">
        <f t="shared" si="13"/>
        <v>100</v>
      </c>
      <c r="V40" s="1411" t="s">
        <v>1490</v>
      </c>
      <c r="W40" s="1412">
        <f t="shared" si="14"/>
        <v>100</v>
      </c>
      <c r="X40" s="1398"/>
      <c r="Y40" s="1373"/>
      <c r="Z40" s="1385" t="str">
        <f t="shared" si="18"/>
        <v>房型</v>
      </c>
      <c r="AA40" s="1427">
        <f t="shared" si="15"/>
        <v>1</v>
      </c>
      <c r="AB40" s="1427">
        <f t="shared" si="16"/>
        <v>1</v>
      </c>
      <c r="AC40" s="1427">
        <f t="shared" si="17"/>
        <v>1</v>
      </c>
    </row>
    <row r="41" s="1166" customFormat="1" ht="28.8" spans="1:29">
      <c r="A41" s="1273"/>
      <c r="B41" s="1214" t="s">
        <v>1518</v>
      </c>
      <c r="C41" s="1603"/>
      <c r="D41" s="1216">
        <v>100</v>
      </c>
      <c r="E41" s="1219"/>
      <c r="F41" s="1602">
        <f>SUMIF(120:120,E41,121:121)-SUMIF(120:120,C41,121:121)+100</f>
        <v>100</v>
      </c>
      <c r="G41" s="1218"/>
      <c r="H41" s="1216">
        <f>SUMIF(120:120,G41,121:121)-SUMIF(120:120,C41,121:121)+100</f>
        <v>100</v>
      </c>
      <c r="I41" s="1257"/>
      <c r="J41" s="1226">
        <f>SUMIF(120:120,I41,121:121)-SUMIF(120:120,C41,121:121)+100</f>
        <v>100</v>
      </c>
      <c r="K41" s="1849"/>
      <c r="L41" s="1359"/>
      <c r="M41" s="1371"/>
      <c r="N41" s="1371"/>
      <c r="O41" s="1371"/>
      <c r="P41" s="1784"/>
      <c r="Q41" s="1648" t="str">
        <f t="shared" si="11"/>
        <v>单套/主力户型建筑面积</v>
      </c>
      <c r="R41" s="1413" t="s">
        <v>1490</v>
      </c>
      <c r="S41" s="1414">
        <f t="shared" si="12"/>
        <v>100</v>
      </c>
      <c r="T41" s="1413" t="s">
        <v>1490</v>
      </c>
      <c r="U41" s="1414">
        <f t="shared" si="13"/>
        <v>100</v>
      </c>
      <c r="V41" s="1413" t="s">
        <v>1490</v>
      </c>
      <c r="W41" s="1414">
        <f t="shared" si="14"/>
        <v>100</v>
      </c>
      <c r="X41" s="1415"/>
      <c r="Y41" s="1373"/>
      <c r="Z41" s="1428" t="str">
        <f t="shared" si="18"/>
        <v>单套/主力户型建筑面积</v>
      </c>
      <c r="AA41" s="1427">
        <f t="shared" si="15"/>
        <v>1</v>
      </c>
      <c r="AB41" s="1427">
        <f t="shared" si="16"/>
        <v>1</v>
      </c>
      <c r="AC41" s="1427">
        <f t="shared" si="17"/>
        <v>1</v>
      </c>
    </row>
    <row r="42" ht="15" spans="1:29">
      <c r="A42" s="1268"/>
      <c r="B42" s="1214" t="s">
        <v>1519</v>
      </c>
      <c r="C42" s="1269"/>
      <c r="D42" s="1226">
        <v>100</v>
      </c>
      <c r="E42" s="1834"/>
      <c r="F42" s="1609">
        <f>SUMIF(122:122,E42,123:123)-SUMIF(122:122,C42,123:123)+100</f>
        <v>100</v>
      </c>
      <c r="G42" s="1269"/>
      <c r="H42" s="1226">
        <f>SUMIF(122:122,G42,123:123)-SUMIF(122:122,C42,123:123)+100</f>
        <v>100</v>
      </c>
      <c r="I42" s="1834"/>
      <c r="J42" s="1226">
        <f>SUMIF(122:122,I42,123:123)-SUMIF(122:122,C42,123:123)+100</f>
        <v>100</v>
      </c>
      <c r="K42" s="1848"/>
      <c r="L42" s="1361"/>
      <c r="M42" s="1345"/>
      <c r="N42" s="1345"/>
      <c r="O42" s="1345"/>
      <c r="P42" s="1784"/>
      <c r="Q42" s="749" t="str">
        <f t="shared" si="11"/>
        <v>内部装修</v>
      </c>
      <c r="R42" s="1411" t="s">
        <v>1490</v>
      </c>
      <c r="S42" s="1412">
        <f t="shared" si="12"/>
        <v>100</v>
      </c>
      <c r="T42" s="1411" t="s">
        <v>1490</v>
      </c>
      <c r="U42" s="1412">
        <f t="shared" si="13"/>
        <v>100</v>
      </c>
      <c r="V42" s="1411" t="s">
        <v>1490</v>
      </c>
      <c r="W42" s="1412">
        <f t="shared" si="14"/>
        <v>100</v>
      </c>
      <c r="X42" s="1398"/>
      <c r="Y42" s="1373"/>
      <c r="Z42" s="1385" t="str">
        <f t="shared" si="18"/>
        <v>内部装修</v>
      </c>
      <c r="AA42" s="1427">
        <f t="shared" si="15"/>
        <v>1</v>
      </c>
      <c r="AB42" s="1427">
        <f t="shared" si="16"/>
        <v>1</v>
      </c>
      <c r="AC42" s="1427">
        <f t="shared" si="17"/>
        <v>1</v>
      </c>
    </row>
    <row r="43" ht="28.8" spans="1:29">
      <c r="A43" s="1268"/>
      <c r="B43" s="1214" t="s">
        <v>1520</v>
      </c>
      <c r="C43" s="1269"/>
      <c r="D43" s="1226">
        <v>100</v>
      </c>
      <c r="E43" s="1834"/>
      <c r="F43" s="1609">
        <f>SUMIF(124:124,E43,125:125)-SUMIF(124:124,C43,125:125)+100</f>
        <v>100</v>
      </c>
      <c r="G43" s="1269"/>
      <c r="H43" s="1226">
        <f>SUMIF(124:124,G43,125:125)-SUMIF(124:124,C43,125:125)+100</f>
        <v>100</v>
      </c>
      <c r="I43" s="1834"/>
      <c r="J43" s="1226">
        <f>SUMIF(124:124,I43,125:125)-SUMIF(124:124,C43,125:125)+100</f>
        <v>100</v>
      </c>
      <c r="K43" s="1848"/>
      <c r="L43" s="1361"/>
      <c r="M43" s="1345"/>
      <c r="N43" s="1345"/>
      <c r="O43" s="1345"/>
      <c r="P43" s="1784"/>
      <c r="Q43" s="749" t="str">
        <f t="shared" si="11"/>
        <v>内部装修维护情况</v>
      </c>
      <c r="R43" s="1411" t="s">
        <v>1490</v>
      </c>
      <c r="S43" s="1412">
        <f t="shared" si="12"/>
        <v>100</v>
      </c>
      <c r="T43" s="1411" t="s">
        <v>1490</v>
      </c>
      <c r="U43" s="1412">
        <f t="shared" si="13"/>
        <v>100</v>
      </c>
      <c r="V43" s="1411" t="s">
        <v>1490</v>
      </c>
      <c r="W43" s="1412">
        <f t="shared" si="14"/>
        <v>100</v>
      </c>
      <c r="X43" s="1398"/>
      <c r="Y43" s="1373"/>
      <c r="Z43" s="1385" t="str">
        <f t="shared" si="18"/>
        <v>内部装修维护情况</v>
      </c>
      <c r="AA43" s="1427">
        <f t="shared" si="15"/>
        <v>1</v>
      </c>
      <c r="AB43" s="1427">
        <f t="shared" si="16"/>
        <v>1</v>
      </c>
      <c r="AC43" s="1427">
        <f t="shared" si="17"/>
        <v>1</v>
      </c>
    </row>
    <row r="44" s="1164" customFormat="1" ht="15" spans="1:29">
      <c r="A44" s="1270"/>
      <c r="B44" s="1560">
        <v>111</v>
      </c>
      <c r="C44" s="1603"/>
      <c r="D44" s="1216">
        <v>100</v>
      </c>
      <c r="E44" s="1603"/>
      <c r="F44" s="1602">
        <f>SUMIF(126:126,E44,127:127)-SUMIF(126:126,C44,127:127)+100</f>
        <v>100</v>
      </c>
      <c r="G44" s="1603"/>
      <c r="H44" s="1216">
        <f>SUMIF(126:126,G44,127:127)-SUMIF(126:126,C44,127:127)+100</f>
        <v>100</v>
      </c>
      <c r="I44" s="1603"/>
      <c r="J44" s="1216">
        <f>SUMIF(126:126,I44,127:127)-SUMIF(126:126,C44,127:127)+100</f>
        <v>100</v>
      </c>
      <c r="K44" s="1849"/>
      <c r="L44" s="1350"/>
      <c r="M44" s="1351"/>
      <c r="N44" s="1351"/>
      <c r="O44" s="1351"/>
      <c r="P44" s="1784"/>
      <c r="Q44" s="1410">
        <f t="shared" si="11"/>
        <v>111</v>
      </c>
      <c r="R44" s="1406" t="s">
        <v>1490</v>
      </c>
      <c r="S44" s="1407">
        <f t="shared" si="12"/>
        <v>100</v>
      </c>
      <c r="T44" s="1406" t="s">
        <v>1490</v>
      </c>
      <c r="U44" s="1407">
        <f t="shared" si="13"/>
        <v>100</v>
      </c>
      <c r="V44" s="1406" t="s">
        <v>1490</v>
      </c>
      <c r="W44" s="1407">
        <f t="shared" si="14"/>
        <v>100</v>
      </c>
      <c r="X44" s="1408"/>
      <c r="Y44" s="1373"/>
      <c r="Z44" s="1426">
        <f t="shared" si="18"/>
        <v>111</v>
      </c>
      <c r="AA44" s="1425">
        <f t="shared" si="15"/>
        <v>1</v>
      </c>
      <c r="AB44" s="1425">
        <f t="shared" si="16"/>
        <v>1</v>
      </c>
      <c r="AC44" s="1425">
        <f t="shared" si="17"/>
        <v>1</v>
      </c>
    </row>
    <row r="45" ht="15" spans="1:29">
      <c r="A45" s="1268"/>
      <c r="B45" s="1560">
        <v>111</v>
      </c>
      <c r="C45" s="1225"/>
      <c r="D45" s="1226">
        <v>100</v>
      </c>
      <c r="E45" s="1225"/>
      <c r="F45" s="1609">
        <f>SUMIF(128:128,E45,129:129)-SUMIF(128:128,C45,129:129)+100</f>
        <v>100</v>
      </c>
      <c r="G45" s="1225"/>
      <c r="H45" s="1226">
        <f>SUMIF(128:128,G45,129:129)-SUMIF(128:128,C45,129:129)+100</f>
        <v>100</v>
      </c>
      <c r="I45" s="1225"/>
      <c r="J45" s="1226">
        <f>SUMIF(128:128,I45,129:129)-SUMIF(128:128,C45,129:129)+100</f>
        <v>100</v>
      </c>
      <c r="K45" s="1849"/>
      <c r="L45" s="1361"/>
      <c r="M45" s="1345"/>
      <c r="N45" s="1345"/>
      <c r="O45" s="1345"/>
      <c r="P45" s="1784"/>
      <c r="Q45" s="749">
        <f t="shared" si="11"/>
        <v>111</v>
      </c>
      <c r="R45" s="1411" t="s">
        <v>1490</v>
      </c>
      <c r="S45" s="1412">
        <f t="shared" si="12"/>
        <v>100</v>
      </c>
      <c r="T45" s="1411" t="s">
        <v>1490</v>
      </c>
      <c r="U45" s="1412">
        <f t="shared" si="13"/>
        <v>100</v>
      </c>
      <c r="V45" s="1411" t="s">
        <v>1490</v>
      </c>
      <c r="W45" s="1412">
        <f t="shared" si="14"/>
        <v>100</v>
      </c>
      <c r="X45" s="1398"/>
      <c r="Y45" s="1373"/>
      <c r="Z45" s="1385">
        <f t="shared" si="18"/>
        <v>111</v>
      </c>
      <c r="AA45" s="1427">
        <f t="shared" si="15"/>
        <v>1</v>
      </c>
      <c r="AB45" s="1427">
        <f t="shared" si="16"/>
        <v>1</v>
      </c>
      <c r="AC45" s="1427">
        <f t="shared" si="17"/>
        <v>1</v>
      </c>
    </row>
    <row r="46" ht="15.75" spans="1:29">
      <c r="A46" s="1621"/>
      <c r="B46" s="1228">
        <v>111</v>
      </c>
      <c r="C46" s="1229"/>
      <c r="D46" s="1230">
        <v>100</v>
      </c>
      <c r="E46" s="1229"/>
      <c r="F46" s="1622">
        <f>SUMIF(130:130,E46,131:131)-SUMIF(130:130,C46,131:131)+100</f>
        <v>100</v>
      </c>
      <c r="G46" s="1229"/>
      <c r="H46" s="1230">
        <f>SUMIF(130:130,G46,131:131)-SUMIF(130:130,C46,131:131)+100</f>
        <v>100</v>
      </c>
      <c r="I46" s="1229"/>
      <c r="J46" s="1230">
        <f>SUMIF(130:130,I46,131:131)-SUMIF(130:130,C46,131:131)+100</f>
        <v>100</v>
      </c>
      <c r="K46" s="1849"/>
      <c r="L46" s="1361"/>
      <c r="M46" s="1345"/>
      <c r="N46" s="1345"/>
      <c r="O46" s="1345"/>
      <c r="P46" s="1785"/>
      <c r="Q46" s="749">
        <f t="shared" si="11"/>
        <v>111</v>
      </c>
      <c r="R46" s="1411" t="s">
        <v>1490</v>
      </c>
      <c r="S46" s="1412">
        <f t="shared" si="12"/>
        <v>100</v>
      </c>
      <c r="T46" s="1411" t="s">
        <v>1490</v>
      </c>
      <c r="U46" s="1412">
        <f t="shared" si="13"/>
        <v>100</v>
      </c>
      <c r="V46" s="1411" t="s">
        <v>1490</v>
      </c>
      <c r="W46" s="1412">
        <f t="shared" si="14"/>
        <v>100</v>
      </c>
      <c r="X46" s="1398"/>
      <c r="Y46" s="1739"/>
      <c r="Z46" s="1385">
        <f t="shared" si="18"/>
        <v>111</v>
      </c>
      <c r="AA46" s="1427">
        <f t="shared" si="15"/>
        <v>1</v>
      </c>
      <c r="AB46" s="1427">
        <f t="shared" si="16"/>
        <v>1</v>
      </c>
      <c r="AC46" s="1427">
        <f t="shared" si="17"/>
        <v>1</v>
      </c>
    </row>
    <row r="47" ht="14.4" spans="1:29">
      <c r="A47" s="1275" t="s">
        <v>1521</v>
      </c>
      <c r="B47" s="1623"/>
      <c r="C47" s="1624" t="s">
        <v>124</v>
      </c>
      <c r="D47" s="1625"/>
      <c r="E47" s="1626"/>
      <c r="F47" s="1627"/>
      <c r="G47" s="1628"/>
      <c r="H47" s="1629"/>
      <c r="I47" s="1626"/>
      <c r="J47" s="1629"/>
      <c r="K47" s="1853"/>
      <c r="L47" s="1377"/>
      <c r="M47" s="1292"/>
      <c r="N47" s="1345"/>
      <c r="O47" s="1292"/>
      <c r="P47" s="749" t="str">
        <f>A47</f>
        <v>成交单价（元/平方米）</v>
      </c>
      <c r="Q47" s="749"/>
      <c r="R47" s="1427">
        <f>E47</f>
        <v>0</v>
      </c>
      <c r="S47" s="1427"/>
      <c r="T47" s="1427">
        <f>G47</f>
        <v>0</v>
      </c>
      <c r="U47" s="1427"/>
      <c r="V47" s="1427">
        <f>I47</f>
        <v>0</v>
      </c>
      <c r="W47" s="1427"/>
      <c r="X47" s="1333"/>
      <c r="Y47" s="1429"/>
      <c r="Z47" s="1333"/>
      <c r="AA47" s="1333"/>
      <c r="AB47" s="1333"/>
      <c r="AC47" s="1333"/>
    </row>
    <row r="48" ht="15.15" spans="1:29">
      <c r="A48" s="1283" t="s">
        <v>1522</v>
      </c>
      <c r="B48" s="1630"/>
      <c r="C48" s="1631" t="e">
        <f>R49</f>
        <v>#DIV/0!</v>
      </c>
      <c r="D48" s="1286" t="s">
        <v>1523</v>
      </c>
      <c r="E48" s="1632" t="e">
        <f>R48</f>
        <v>#DIV/0!</v>
      </c>
      <c r="F48" s="1287"/>
      <c r="G48" s="1631" t="e">
        <f>T48</f>
        <v>#DIV/0!</v>
      </c>
      <c r="H48" s="1287"/>
      <c r="I48" s="1632" t="e">
        <f>V48</f>
        <v>#DIV/0!</v>
      </c>
      <c r="J48" s="1287"/>
      <c r="K48" s="1854">
        <f>F48+H48+J48</f>
        <v>0</v>
      </c>
      <c r="L48" s="1377"/>
      <c r="M48" s="1292"/>
      <c r="N48" s="1292"/>
      <c r="O48" s="1292"/>
      <c r="P48" s="749" t="str">
        <f>A48</f>
        <v>比较价值（元/平方米）</v>
      </c>
      <c r="Q48" s="749"/>
      <c r="R48" s="1427" t="e">
        <f>IF(F1="售价",ROUND(PRODUCT(R47,AA7:AA46),0),ROUND(PRODUCT(R47,AA7:AA46),1))</f>
        <v>#DIV/0!</v>
      </c>
      <c r="S48" s="1427"/>
      <c r="T48" s="1427" t="e">
        <f>IF(F1="售价",ROUND(PRODUCT(T47,AB7:AB46),0),ROUND(PRODUCT(T47,AB7:AB46),1))</f>
        <v>#DIV/0!</v>
      </c>
      <c r="U48" s="1427"/>
      <c r="V48" s="1427" t="e">
        <f>IF(F1="售价",ROUND(PRODUCT(V47,AC7:AC46),0),ROUND(PRODUCT(V47,AC7:AC46),1))</f>
        <v>#DIV/0!</v>
      </c>
      <c r="W48" s="1427"/>
      <c r="X48" s="1333"/>
      <c r="Y48" s="1333"/>
      <c r="Z48" s="1333"/>
      <c r="AA48" s="1333"/>
      <c r="AB48" s="1333"/>
      <c r="AC48" s="1333"/>
    </row>
    <row r="49" ht="15.15" spans="1:29">
      <c r="A49" s="1289" t="s">
        <v>1524</v>
      </c>
      <c r="B49" s="1290"/>
      <c r="C49" s="1837" t="e">
        <f>R49</f>
        <v>#DIV/0!</v>
      </c>
      <c r="D49" s="1633"/>
      <c r="E49" s="1633"/>
      <c r="F49" s="1633"/>
      <c r="G49" s="1633"/>
      <c r="H49" s="1633"/>
      <c r="I49" s="1633"/>
      <c r="J49" s="1633"/>
      <c r="K49" s="1855"/>
      <c r="L49" s="1377"/>
      <c r="M49" s="1292"/>
      <c r="N49" s="1292"/>
      <c r="O49" s="1292"/>
      <c r="P49" s="1380" t="str">
        <f>A49</f>
        <v>估价对象XX用房的比较价值（楼面单价，元/平方米）</v>
      </c>
      <c r="Q49" s="1417"/>
      <c r="R49" s="1755" t="e">
        <f>IF(F1="售价",ROUND(IF(D48="简单平均",AVERAGE(R48:V48),R48*F48+T48*H48+V48*J48),0),ROUND(IF(D48="简单平均",AVERAGE(R48:V48),R48*F48+T48*H48+V48*J48),1))</f>
        <v>#DIV/0!</v>
      </c>
      <c r="S49" s="1755"/>
      <c r="T49" s="1755"/>
      <c r="U49" s="1755"/>
      <c r="V49" s="1755"/>
      <c r="W49" s="1755"/>
      <c r="X49" s="1333"/>
      <c r="Y49" s="1333"/>
      <c r="Z49" s="1333"/>
      <c r="AA49" s="1333"/>
      <c r="AB49" s="1333"/>
      <c r="AC49" s="1333"/>
    </row>
    <row r="50" spans="1:15">
      <c r="A50" s="1292"/>
      <c r="B50" s="1292"/>
      <c r="C50" s="1292"/>
      <c r="D50" s="1292"/>
      <c r="E50" s="1292"/>
      <c r="F50" s="1292"/>
      <c r="G50" s="1293"/>
      <c r="H50" s="1292"/>
      <c r="I50" s="1292"/>
      <c r="J50" s="1292"/>
      <c r="K50" s="1381"/>
      <c r="L50" s="1382"/>
      <c r="M50" s="1292"/>
      <c r="N50" s="1292"/>
      <c r="O50" s="1292"/>
    </row>
    <row r="51" spans="1:15">
      <c r="A51" s="1292"/>
      <c r="B51" s="1292"/>
      <c r="C51" s="1292"/>
      <c r="D51" s="1292"/>
      <c r="E51" s="1292"/>
      <c r="F51" s="1292"/>
      <c r="G51" s="1292"/>
      <c r="H51" s="1292"/>
      <c r="I51" s="1292"/>
      <c r="J51" s="1292"/>
      <c r="K51" s="1381"/>
      <c r="L51" s="1382"/>
      <c r="M51" s="1292"/>
      <c r="N51" s="1292"/>
      <c r="O51" s="1292"/>
    </row>
    <row r="52" ht="13.5" customHeight="1" spans="1:15">
      <c r="A52" s="1292"/>
      <c r="B52" s="1292"/>
      <c r="C52" s="1294" t="s">
        <v>1525</v>
      </c>
      <c r="D52" s="793"/>
      <c r="E52" s="1295" t="e">
        <f>IF(E47&lt;E48,E48/E47-1,E47/E48-1)</f>
        <v>#DIV/0!</v>
      </c>
      <c r="F52" s="1296" t="e">
        <f>IF(OR(E52&gt;=0.3,E52&lt;=-0.3),"超过30%","")</f>
        <v>#DIV/0!</v>
      </c>
      <c r="G52" s="1295" t="e">
        <f>IF(G47&lt;G48,G48/G47-1,G47/G48-1)</f>
        <v>#DIV/0!</v>
      </c>
      <c r="H52" s="1296" t="e">
        <f>IF(OR(G52&gt;=0.3,G52&lt;=-0.3),"超过30%","")</f>
        <v>#DIV/0!</v>
      </c>
      <c r="I52" s="1295" t="e">
        <f>IF(I47&lt;I48,I48/I47-1,I47/I48-1)</f>
        <v>#DIV/0!</v>
      </c>
      <c r="J52" s="1296" t="e">
        <f>IF(OR(I52&gt;=0.3,I52&lt;=-0.3),"超过30%","")</f>
        <v>#DIV/0!</v>
      </c>
      <c r="K52" s="1381"/>
      <c r="L52" s="1382"/>
      <c r="M52" s="1292"/>
      <c r="N52" s="1292"/>
      <c r="O52" s="1292"/>
    </row>
    <row r="53" ht="13.5" customHeight="1" spans="1:15">
      <c r="A53" s="1292"/>
      <c r="B53" s="1292"/>
      <c r="C53" s="1294" t="s">
        <v>1526</v>
      </c>
      <c r="D53" s="792"/>
      <c r="E53" s="1295" t="e">
        <f>IF(E48&lt;G48,G48/E48-1,E48/G48-1)</f>
        <v>#DIV/0!</v>
      </c>
      <c r="F53" s="1296" t="e">
        <f>IF(OR(E53&gt;=0.2,E53&lt;=-0.2),"超过20%","")</f>
        <v>#DIV/0!</v>
      </c>
      <c r="G53" s="1295" t="e">
        <f>IF(G48&lt;I48,I48/G48-1,G48/I48-1)</f>
        <v>#DIV/0!</v>
      </c>
      <c r="H53" s="1296" t="e">
        <f>IF(OR(G53&gt;=0.2,G53&lt;=-0.2),"超过20%","")</f>
        <v>#DIV/0!</v>
      </c>
      <c r="I53" s="1295" t="e">
        <f>IF(I48&lt;E48,E48/I48-1,I48/E48-1)</f>
        <v>#DIV/0!</v>
      </c>
      <c r="J53" s="1296" t="e">
        <f>IF(OR(I53&gt;=0.2,I53&lt;=-0.2),"超过20%","")</f>
        <v>#DIV/0!</v>
      </c>
      <c r="K53" s="1381"/>
      <c r="L53" s="1382"/>
      <c r="M53" s="1292"/>
      <c r="N53" s="1292"/>
      <c r="O53" s="1292"/>
    </row>
    <row r="54" s="1167" customFormat="1" ht="13.5" customHeight="1" spans="1:16">
      <c r="A54" s="1297"/>
      <c r="B54" s="1297"/>
      <c r="C54" s="1294" t="s">
        <v>1527</v>
      </c>
      <c r="D54" s="792"/>
      <c r="E54" s="1295" t="e">
        <f>IF(E47&lt;G47,G47/E47-1,E47/G47-1)</f>
        <v>#DIV/0!</v>
      </c>
      <c r="F54" s="1296" t="e">
        <f>IF(OR(E54&gt;=0.3,E54&lt;=-0.3),"超过30%","")</f>
        <v>#DIV/0!</v>
      </c>
      <c r="G54" s="1295" t="e">
        <f>IF(G47&lt;I47,I47/G47-1,G47/I47-1)</f>
        <v>#DIV/0!</v>
      </c>
      <c r="H54" s="1296" t="e">
        <f>IF(OR(G54&gt;=0.3,G54&lt;=-0.3),"超过30%","")</f>
        <v>#DIV/0!</v>
      </c>
      <c r="I54" s="1295" t="e">
        <f>IF(I47&lt;E47,E47/I47-1,I47/E47-1)</f>
        <v>#DIV/0!</v>
      </c>
      <c r="J54" s="1296" t="e">
        <f>IF(OR(I54&gt;=0.3,I54&lt;=-0.3),"超过30%","")</f>
        <v>#DIV/0!</v>
      </c>
      <c r="K54" s="1383"/>
      <c r="L54" s="1384"/>
      <c r="M54" s="1297"/>
      <c r="N54" s="1297"/>
      <c r="O54" s="1297"/>
      <c r="P54" s="1856"/>
    </row>
    <row r="55" s="1167" customFormat="1" spans="1:16">
      <c r="A55" s="1297"/>
      <c r="B55" s="1298"/>
      <c r="C55" s="1634"/>
      <c r="D55" s="1297"/>
      <c r="E55" s="1297"/>
      <c r="F55" s="1297"/>
      <c r="G55" s="1297"/>
      <c r="H55" s="1297"/>
      <c r="I55" s="1297"/>
      <c r="J55" s="1297"/>
      <c r="K55" s="1383"/>
      <c r="L55" s="1384"/>
      <c r="M55" s="1297"/>
      <c r="N55" s="1297"/>
      <c r="O55" s="1297"/>
      <c r="P55" s="1856"/>
    </row>
    <row r="56" spans="1:15">
      <c r="A56" s="1292"/>
      <c r="B56" s="1298"/>
      <c r="C56" s="1634"/>
      <c r="D56" s="1292"/>
      <c r="E56" s="1292"/>
      <c r="F56" s="1292"/>
      <c r="G56" s="1292"/>
      <c r="H56" s="1292"/>
      <c r="I56" s="1292"/>
      <c r="J56" s="1292"/>
      <c r="K56" s="1381"/>
      <c r="L56" s="1382"/>
      <c r="M56" s="1292"/>
      <c r="N56" s="1292"/>
      <c r="O56" s="1292"/>
    </row>
    <row r="57" ht="21.15" spans="1:17">
      <c r="A57" s="1332" t="s">
        <v>1528</v>
      </c>
      <c r="B57" s="1333"/>
      <c r="C57" s="1334"/>
      <c r="D57" s="1334"/>
      <c r="E57" s="1334"/>
      <c r="F57" s="1335"/>
      <c r="G57" s="1335"/>
      <c r="H57" s="1334"/>
      <c r="I57" s="1334"/>
      <c r="J57" s="1334"/>
      <c r="K57" s="1578"/>
      <c r="L57" s="1579"/>
      <c r="M57" s="1393"/>
      <c r="N57" s="1393"/>
      <c r="O57" s="1393"/>
      <c r="P57" s="1857"/>
      <c r="Q57" s="1745"/>
    </row>
    <row r="58" s="1169" customFormat="1" ht="14.4" spans="1:16">
      <c r="A58" s="1635" t="s">
        <v>1488</v>
      </c>
      <c r="B58" s="1636"/>
      <c r="C58" s="1838" t="str">
        <f>YEAR(C7)&amp;"-"&amp;MONTH(C7)</f>
        <v>2023-4</v>
      </c>
      <c r="D58" s="1638">
        <f>EDATE(C58,-1)</f>
        <v>44986</v>
      </c>
      <c r="E58" s="1638">
        <f>EDATE(D58,-1)</f>
        <v>44958</v>
      </c>
      <c r="F58" s="1638">
        <f t="shared" ref="F58:O58" si="19">EDATE(E58,-1)</f>
        <v>44927</v>
      </c>
      <c r="G58" s="1638">
        <f t="shared" si="19"/>
        <v>44896</v>
      </c>
      <c r="H58" s="1638">
        <f t="shared" si="19"/>
        <v>44866</v>
      </c>
      <c r="I58" s="1638">
        <f t="shared" si="19"/>
        <v>44835</v>
      </c>
      <c r="J58" s="1638">
        <f t="shared" si="19"/>
        <v>44805</v>
      </c>
      <c r="K58" s="1638">
        <f t="shared" si="19"/>
        <v>44774</v>
      </c>
      <c r="L58" s="1638">
        <f t="shared" si="19"/>
        <v>44743</v>
      </c>
      <c r="M58" s="1638">
        <f t="shared" si="19"/>
        <v>44713</v>
      </c>
      <c r="N58" s="1638">
        <f t="shared" si="19"/>
        <v>44682</v>
      </c>
      <c r="O58" s="1638">
        <f t="shared" si="19"/>
        <v>44652</v>
      </c>
      <c r="P58" s="1858"/>
    </row>
    <row r="59" s="1164" customFormat="1" spans="1:16">
      <c r="A59" s="1639"/>
      <c r="B59" s="1839"/>
      <c r="C59" s="1640">
        <v>100</v>
      </c>
      <c r="D59" s="1775"/>
      <c r="E59" s="1445"/>
      <c r="F59" s="1445"/>
      <c r="G59" s="1445"/>
      <c r="H59" s="1445"/>
      <c r="I59" s="1445"/>
      <c r="J59" s="1445"/>
      <c r="K59" s="1445"/>
      <c r="L59" s="1445"/>
      <c r="M59" s="1647"/>
      <c r="N59" s="1445"/>
      <c r="O59" s="1647"/>
      <c r="P59" s="1859"/>
    </row>
    <row r="60" s="1164" customFormat="1" ht="15.15" spans="1:17">
      <c r="A60" s="1436" t="s">
        <v>1529</v>
      </c>
      <c r="B60" s="1437"/>
      <c r="C60" s="1438"/>
      <c r="D60" s="1439"/>
      <c r="E60" s="1439"/>
      <c r="F60" s="1439"/>
      <c r="G60" s="1439"/>
      <c r="H60" s="1439"/>
      <c r="I60" s="1439"/>
      <c r="J60" s="1439"/>
      <c r="K60" s="1439"/>
      <c r="L60" s="1439"/>
      <c r="M60" s="1487"/>
      <c r="N60" s="1439"/>
      <c r="O60" s="1487"/>
      <c r="P60" s="1859"/>
      <c r="Q60" s="1745"/>
    </row>
    <row r="61" s="1164" customFormat="1" ht="14.4" spans="1:17">
      <c r="A61" s="1440" t="s">
        <v>1491</v>
      </c>
      <c r="B61" s="1441"/>
      <c r="C61" s="1442" t="s">
        <v>1530</v>
      </c>
      <c r="D61" s="1443"/>
      <c r="E61" s="1443"/>
      <c r="F61" s="1443"/>
      <c r="G61" s="1443"/>
      <c r="H61" s="1443"/>
      <c r="I61" s="1443"/>
      <c r="J61" s="1443"/>
      <c r="K61" s="1443"/>
      <c r="L61" s="1489"/>
      <c r="M61" s="1490"/>
      <c r="N61" s="1748"/>
      <c r="O61" s="1748"/>
      <c r="P61" s="1860"/>
      <c r="Q61" s="1745"/>
    </row>
    <row r="62" s="1164" customFormat="1" ht="14.55" spans="1:17">
      <c r="A62" s="1440"/>
      <c r="B62" s="1441"/>
      <c r="C62" s="1775">
        <v>100</v>
      </c>
      <c r="D62" s="1445"/>
      <c r="E62" s="1445"/>
      <c r="F62" s="1445"/>
      <c r="G62" s="1445"/>
      <c r="H62" s="1445"/>
      <c r="I62" s="1445"/>
      <c r="J62" s="1445"/>
      <c r="K62" s="1445"/>
      <c r="L62" s="1445"/>
      <c r="M62" s="1493"/>
      <c r="N62" s="1748"/>
      <c r="O62" s="1748"/>
      <c r="P62" s="1859"/>
      <c r="Q62" s="1745"/>
    </row>
    <row r="63" ht="14.4" spans="1:17">
      <c r="A63" s="1446" t="s">
        <v>1531</v>
      </c>
      <c r="B63" s="1447" t="s">
        <v>1494</v>
      </c>
      <c r="C63" s="1469">
        <f>C9</f>
        <v>0</v>
      </c>
      <c r="D63" s="1374"/>
      <c r="E63" s="1374"/>
      <c r="F63" s="1374"/>
      <c r="G63" s="1374"/>
      <c r="H63" s="1374"/>
      <c r="I63" s="1374"/>
      <c r="J63" s="1374"/>
      <c r="K63" s="1494"/>
      <c r="L63" s="1495"/>
      <c r="M63" s="1496"/>
      <c r="N63" s="1750"/>
      <c r="O63" s="1750"/>
      <c r="P63" s="1861"/>
      <c r="Q63" s="1745"/>
    </row>
    <row r="64" ht="14.55" spans="1:17">
      <c r="A64" s="1448"/>
      <c r="B64" s="1449"/>
      <c r="C64" s="1450">
        <v>100</v>
      </c>
      <c r="D64" s="1450"/>
      <c r="E64" s="1450"/>
      <c r="F64" s="1450"/>
      <c r="G64" s="1450"/>
      <c r="H64" s="1450"/>
      <c r="I64" s="1450"/>
      <c r="J64" s="1450"/>
      <c r="K64" s="1450"/>
      <c r="L64" s="1450"/>
      <c r="M64" s="1499"/>
      <c r="N64" s="1752"/>
      <c r="O64" s="1752"/>
      <c r="P64" s="1861"/>
      <c r="Q64" s="1745"/>
    </row>
    <row r="65" ht="29.55" spans="1:17">
      <c r="A65" s="1448"/>
      <c r="B65" s="1451" t="s">
        <v>1497</v>
      </c>
      <c r="C65" s="1476"/>
      <c r="D65" s="1476"/>
      <c r="E65" s="1476"/>
      <c r="F65" s="1476"/>
      <c r="G65" s="1476"/>
      <c r="H65" s="1476"/>
      <c r="I65" s="1476"/>
      <c r="J65" s="1476"/>
      <c r="K65" s="1476"/>
      <c r="L65" s="1476"/>
      <c r="M65" s="1476"/>
      <c r="N65" s="1752"/>
      <c r="O65" s="1752"/>
      <c r="P65" s="1861"/>
      <c r="Q65" s="1745"/>
    </row>
    <row r="66" ht="14.55" spans="1:17">
      <c r="A66" s="1448"/>
      <c r="B66" s="1453"/>
      <c r="C66" s="1450"/>
      <c r="D66" s="1450"/>
      <c r="E66" s="1450"/>
      <c r="F66" s="1450"/>
      <c r="G66" s="1450"/>
      <c r="H66" s="1450"/>
      <c r="I66" s="1450"/>
      <c r="J66" s="1450"/>
      <c r="K66" s="1450"/>
      <c r="L66" s="1450"/>
      <c r="M66" s="1499"/>
      <c r="N66" s="1752"/>
      <c r="O66" s="1752"/>
      <c r="P66" s="1861"/>
      <c r="Q66" s="1745"/>
    </row>
    <row r="67" ht="15.15" spans="1:17">
      <c r="A67" s="1448"/>
      <c r="B67" s="1455" t="s">
        <v>1498</v>
      </c>
      <c r="C67" s="1456" t="str">
        <f>C68&amp;"（含）"&amp;"-"&amp;D68</f>
        <v>（含）-</v>
      </c>
      <c r="D67" s="1456" t="str">
        <f t="shared" ref="D67:L67" si="20">D68&amp;"（含）"&amp;"-"&amp;E68</f>
        <v>（含）-</v>
      </c>
      <c r="E67" s="1456" t="str">
        <f t="shared" si="20"/>
        <v>（含）-</v>
      </c>
      <c r="F67" s="1456" t="str">
        <f t="shared" si="20"/>
        <v>（含）-</v>
      </c>
      <c r="G67" s="1456" t="str">
        <f t="shared" si="20"/>
        <v>（含）-</v>
      </c>
      <c r="H67" s="1456" t="str">
        <f t="shared" si="20"/>
        <v>（含）-</v>
      </c>
      <c r="I67" s="1456" t="str">
        <f t="shared" si="20"/>
        <v>（含）-</v>
      </c>
      <c r="J67" s="1456" t="str">
        <f t="shared" si="20"/>
        <v>（含）-</v>
      </c>
      <c r="K67" s="1456" t="str">
        <f t="shared" si="20"/>
        <v>（含）-</v>
      </c>
      <c r="L67" s="1456" t="str">
        <f t="shared" si="20"/>
        <v>（含）-</v>
      </c>
      <c r="M67" s="1238" t="str">
        <f>M68&amp;"（含）"&amp;"-"&amp;P68</f>
        <v>（含）-</v>
      </c>
      <c r="N67" s="1752"/>
      <c r="O67" s="1752"/>
      <c r="P67" s="1861"/>
      <c r="Q67" s="1745"/>
    </row>
    <row r="68" spans="1:17">
      <c r="A68" s="1448"/>
      <c r="B68" s="1457"/>
      <c r="C68" s="1223"/>
      <c r="D68" s="1223"/>
      <c r="E68" s="1223"/>
      <c r="F68" s="1223"/>
      <c r="G68" s="1223"/>
      <c r="H68" s="1223"/>
      <c r="I68" s="1223"/>
      <c r="J68" s="1223"/>
      <c r="K68" s="1505"/>
      <c r="L68" s="1506"/>
      <c r="M68" s="1507"/>
      <c r="N68" s="1750"/>
      <c r="O68" s="1750"/>
      <c r="P68" s="1861"/>
      <c r="Q68" s="1745"/>
    </row>
    <row r="69" ht="14.55" spans="1:17">
      <c r="A69" s="1448"/>
      <c r="B69" s="1449"/>
      <c r="C69" s="1454">
        <v>100</v>
      </c>
      <c r="D69" s="1454">
        <f t="shared" ref="D69:M69" si="21">C69-$K11</f>
        <v>100</v>
      </c>
      <c r="E69" s="1454">
        <f t="shared" si="21"/>
        <v>100</v>
      </c>
      <c r="F69" s="1454">
        <f t="shared" si="21"/>
        <v>100</v>
      </c>
      <c r="G69" s="1454">
        <f t="shared" si="21"/>
        <v>100</v>
      </c>
      <c r="H69" s="1454">
        <f t="shared" si="21"/>
        <v>100</v>
      </c>
      <c r="I69" s="1454">
        <f t="shared" si="21"/>
        <v>100</v>
      </c>
      <c r="J69" s="1454">
        <f t="shared" si="21"/>
        <v>100</v>
      </c>
      <c r="K69" s="1454">
        <f t="shared" si="21"/>
        <v>100</v>
      </c>
      <c r="L69" s="1454">
        <f t="shared" si="21"/>
        <v>100</v>
      </c>
      <c r="M69" s="1504">
        <f t="shared" si="21"/>
        <v>100</v>
      </c>
      <c r="N69" s="1752"/>
      <c r="O69" s="1752"/>
      <c r="P69" s="1861"/>
      <c r="Q69" s="1745"/>
    </row>
    <row r="70" s="1166" customFormat="1" ht="14.55" spans="1:17">
      <c r="A70" s="1458"/>
      <c r="B70" s="1451">
        <f>B12</f>
        <v>111</v>
      </c>
      <c r="C70" s="1459"/>
      <c r="D70" s="1459"/>
      <c r="E70" s="1459"/>
      <c r="F70" s="1459"/>
      <c r="G70" s="1459"/>
      <c r="H70" s="1460"/>
      <c r="I70" s="1460"/>
      <c r="J70" s="1460"/>
      <c r="K70" s="1460"/>
      <c r="L70" s="1508"/>
      <c r="M70" s="1509"/>
      <c r="N70" s="1753"/>
      <c r="O70" s="1753"/>
      <c r="P70" s="1865"/>
      <c r="Q70" s="1756"/>
    </row>
    <row r="71" s="1166" customFormat="1" ht="14.55" spans="1:17">
      <c r="A71" s="1458"/>
      <c r="B71" s="1453"/>
      <c r="C71" s="1461"/>
      <c r="D71" s="1450"/>
      <c r="E71" s="1450"/>
      <c r="F71" s="1450"/>
      <c r="G71" s="1450"/>
      <c r="H71" s="1450"/>
      <c r="I71" s="1450"/>
      <c r="J71" s="1450"/>
      <c r="K71" s="1450"/>
      <c r="L71" s="1450"/>
      <c r="M71" s="1499"/>
      <c r="N71" s="1752"/>
      <c r="O71" s="1752"/>
      <c r="P71" s="1865"/>
      <c r="Q71" s="1756"/>
    </row>
    <row r="72" s="1166" customFormat="1" ht="14.55" spans="1:17">
      <c r="A72" s="1458"/>
      <c r="B72" s="1451">
        <f>B13</f>
        <v>111</v>
      </c>
      <c r="C72" s="1459"/>
      <c r="D72" s="1459"/>
      <c r="E72" s="1459"/>
      <c r="F72" s="1459"/>
      <c r="G72" s="1459"/>
      <c r="H72" s="1460"/>
      <c r="I72" s="1460"/>
      <c r="J72" s="1460"/>
      <c r="K72" s="1460"/>
      <c r="L72" s="1508"/>
      <c r="M72" s="1509"/>
      <c r="N72" s="1753"/>
      <c r="O72" s="1753"/>
      <c r="P72" s="1866"/>
      <c r="Q72" s="1762"/>
    </row>
    <row r="73" s="1166" customFormat="1" ht="14.55" spans="1:17">
      <c r="A73" s="1458"/>
      <c r="B73" s="1453"/>
      <c r="C73" s="1461"/>
      <c r="D73" s="1461"/>
      <c r="E73" s="1461"/>
      <c r="F73" s="1461"/>
      <c r="G73" s="1461"/>
      <c r="H73" s="1462"/>
      <c r="I73" s="1462"/>
      <c r="J73" s="1462"/>
      <c r="K73" s="1462"/>
      <c r="L73" s="1462"/>
      <c r="M73" s="1512"/>
      <c r="N73" s="1753"/>
      <c r="O73" s="1753"/>
      <c r="P73" s="1865"/>
      <c r="Q73" s="1756"/>
    </row>
    <row r="74" s="1166" customFormat="1" ht="14.55" spans="1:17">
      <c r="A74" s="1458"/>
      <c r="B74" s="1455">
        <f>B14</f>
        <v>111</v>
      </c>
      <c r="C74" s="1459"/>
      <c r="D74" s="1459"/>
      <c r="E74" s="1459"/>
      <c r="F74" s="1459"/>
      <c r="G74" s="1443"/>
      <c r="H74" s="1463"/>
      <c r="I74" s="1463"/>
      <c r="J74" s="1463"/>
      <c r="K74" s="1463"/>
      <c r="L74" s="1513"/>
      <c r="M74" s="1514"/>
      <c r="N74" s="1753"/>
      <c r="O74" s="1753"/>
      <c r="P74" s="1867"/>
      <c r="Q74" s="1756"/>
    </row>
    <row r="75" s="1166" customFormat="1" ht="14.55" spans="1:17">
      <c r="A75" s="1464"/>
      <c r="B75" s="1465"/>
      <c r="C75" s="1466"/>
      <c r="D75" s="1466"/>
      <c r="E75" s="1466"/>
      <c r="F75" s="1466"/>
      <c r="G75" s="1466"/>
      <c r="H75" s="1467"/>
      <c r="I75" s="1467"/>
      <c r="J75" s="1467"/>
      <c r="K75" s="1467"/>
      <c r="L75" s="1467"/>
      <c r="M75" s="1516"/>
      <c r="N75" s="1753"/>
      <c r="O75" s="1753"/>
      <c r="P75" s="1865"/>
      <c r="Q75" s="1756"/>
    </row>
    <row r="76" ht="14.4" spans="1:17">
      <c r="A76" s="1446" t="s">
        <v>1499</v>
      </c>
      <c r="B76" s="1447" t="s">
        <v>1500</v>
      </c>
      <c r="C76" s="1468" t="s">
        <v>1532</v>
      </c>
      <c r="D76" s="1468" t="s">
        <v>1533</v>
      </c>
      <c r="E76" s="1468" t="s">
        <v>1534</v>
      </c>
      <c r="F76" s="1468" t="s">
        <v>1535</v>
      </c>
      <c r="G76" s="1468" t="s">
        <v>1536</v>
      </c>
      <c r="H76" s="1469"/>
      <c r="I76" s="1469"/>
      <c r="J76" s="1469"/>
      <c r="K76" s="1517"/>
      <c r="L76" s="1518"/>
      <c r="M76" s="1519"/>
      <c r="N76" s="1750"/>
      <c r="O76" s="1750"/>
      <c r="P76" s="1868"/>
      <c r="Q76" s="1745"/>
    </row>
    <row r="77" ht="14.55" spans="1:17">
      <c r="A77" s="1448"/>
      <c r="B77" s="1453"/>
      <c r="C77" s="1454">
        <v>100</v>
      </c>
      <c r="D77" s="1454">
        <f>C77-$K15</f>
        <v>100</v>
      </c>
      <c r="E77" s="1454">
        <f>D77-$K15</f>
        <v>100</v>
      </c>
      <c r="F77" s="1454">
        <f>E77-$K15</f>
        <v>100</v>
      </c>
      <c r="G77" s="1454">
        <f>F77-$K15</f>
        <v>100</v>
      </c>
      <c r="H77" s="1454"/>
      <c r="I77" s="1454"/>
      <c r="J77" s="1454"/>
      <c r="K77" s="1454"/>
      <c r="L77" s="1454"/>
      <c r="M77" s="1504"/>
      <c r="N77" s="1752"/>
      <c r="O77" s="1752"/>
      <c r="P77" s="1861"/>
      <c r="Q77" s="1745"/>
    </row>
    <row r="78" ht="15.15" spans="1:17">
      <c r="A78" s="1448"/>
      <c r="B78" s="1451" t="s">
        <v>1502</v>
      </c>
      <c r="C78" s="1470" t="s">
        <v>1532</v>
      </c>
      <c r="D78" s="1470" t="s">
        <v>1533</v>
      </c>
      <c r="E78" s="1470" t="s">
        <v>1534</v>
      </c>
      <c r="F78" s="1470" t="s">
        <v>1535</v>
      </c>
      <c r="G78" s="1470" t="s">
        <v>1536</v>
      </c>
      <c r="H78" s="1452"/>
      <c r="I78" s="1452"/>
      <c r="J78" s="1452"/>
      <c r="K78" s="1501"/>
      <c r="L78" s="1502"/>
      <c r="M78" s="1503"/>
      <c r="N78" s="1750"/>
      <c r="O78" s="1750"/>
      <c r="P78" s="1861"/>
      <c r="Q78" s="1745"/>
    </row>
    <row r="79" ht="14.55" spans="1:17">
      <c r="A79" s="1448"/>
      <c r="B79" s="1453"/>
      <c r="C79" s="1454">
        <v>100</v>
      </c>
      <c r="D79" s="1454">
        <f>C79-$K17</f>
        <v>100</v>
      </c>
      <c r="E79" s="1454">
        <f>D79-$K17</f>
        <v>100</v>
      </c>
      <c r="F79" s="1454">
        <f>E79-$K17</f>
        <v>100</v>
      </c>
      <c r="G79" s="1454">
        <f>F79-$K17</f>
        <v>100</v>
      </c>
      <c r="H79" s="1454"/>
      <c r="I79" s="1454"/>
      <c r="J79" s="1454"/>
      <c r="K79" s="1454"/>
      <c r="L79" s="1454"/>
      <c r="M79" s="1504"/>
      <c r="N79" s="1752"/>
      <c r="O79" s="1752"/>
      <c r="P79" s="1861"/>
      <c r="Q79" s="1745"/>
    </row>
    <row r="80" ht="15.15" spans="1:17">
      <c r="A80" s="1448"/>
      <c r="B80" s="1451" t="s">
        <v>1503</v>
      </c>
      <c r="C80" s="1470" t="s">
        <v>1532</v>
      </c>
      <c r="D80" s="1470" t="s">
        <v>1533</v>
      </c>
      <c r="E80" s="1470" t="s">
        <v>1534</v>
      </c>
      <c r="F80" s="1470" t="s">
        <v>1535</v>
      </c>
      <c r="G80" s="1470" t="s">
        <v>1536</v>
      </c>
      <c r="H80" s="1452"/>
      <c r="I80" s="1452"/>
      <c r="J80" s="1452"/>
      <c r="K80" s="1501"/>
      <c r="L80" s="1502"/>
      <c r="M80" s="1503"/>
      <c r="N80" s="1750"/>
      <c r="O80" s="1750"/>
      <c r="P80" s="1861"/>
      <c r="Q80" s="1745"/>
    </row>
    <row r="81" ht="14.55" spans="1:17">
      <c r="A81" s="1448"/>
      <c r="B81" s="1453"/>
      <c r="C81" s="1454">
        <v>100</v>
      </c>
      <c r="D81" s="1454">
        <f>C81-$K19</f>
        <v>100</v>
      </c>
      <c r="E81" s="1454">
        <f>D81-$K19</f>
        <v>100</v>
      </c>
      <c r="F81" s="1454">
        <f>E81-$K19</f>
        <v>100</v>
      </c>
      <c r="G81" s="1454">
        <f>F81-$K19</f>
        <v>100</v>
      </c>
      <c r="H81" s="1454"/>
      <c r="I81" s="1454"/>
      <c r="J81" s="1454"/>
      <c r="K81" s="1454"/>
      <c r="L81" s="1454"/>
      <c r="M81" s="1504"/>
      <c r="N81" s="1752"/>
      <c r="O81" s="1752"/>
      <c r="P81" s="1861"/>
      <c r="Q81" s="1745"/>
    </row>
    <row r="82" ht="15.15" spans="1:17">
      <c r="A82" s="1448"/>
      <c r="B82" s="1455" t="s">
        <v>1504</v>
      </c>
      <c r="C82" s="1452" t="s">
        <v>1537</v>
      </c>
      <c r="D82" s="1452" t="s">
        <v>1538</v>
      </c>
      <c r="E82" s="1452" t="s">
        <v>1539</v>
      </c>
      <c r="F82" s="1452" t="s">
        <v>1540</v>
      </c>
      <c r="G82" s="1452" t="s">
        <v>1541</v>
      </c>
      <c r="H82" s="1452"/>
      <c r="I82" s="1452"/>
      <c r="J82" s="1452"/>
      <c r="K82" s="1452"/>
      <c r="L82" s="1452"/>
      <c r="M82" s="1653"/>
      <c r="N82" s="1752"/>
      <c r="O82" s="1752"/>
      <c r="P82" s="1861"/>
      <c r="Q82" s="1745"/>
    </row>
    <row r="83" ht="14.55" spans="1:17">
      <c r="A83" s="1448"/>
      <c r="B83" s="1455"/>
      <c r="C83" s="1475">
        <v>100</v>
      </c>
      <c r="D83" s="1475">
        <f>C83-$K21</f>
        <v>100</v>
      </c>
      <c r="E83" s="1475">
        <f t="shared" ref="E83:G83" si="22">D83-$K21</f>
        <v>100</v>
      </c>
      <c r="F83" s="1475">
        <f t="shared" si="22"/>
        <v>100</v>
      </c>
      <c r="G83" s="1475">
        <f t="shared" si="22"/>
        <v>100</v>
      </c>
      <c r="H83" s="1475"/>
      <c r="I83" s="1475"/>
      <c r="J83" s="1475"/>
      <c r="K83" s="1475"/>
      <c r="L83" s="1475"/>
      <c r="M83" s="1240"/>
      <c r="N83" s="1752"/>
      <c r="O83" s="1752"/>
      <c r="P83" s="1861"/>
      <c r="Q83" s="1745"/>
    </row>
    <row r="84" ht="15.15" spans="1:17">
      <c r="A84" s="1448"/>
      <c r="B84" s="1451" t="s">
        <v>1505</v>
      </c>
      <c r="C84" s="1470" t="s">
        <v>1532</v>
      </c>
      <c r="D84" s="1470" t="s">
        <v>1533</v>
      </c>
      <c r="E84" s="1470" t="s">
        <v>1534</v>
      </c>
      <c r="F84" s="1470" t="s">
        <v>1535</v>
      </c>
      <c r="G84" s="1470" t="s">
        <v>1536</v>
      </c>
      <c r="H84" s="1452"/>
      <c r="I84" s="1452"/>
      <c r="J84" s="1452"/>
      <c r="K84" s="1501"/>
      <c r="L84" s="1502"/>
      <c r="M84" s="1503"/>
      <c r="N84" s="1750"/>
      <c r="O84" s="1750"/>
      <c r="P84" s="1861"/>
      <c r="Q84" s="1745"/>
    </row>
    <row r="85" ht="14.55" spans="1:17">
      <c r="A85" s="1448"/>
      <c r="B85" s="1453"/>
      <c r="C85" s="1454">
        <v>100</v>
      </c>
      <c r="D85" s="1454">
        <f>C85-$K23</f>
        <v>100</v>
      </c>
      <c r="E85" s="1454">
        <f>D85-$K23</f>
        <v>100</v>
      </c>
      <c r="F85" s="1454">
        <f>E85-$K23</f>
        <v>100</v>
      </c>
      <c r="G85" s="1454">
        <f>F85-$K23</f>
        <v>100</v>
      </c>
      <c r="H85" s="1454"/>
      <c r="I85" s="1454"/>
      <c r="J85" s="1454"/>
      <c r="K85" s="1454"/>
      <c r="L85" s="1454"/>
      <c r="M85" s="1504"/>
      <c r="N85" s="1752"/>
      <c r="O85" s="1752"/>
      <c r="P85" s="1861"/>
      <c r="Q85" s="1745"/>
    </row>
    <row r="86" s="1164" customFormat="1" ht="15.15" spans="1:17">
      <c r="A86" s="1471"/>
      <c r="B86" s="1451" t="s">
        <v>1506</v>
      </c>
      <c r="C86" s="1459"/>
      <c r="D86" s="1459"/>
      <c r="E86" s="1459"/>
      <c r="F86" s="1459"/>
      <c r="G86" s="1459"/>
      <c r="H86" s="1459"/>
      <c r="I86" s="1459"/>
      <c r="J86" s="1459"/>
      <c r="K86" s="1459"/>
      <c r="L86" s="1654"/>
      <c r="M86" s="1655"/>
      <c r="N86" s="1748"/>
      <c r="O86" s="1748"/>
      <c r="P86" s="1861"/>
      <c r="Q86" s="1745"/>
    </row>
    <row r="87" s="1164" customFormat="1" ht="14.55" spans="1:17">
      <c r="A87" s="1471"/>
      <c r="B87" s="1453"/>
      <c r="C87" s="1472">
        <v>100</v>
      </c>
      <c r="D87" s="1454">
        <f t="shared" ref="D87:M87" si="23">$C$87-($C$86-D86)*$K$25</f>
        <v>100</v>
      </c>
      <c r="E87" s="1454">
        <f t="shared" si="23"/>
        <v>100</v>
      </c>
      <c r="F87" s="1454">
        <f t="shared" si="23"/>
        <v>100</v>
      </c>
      <c r="G87" s="1454">
        <f t="shared" si="23"/>
        <v>100</v>
      </c>
      <c r="H87" s="1454">
        <f t="shared" si="23"/>
        <v>100</v>
      </c>
      <c r="I87" s="1454">
        <f t="shared" si="23"/>
        <v>100</v>
      </c>
      <c r="J87" s="1454">
        <f t="shared" si="23"/>
        <v>100</v>
      </c>
      <c r="K87" s="1454">
        <f t="shared" si="23"/>
        <v>100</v>
      </c>
      <c r="L87" s="1454">
        <f t="shared" si="23"/>
        <v>100</v>
      </c>
      <c r="M87" s="1454">
        <f t="shared" si="23"/>
        <v>100</v>
      </c>
      <c r="N87" s="1752"/>
      <c r="O87" s="1752"/>
      <c r="P87" s="1861"/>
      <c r="Q87" s="1745"/>
    </row>
    <row r="88" s="1164" customFormat="1" ht="15.15" spans="1:17">
      <c r="A88" s="1471"/>
      <c r="B88" s="1451" t="s">
        <v>1507</v>
      </c>
      <c r="C88" s="1459"/>
      <c r="D88" s="1459"/>
      <c r="E88" s="1459"/>
      <c r="F88" s="1800"/>
      <c r="G88" s="1459"/>
      <c r="H88" s="1459"/>
      <c r="I88" s="1459"/>
      <c r="J88" s="1459"/>
      <c r="K88" s="1459"/>
      <c r="L88" s="1459"/>
      <c r="M88" s="1655"/>
      <c r="N88" s="1748"/>
      <c r="O88" s="1748"/>
      <c r="P88" s="1861"/>
      <c r="Q88" s="1745"/>
    </row>
    <row r="89" s="1164" customFormat="1" ht="14.55" spans="1:17">
      <c r="A89" s="1471"/>
      <c r="B89" s="1453"/>
      <c r="C89" s="1472">
        <v>100</v>
      </c>
      <c r="D89" s="1454">
        <f t="shared" ref="D89:M89" si="24">C89-$K26</f>
        <v>100</v>
      </c>
      <c r="E89" s="1454">
        <f t="shared" si="24"/>
        <v>100</v>
      </c>
      <c r="F89" s="1454">
        <f t="shared" si="24"/>
        <v>100</v>
      </c>
      <c r="G89" s="1454">
        <f t="shared" si="24"/>
        <v>100</v>
      </c>
      <c r="H89" s="1454">
        <f t="shared" si="24"/>
        <v>100</v>
      </c>
      <c r="I89" s="1454">
        <f t="shared" si="24"/>
        <v>100</v>
      </c>
      <c r="J89" s="1454">
        <f t="shared" si="24"/>
        <v>100</v>
      </c>
      <c r="K89" s="1454">
        <f t="shared" si="24"/>
        <v>100</v>
      </c>
      <c r="L89" s="1454">
        <f t="shared" si="24"/>
        <v>100</v>
      </c>
      <c r="M89" s="1454">
        <f t="shared" si="24"/>
        <v>100</v>
      </c>
      <c r="N89" s="1752"/>
      <c r="O89" s="1752"/>
      <c r="P89" s="1861"/>
      <c r="Q89" s="1745"/>
    </row>
    <row r="90" s="1166" customFormat="1" ht="14.55" spans="1:17">
      <c r="A90" s="1458"/>
      <c r="B90" s="1451">
        <f>B27</f>
        <v>111</v>
      </c>
      <c r="C90" s="1459"/>
      <c r="D90" s="1459"/>
      <c r="E90" s="1459"/>
      <c r="F90" s="1459"/>
      <c r="G90" s="1459"/>
      <c r="H90" s="1460"/>
      <c r="I90" s="1460"/>
      <c r="J90" s="1460"/>
      <c r="K90" s="1460"/>
      <c r="L90" s="1508"/>
      <c r="M90" s="1509"/>
      <c r="N90" s="1753"/>
      <c r="O90" s="1753"/>
      <c r="P90" s="1865"/>
      <c r="Q90" s="1756"/>
    </row>
    <row r="91" s="1166" customFormat="1" ht="14.55" spans="1:17">
      <c r="A91" s="1458"/>
      <c r="B91" s="1453"/>
      <c r="C91" s="1461"/>
      <c r="D91" s="1461"/>
      <c r="E91" s="1461"/>
      <c r="F91" s="1461"/>
      <c r="G91" s="1461"/>
      <c r="H91" s="1462"/>
      <c r="I91" s="1462"/>
      <c r="J91" s="1462"/>
      <c r="K91" s="1462"/>
      <c r="L91" s="1462"/>
      <c r="M91" s="1512"/>
      <c r="N91" s="1753"/>
      <c r="O91" s="1753"/>
      <c r="P91" s="1865"/>
      <c r="Q91" s="1756"/>
    </row>
    <row r="92" ht="14.55" spans="1:17">
      <c r="A92" s="1448"/>
      <c r="B92" s="1451">
        <f>B28</f>
        <v>111</v>
      </c>
      <c r="C92" s="1459"/>
      <c r="D92" s="1459"/>
      <c r="E92" s="1459"/>
      <c r="F92" s="1459"/>
      <c r="G92" s="1476"/>
      <c r="H92" s="1476"/>
      <c r="I92" s="1476"/>
      <c r="J92" s="1476"/>
      <c r="K92" s="1527"/>
      <c r="L92" s="1528"/>
      <c r="M92" s="1529"/>
      <c r="N92" s="1750"/>
      <c r="O92" s="1750"/>
      <c r="P92" s="1861"/>
      <c r="Q92" s="1745"/>
    </row>
    <row r="93" ht="14.55" spans="1:17">
      <c r="A93" s="1448"/>
      <c r="B93" s="1453"/>
      <c r="C93" s="1461"/>
      <c r="D93" s="1450"/>
      <c r="E93" s="1450"/>
      <c r="F93" s="1450"/>
      <c r="G93" s="1450"/>
      <c r="H93" s="1450"/>
      <c r="I93" s="1450"/>
      <c r="J93" s="1450"/>
      <c r="K93" s="1450"/>
      <c r="L93" s="1450"/>
      <c r="M93" s="1499"/>
      <c r="N93" s="1752"/>
      <c r="O93" s="1752"/>
      <c r="P93" s="1861"/>
      <c r="Q93" s="1745"/>
    </row>
    <row r="94" ht="14.55" spans="1:17">
      <c r="A94" s="1448"/>
      <c r="B94" s="1451">
        <f>B29</f>
        <v>111</v>
      </c>
      <c r="C94" s="1459"/>
      <c r="D94" s="1459"/>
      <c r="E94" s="1459"/>
      <c r="F94" s="1459"/>
      <c r="G94" s="1476"/>
      <c r="H94" s="1476"/>
      <c r="I94" s="1476"/>
      <c r="J94" s="1476"/>
      <c r="K94" s="1527"/>
      <c r="L94" s="1528"/>
      <c r="M94" s="1529"/>
      <c r="N94" s="1750"/>
      <c r="O94" s="1750"/>
      <c r="P94" s="1861"/>
      <c r="Q94" s="1745"/>
    </row>
    <row r="95" ht="14.55" spans="1:17">
      <c r="A95" s="1448"/>
      <c r="B95" s="1453"/>
      <c r="C95" s="1461"/>
      <c r="D95" s="1461"/>
      <c r="E95" s="1461"/>
      <c r="F95" s="1461"/>
      <c r="G95" s="1450"/>
      <c r="H95" s="1450"/>
      <c r="I95" s="1450"/>
      <c r="J95" s="1450"/>
      <c r="K95" s="1450"/>
      <c r="L95" s="1450"/>
      <c r="M95" s="1499"/>
      <c r="N95" s="1752"/>
      <c r="O95" s="1752"/>
      <c r="P95" s="1861"/>
      <c r="Q95" s="1745"/>
    </row>
    <row r="96" ht="14.55" spans="1:17">
      <c r="A96" s="1448"/>
      <c r="B96" s="1451">
        <f>B30</f>
        <v>111</v>
      </c>
      <c r="C96" s="1459"/>
      <c r="D96" s="1459"/>
      <c r="E96" s="1459"/>
      <c r="F96" s="1459"/>
      <c r="G96" s="1476"/>
      <c r="H96" s="1476"/>
      <c r="I96" s="1476"/>
      <c r="J96" s="1476"/>
      <c r="K96" s="1527"/>
      <c r="L96" s="1528"/>
      <c r="M96" s="1529"/>
      <c r="N96" s="1750"/>
      <c r="O96" s="1750"/>
      <c r="P96" s="1861"/>
      <c r="Q96" s="1745"/>
    </row>
    <row r="97" ht="14.55" spans="1:17">
      <c r="A97" s="1448"/>
      <c r="B97" s="1453"/>
      <c r="C97" s="1466"/>
      <c r="D97" s="1466"/>
      <c r="E97" s="1466"/>
      <c r="F97" s="1466"/>
      <c r="G97" s="1450"/>
      <c r="H97" s="1450"/>
      <c r="I97" s="1450"/>
      <c r="J97" s="1450"/>
      <c r="K97" s="1450"/>
      <c r="L97" s="1450"/>
      <c r="M97" s="1499"/>
      <c r="N97" s="1752"/>
      <c r="O97" s="1752"/>
      <c r="P97" s="1861"/>
      <c r="Q97" s="1745"/>
    </row>
    <row r="98" ht="14.55" spans="1:17">
      <c r="A98" s="1448"/>
      <c r="B98" s="1455">
        <f>B31</f>
        <v>111</v>
      </c>
      <c r="C98" s="1477"/>
      <c r="D98" s="1477"/>
      <c r="E98" s="1477"/>
      <c r="F98" s="1477"/>
      <c r="G98" s="1477"/>
      <c r="H98" s="1477"/>
      <c r="I98" s="1477"/>
      <c r="J98" s="1477"/>
      <c r="K98" s="1530"/>
      <c r="L98" s="1531"/>
      <c r="M98" s="1532"/>
      <c r="N98" s="1750"/>
      <c r="O98" s="1750"/>
      <c r="P98" s="1861"/>
      <c r="Q98" s="1745"/>
    </row>
    <row r="99" ht="14.55" spans="1:17">
      <c r="A99" s="1757"/>
      <c r="B99" s="1465"/>
      <c r="C99" s="1478"/>
      <c r="D99" s="1478"/>
      <c r="E99" s="1478"/>
      <c r="F99" s="1478"/>
      <c r="G99" s="1478"/>
      <c r="H99" s="1478"/>
      <c r="I99" s="1478"/>
      <c r="J99" s="1478"/>
      <c r="K99" s="1478"/>
      <c r="L99" s="1478"/>
      <c r="M99" s="1533"/>
      <c r="N99" s="1752"/>
      <c r="O99" s="1752"/>
      <c r="P99" s="1861"/>
      <c r="Q99" s="1745"/>
    </row>
    <row r="100" ht="14.4" spans="1:17">
      <c r="A100" s="1446" t="s">
        <v>1508</v>
      </c>
      <c r="B100" s="1447" t="s">
        <v>1509</v>
      </c>
      <c r="C100" s="1374"/>
      <c r="D100" s="1374"/>
      <c r="E100" s="1374"/>
      <c r="F100" s="1374"/>
      <c r="G100" s="1374"/>
      <c r="H100" s="1374"/>
      <c r="I100" s="1374"/>
      <c r="J100" s="1374"/>
      <c r="K100" s="1494"/>
      <c r="L100" s="1495"/>
      <c r="M100" s="1496"/>
      <c r="N100" s="1750"/>
      <c r="O100" s="1750"/>
      <c r="P100" s="1861"/>
      <c r="Q100" s="1745"/>
    </row>
    <row r="101" ht="14.55" spans="1:17">
      <c r="A101" s="1448"/>
      <c r="B101" s="1453"/>
      <c r="C101" s="1454">
        <v>100</v>
      </c>
      <c r="D101" s="1454">
        <f t="shared" ref="D101:M101" si="25">C101-$K32</f>
        <v>100</v>
      </c>
      <c r="E101" s="1454">
        <f t="shared" si="25"/>
        <v>100</v>
      </c>
      <c r="F101" s="1454">
        <f t="shared" si="25"/>
        <v>100</v>
      </c>
      <c r="G101" s="1454">
        <f t="shared" si="25"/>
        <v>100</v>
      </c>
      <c r="H101" s="1454">
        <f t="shared" si="25"/>
        <v>100</v>
      </c>
      <c r="I101" s="1454">
        <f t="shared" si="25"/>
        <v>100</v>
      </c>
      <c r="J101" s="1454">
        <f t="shared" si="25"/>
        <v>100</v>
      </c>
      <c r="K101" s="1454">
        <f t="shared" si="25"/>
        <v>100</v>
      </c>
      <c r="L101" s="1454">
        <f t="shared" si="25"/>
        <v>100</v>
      </c>
      <c r="M101" s="1454">
        <f t="shared" si="25"/>
        <v>100</v>
      </c>
      <c r="N101" s="1752"/>
      <c r="O101" s="1752"/>
      <c r="P101" s="1861"/>
      <c r="Q101" s="1745"/>
    </row>
    <row r="102" ht="15.15" spans="1:17">
      <c r="A102" s="1448"/>
      <c r="B102" s="1451" t="s">
        <v>1511</v>
      </c>
      <c r="C102" s="1470" t="str">
        <f>C103&amp;"(含)"&amp;"-"&amp;D103</f>
        <v>(含)-</v>
      </c>
      <c r="D102" s="1470" t="str">
        <f t="shared" ref="D102:L102" si="26">D103&amp;"(含)"&amp;"-"&amp;E103</f>
        <v>(含)-</v>
      </c>
      <c r="E102" s="1470" t="str">
        <f t="shared" si="26"/>
        <v>(含)-</v>
      </c>
      <c r="F102" s="1470" t="str">
        <f t="shared" si="26"/>
        <v>(含)-</v>
      </c>
      <c r="G102" s="1470" t="str">
        <f t="shared" si="26"/>
        <v>(含)-</v>
      </c>
      <c r="H102" s="1470" t="str">
        <f t="shared" si="26"/>
        <v>(含)-</v>
      </c>
      <c r="I102" s="1470" t="str">
        <f t="shared" si="26"/>
        <v>(含)-</v>
      </c>
      <c r="J102" s="1470" t="str">
        <f t="shared" si="26"/>
        <v>(含)-</v>
      </c>
      <c r="K102" s="1470" t="str">
        <f t="shared" si="26"/>
        <v>(含)-</v>
      </c>
      <c r="L102" s="1470" t="str">
        <f t="shared" si="26"/>
        <v>(含)-</v>
      </c>
      <c r="M102" s="1470" t="str">
        <f>M103&amp;"(含)"&amp;"-"&amp;P103</f>
        <v>(含)-</v>
      </c>
      <c r="N102" s="1748"/>
      <c r="O102" s="1748"/>
      <c r="P102" s="1861"/>
      <c r="Q102" s="1745"/>
    </row>
    <row r="103" s="1166" customFormat="1" spans="1:17">
      <c r="A103" s="1479"/>
      <c r="B103" s="1480"/>
      <c r="C103" s="1435"/>
      <c r="D103" s="1435"/>
      <c r="E103" s="1435"/>
      <c r="F103" s="1435"/>
      <c r="G103" s="1435"/>
      <c r="H103" s="1435"/>
      <c r="I103" s="1435"/>
      <c r="J103" s="1534"/>
      <c r="K103" s="1534"/>
      <c r="L103" s="1535"/>
      <c r="M103" s="1536"/>
      <c r="N103" s="1753"/>
      <c r="O103" s="1753"/>
      <c r="P103" s="1865"/>
      <c r="Q103" s="1756"/>
    </row>
    <row r="104" s="1166" customFormat="1" ht="14.55" spans="1:17">
      <c r="A104" s="1458"/>
      <c r="B104" s="1453"/>
      <c r="C104" s="1461"/>
      <c r="D104" s="1450"/>
      <c r="E104" s="1450"/>
      <c r="F104" s="1450"/>
      <c r="G104" s="1450"/>
      <c r="H104" s="1450"/>
      <c r="I104" s="1450"/>
      <c r="J104" s="1450"/>
      <c r="K104" s="1450"/>
      <c r="L104" s="1450"/>
      <c r="M104" s="1450"/>
      <c r="N104" s="1752"/>
      <c r="O104" s="1752"/>
      <c r="P104" s="1865"/>
      <c r="Q104" s="1756"/>
    </row>
    <row r="105" ht="15.15" spans="1:17">
      <c r="A105" s="1482"/>
      <c r="B105" s="1451" t="s">
        <v>1512</v>
      </c>
      <c r="C105" s="1459"/>
      <c r="D105" s="1459"/>
      <c r="E105" s="1476"/>
      <c r="F105" s="1476"/>
      <c r="G105" s="1476"/>
      <c r="H105" s="1476"/>
      <c r="I105" s="1476"/>
      <c r="J105" s="1476"/>
      <c r="K105" s="1527"/>
      <c r="L105" s="1528"/>
      <c r="M105" s="1529"/>
      <c r="N105" s="1750"/>
      <c r="O105" s="1750"/>
      <c r="P105" s="1861"/>
      <c r="Q105" s="1745"/>
    </row>
    <row r="106" ht="14.55" spans="1:17">
      <c r="A106" s="1448"/>
      <c r="B106" s="1453"/>
      <c r="C106" s="1454">
        <v>100</v>
      </c>
      <c r="D106" s="1454">
        <f t="shared" ref="D106:M106" si="27">C106-$K34</f>
        <v>100</v>
      </c>
      <c r="E106" s="1454">
        <f t="shared" si="27"/>
        <v>100</v>
      </c>
      <c r="F106" s="1454">
        <f t="shared" si="27"/>
        <v>100</v>
      </c>
      <c r="G106" s="1454">
        <f t="shared" si="27"/>
        <v>100</v>
      </c>
      <c r="H106" s="1454">
        <f t="shared" si="27"/>
        <v>100</v>
      </c>
      <c r="I106" s="1454">
        <f t="shared" si="27"/>
        <v>100</v>
      </c>
      <c r="J106" s="1454">
        <f t="shared" si="27"/>
        <v>100</v>
      </c>
      <c r="K106" s="1454">
        <f t="shared" si="27"/>
        <v>100</v>
      </c>
      <c r="L106" s="1454">
        <f t="shared" si="27"/>
        <v>100</v>
      </c>
      <c r="M106" s="1454">
        <f t="shared" si="27"/>
        <v>100</v>
      </c>
      <c r="N106" s="1752"/>
      <c r="O106" s="1752"/>
      <c r="P106" s="1861"/>
      <c r="Q106" s="1745"/>
    </row>
    <row r="107" ht="15.15" spans="1:17">
      <c r="A107" s="1482"/>
      <c r="B107" s="1451" t="s">
        <v>1513</v>
      </c>
      <c r="C107" s="1476"/>
      <c r="D107" s="1476"/>
      <c r="E107" s="1476"/>
      <c r="F107" s="1476"/>
      <c r="G107" s="1476"/>
      <c r="H107" s="1476"/>
      <c r="I107" s="1476"/>
      <c r="J107" s="1476"/>
      <c r="K107" s="1527"/>
      <c r="L107" s="1528"/>
      <c r="M107" s="1529"/>
      <c r="N107" s="1750"/>
      <c r="O107" s="1750"/>
      <c r="P107" s="1861"/>
      <c r="Q107" s="1745"/>
    </row>
    <row r="108" ht="14.55" spans="1:17">
      <c r="A108" s="1448"/>
      <c r="B108" s="1453"/>
      <c r="C108" s="1454">
        <v>100</v>
      </c>
      <c r="D108" s="1454">
        <f t="shared" ref="D108:M108" si="28">C108-$K35</f>
        <v>100</v>
      </c>
      <c r="E108" s="1454">
        <f t="shared" si="28"/>
        <v>100</v>
      </c>
      <c r="F108" s="1454">
        <f t="shared" si="28"/>
        <v>100</v>
      </c>
      <c r="G108" s="1454">
        <f t="shared" si="28"/>
        <v>100</v>
      </c>
      <c r="H108" s="1454">
        <f t="shared" si="28"/>
        <v>100</v>
      </c>
      <c r="I108" s="1454">
        <f t="shared" si="28"/>
        <v>100</v>
      </c>
      <c r="J108" s="1454">
        <f t="shared" si="28"/>
        <v>100</v>
      </c>
      <c r="K108" s="1454">
        <f t="shared" si="28"/>
        <v>100</v>
      </c>
      <c r="L108" s="1454">
        <f t="shared" si="28"/>
        <v>100</v>
      </c>
      <c r="M108" s="1454">
        <f t="shared" si="28"/>
        <v>100</v>
      </c>
      <c r="N108" s="1752"/>
      <c r="O108" s="1752"/>
      <c r="P108" s="1861"/>
      <c r="Q108" s="1745"/>
    </row>
    <row r="109" ht="15.15" spans="1:17">
      <c r="A109" s="1482"/>
      <c r="B109" s="1451" t="s">
        <v>1514</v>
      </c>
      <c r="C109" s="1459"/>
      <c r="D109" s="1459"/>
      <c r="E109" s="1459"/>
      <c r="F109" s="1476"/>
      <c r="G109" s="1476"/>
      <c r="H109" s="1476"/>
      <c r="I109" s="1476"/>
      <c r="J109" s="1476"/>
      <c r="K109" s="1527"/>
      <c r="L109" s="1528"/>
      <c r="M109" s="1529"/>
      <c r="N109" s="1750"/>
      <c r="O109" s="1750"/>
      <c r="P109" s="1861"/>
      <c r="Q109" s="1745"/>
    </row>
    <row r="110" ht="14.55" spans="1:17">
      <c r="A110" s="1448"/>
      <c r="B110" s="1453"/>
      <c r="C110" s="1454">
        <v>100</v>
      </c>
      <c r="D110" s="1454">
        <f t="shared" ref="D110:M110" si="29">C110-$K36</f>
        <v>100</v>
      </c>
      <c r="E110" s="1454">
        <f t="shared" si="29"/>
        <v>100</v>
      </c>
      <c r="F110" s="1454">
        <f t="shared" si="29"/>
        <v>100</v>
      </c>
      <c r="G110" s="1454">
        <f t="shared" si="29"/>
        <v>100</v>
      </c>
      <c r="H110" s="1454">
        <f t="shared" si="29"/>
        <v>100</v>
      </c>
      <c r="I110" s="1454">
        <f t="shared" si="29"/>
        <v>100</v>
      </c>
      <c r="J110" s="1454">
        <f t="shared" si="29"/>
        <v>100</v>
      </c>
      <c r="K110" s="1454">
        <f t="shared" si="29"/>
        <v>100</v>
      </c>
      <c r="L110" s="1454">
        <f t="shared" si="29"/>
        <v>100</v>
      </c>
      <c r="M110" s="1454">
        <f t="shared" si="29"/>
        <v>100</v>
      </c>
      <c r="N110" s="1752"/>
      <c r="O110" s="1752"/>
      <c r="P110" s="1861"/>
      <c r="Q110" s="1745"/>
    </row>
    <row r="111" s="1166" customFormat="1" ht="15.15" spans="1:17">
      <c r="A111" s="1479"/>
      <c r="B111" s="1451" t="s">
        <v>636</v>
      </c>
      <c r="C111" s="1470" t="str">
        <f>C112&amp;"(含)"&amp;"-"&amp;D112</f>
        <v>0.5(含)-0.6</v>
      </c>
      <c r="D111" s="1470" t="str">
        <f>D112&amp;"(含)"&amp;"-"&amp;E112</f>
        <v>0.6(含)-0.7</v>
      </c>
      <c r="E111" s="1470" t="str">
        <f>E112&amp;"(含)"&amp;"-"&amp;F112</f>
        <v>0.7(含)-0.8</v>
      </c>
      <c r="F111" s="1470" t="str">
        <f>F112&amp;"(含)"&amp;"-"&amp;G112</f>
        <v>0.8(含)-0.9</v>
      </c>
      <c r="G111" s="1470" t="str">
        <f>G112&amp;"(含)"&amp;"-"&amp;ROUND(H112,0)&amp;"(含)"</f>
        <v>0.9(含)-1(含)</v>
      </c>
      <c r="H111" s="1470" t="str">
        <f>ROUND(H112,0)&amp;"(含)"&amp;"-"&amp;I112</f>
        <v>1(含)-</v>
      </c>
      <c r="I111" s="1470"/>
      <c r="J111" s="1473"/>
      <c r="K111" s="1473"/>
      <c r="L111" s="1523"/>
      <c r="M111" s="1524"/>
      <c r="N111" s="1753"/>
      <c r="O111" s="1753"/>
      <c r="P111" s="1865"/>
      <c r="Q111" s="1756"/>
    </row>
    <row r="112" s="1166" customFormat="1" spans="1:17">
      <c r="A112" s="1479"/>
      <c r="B112" s="1455"/>
      <c r="C112" s="928">
        <v>0.5</v>
      </c>
      <c r="D112" s="928">
        <v>0.6</v>
      </c>
      <c r="E112" s="928">
        <v>0.7</v>
      </c>
      <c r="F112" s="928">
        <v>0.8</v>
      </c>
      <c r="G112" s="928">
        <v>0.9</v>
      </c>
      <c r="H112" s="928">
        <v>1.0001</v>
      </c>
      <c r="I112" s="928"/>
      <c r="J112" s="1869"/>
      <c r="K112" s="1869"/>
      <c r="L112" s="1870"/>
      <c r="M112" s="1871"/>
      <c r="N112" s="1753"/>
      <c r="O112" s="1753"/>
      <c r="P112" s="1865"/>
      <c r="Q112" s="1756"/>
    </row>
    <row r="113" s="1166" customFormat="1" ht="14.55" spans="1:17">
      <c r="A113" s="1458"/>
      <c r="B113" s="1453"/>
      <c r="C113" s="1472">
        <v>100</v>
      </c>
      <c r="D113" s="1454">
        <f>C113+$K37</f>
        <v>100</v>
      </c>
      <c r="E113" s="1454">
        <f>D113+$K37</f>
        <v>100</v>
      </c>
      <c r="F113" s="1454">
        <f>E113+$K37</f>
        <v>100</v>
      </c>
      <c r="G113" s="1454">
        <f>F113+$K37</f>
        <v>100</v>
      </c>
      <c r="H113" s="1454">
        <f>G113+$K37</f>
        <v>100</v>
      </c>
      <c r="I113" s="1472"/>
      <c r="J113" s="1474"/>
      <c r="K113" s="1474"/>
      <c r="L113" s="1474"/>
      <c r="M113" s="1525"/>
      <c r="N113" s="1753"/>
      <c r="O113" s="1753"/>
      <c r="P113" s="1865"/>
      <c r="Q113" s="1756"/>
    </row>
    <row r="114" ht="15.15" spans="1:17">
      <c r="A114" s="1482"/>
      <c r="B114" s="1451" t="s">
        <v>1515</v>
      </c>
      <c r="C114" s="1459"/>
      <c r="D114" s="1459"/>
      <c r="E114" s="1476"/>
      <c r="F114" s="1476"/>
      <c r="G114" s="1476"/>
      <c r="H114" s="1476"/>
      <c r="I114" s="1476"/>
      <c r="J114" s="1476"/>
      <c r="K114" s="1527"/>
      <c r="L114" s="1528"/>
      <c r="M114" s="1529"/>
      <c r="N114" s="1750"/>
      <c r="O114" s="1750"/>
      <c r="P114" s="1861"/>
      <c r="Q114" s="1745"/>
    </row>
    <row r="115" ht="14.55" spans="1:17">
      <c r="A115" s="1448"/>
      <c r="B115" s="1453"/>
      <c r="C115" s="1454">
        <v>100</v>
      </c>
      <c r="D115" s="1454">
        <f t="shared" ref="D115:M115" si="30">C115-$K38</f>
        <v>100</v>
      </c>
      <c r="E115" s="1454">
        <f t="shared" si="30"/>
        <v>100</v>
      </c>
      <c r="F115" s="1454">
        <f t="shared" si="30"/>
        <v>100</v>
      </c>
      <c r="G115" s="1454">
        <f t="shared" si="30"/>
        <v>100</v>
      </c>
      <c r="H115" s="1454">
        <f t="shared" si="30"/>
        <v>100</v>
      </c>
      <c r="I115" s="1454">
        <f t="shared" si="30"/>
        <v>100</v>
      </c>
      <c r="J115" s="1454">
        <f t="shared" si="30"/>
        <v>100</v>
      </c>
      <c r="K115" s="1454">
        <f t="shared" si="30"/>
        <v>100</v>
      </c>
      <c r="L115" s="1454">
        <f t="shared" si="30"/>
        <v>100</v>
      </c>
      <c r="M115" s="1454">
        <f t="shared" si="30"/>
        <v>100</v>
      </c>
      <c r="N115" s="1752"/>
      <c r="O115" s="1752"/>
      <c r="P115" s="1861"/>
      <c r="Q115" s="1745"/>
    </row>
    <row r="116" ht="15.15" spans="1:17">
      <c r="A116" s="1482"/>
      <c r="B116" s="1451" t="s">
        <v>1516</v>
      </c>
      <c r="C116" s="1459"/>
      <c r="D116" s="1459"/>
      <c r="E116" s="1459"/>
      <c r="F116" s="1459"/>
      <c r="G116" s="1459"/>
      <c r="H116" s="1476"/>
      <c r="I116" s="1476"/>
      <c r="J116" s="1476"/>
      <c r="K116" s="1527"/>
      <c r="L116" s="1528"/>
      <c r="M116" s="1529"/>
      <c r="N116" s="1750"/>
      <c r="O116" s="1750"/>
      <c r="P116" s="1861"/>
      <c r="Q116" s="1745"/>
    </row>
    <row r="117" ht="14.55" spans="1:17">
      <c r="A117" s="1448"/>
      <c r="B117" s="1453"/>
      <c r="C117" s="1454">
        <v>100</v>
      </c>
      <c r="D117" s="1454">
        <f>C117-$K39</f>
        <v>100</v>
      </c>
      <c r="E117" s="1454">
        <f>D117-$K39</f>
        <v>100</v>
      </c>
      <c r="F117" s="1454">
        <f>E117-$K39</f>
        <v>100</v>
      </c>
      <c r="G117" s="1454">
        <f>F117-$K39</f>
        <v>100</v>
      </c>
      <c r="H117" s="1454"/>
      <c r="I117" s="1454"/>
      <c r="J117" s="1454"/>
      <c r="K117" s="1454"/>
      <c r="L117" s="1454"/>
      <c r="M117" s="1504"/>
      <c r="N117" s="1752"/>
      <c r="O117" s="1752"/>
      <c r="P117" s="1861"/>
      <c r="Q117" s="1745"/>
    </row>
    <row r="118" ht="15.15" spans="1:17">
      <c r="A118" s="1482"/>
      <c r="B118" s="1451" t="s">
        <v>1517</v>
      </c>
      <c r="C118" s="1476"/>
      <c r="D118" s="1476"/>
      <c r="E118" s="1476"/>
      <c r="F118" s="1476"/>
      <c r="G118" s="1476"/>
      <c r="H118" s="1476"/>
      <c r="I118" s="1476"/>
      <c r="J118" s="1476"/>
      <c r="K118" s="1527"/>
      <c r="L118" s="1528"/>
      <c r="M118" s="1529"/>
      <c r="N118" s="1750"/>
      <c r="O118" s="1750"/>
      <c r="P118" s="1861"/>
      <c r="Q118" s="1745"/>
    </row>
    <row r="119" ht="14.55" spans="1:17">
      <c r="A119" s="1448"/>
      <c r="B119" s="1453"/>
      <c r="C119" s="1454">
        <v>100</v>
      </c>
      <c r="D119" s="1454">
        <f t="shared" ref="D119:M119" si="31">C119-$K40</f>
        <v>100</v>
      </c>
      <c r="E119" s="1454">
        <f t="shared" si="31"/>
        <v>100</v>
      </c>
      <c r="F119" s="1454">
        <f t="shared" si="31"/>
        <v>100</v>
      </c>
      <c r="G119" s="1454">
        <f t="shared" si="31"/>
        <v>100</v>
      </c>
      <c r="H119" s="1454">
        <f t="shared" si="31"/>
        <v>100</v>
      </c>
      <c r="I119" s="1454">
        <f t="shared" si="31"/>
        <v>100</v>
      </c>
      <c r="J119" s="1454">
        <f t="shared" si="31"/>
        <v>100</v>
      </c>
      <c r="K119" s="1454">
        <f t="shared" si="31"/>
        <v>100</v>
      </c>
      <c r="L119" s="1454">
        <f t="shared" si="31"/>
        <v>100</v>
      </c>
      <c r="M119" s="1454">
        <f t="shared" si="31"/>
        <v>100</v>
      </c>
      <c r="N119" s="1752"/>
      <c r="O119" s="1752"/>
      <c r="P119" s="1861"/>
      <c r="Q119" s="1745"/>
    </row>
    <row r="120" s="1166" customFormat="1" ht="29.55" spans="1:17">
      <c r="A120" s="1479"/>
      <c r="B120" s="1451" t="s">
        <v>1518</v>
      </c>
      <c r="C120" s="1459"/>
      <c r="D120" s="1459"/>
      <c r="E120" s="1459"/>
      <c r="F120" s="1459"/>
      <c r="G120" s="1459"/>
      <c r="H120" s="1459"/>
      <c r="I120" s="1459"/>
      <c r="J120" s="1459"/>
      <c r="K120" s="1459"/>
      <c r="L120" s="1654"/>
      <c r="M120" s="1655"/>
      <c r="N120" s="1753"/>
      <c r="O120" s="1753"/>
      <c r="P120" s="1865"/>
      <c r="Q120" s="1756"/>
    </row>
    <row r="121" s="1166" customFormat="1" ht="14.55" spans="1:17">
      <c r="A121" s="1458"/>
      <c r="B121" s="1449"/>
      <c r="C121" s="1461"/>
      <c r="D121" s="1450"/>
      <c r="E121" s="1450"/>
      <c r="F121" s="1450"/>
      <c r="G121" s="1450"/>
      <c r="H121" s="1450"/>
      <c r="I121" s="1450"/>
      <c r="J121" s="1450"/>
      <c r="K121" s="1450"/>
      <c r="L121" s="1450"/>
      <c r="M121" s="1450"/>
      <c r="N121" s="1753"/>
      <c r="O121" s="1753"/>
      <c r="P121" s="1865"/>
      <c r="Q121" s="1756"/>
    </row>
    <row r="122" ht="15.15" spans="1:17">
      <c r="A122" s="1482"/>
      <c r="B122" s="1451" t="s">
        <v>1519</v>
      </c>
      <c r="C122" s="1459"/>
      <c r="D122" s="1459"/>
      <c r="E122" s="1459"/>
      <c r="F122" s="1476"/>
      <c r="G122" s="1476"/>
      <c r="H122" s="1476"/>
      <c r="I122" s="1476"/>
      <c r="J122" s="1476"/>
      <c r="K122" s="1527"/>
      <c r="L122" s="1528"/>
      <c r="M122" s="1529"/>
      <c r="N122" s="1750"/>
      <c r="O122" s="1750"/>
      <c r="P122" s="1861"/>
      <c r="Q122" s="1745"/>
    </row>
    <row r="123" ht="14.55" spans="1:17">
      <c r="A123" s="1448"/>
      <c r="B123" s="1453"/>
      <c r="C123" s="1454">
        <v>100</v>
      </c>
      <c r="D123" s="1454">
        <f t="shared" ref="D123:M123" si="32">C123-$K42</f>
        <v>100</v>
      </c>
      <c r="E123" s="1454">
        <f t="shared" si="32"/>
        <v>100</v>
      </c>
      <c r="F123" s="1454">
        <f t="shared" si="32"/>
        <v>100</v>
      </c>
      <c r="G123" s="1454">
        <f t="shared" si="32"/>
        <v>100</v>
      </c>
      <c r="H123" s="1454">
        <f t="shared" si="32"/>
        <v>100</v>
      </c>
      <c r="I123" s="1454">
        <f t="shared" si="32"/>
        <v>100</v>
      </c>
      <c r="J123" s="1454">
        <f t="shared" si="32"/>
        <v>100</v>
      </c>
      <c r="K123" s="1454">
        <f t="shared" si="32"/>
        <v>100</v>
      </c>
      <c r="L123" s="1454">
        <f t="shared" si="32"/>
        <v>100</v>
      </c>
      <c r="M123" s="1454">
        <f t="shared" si="32"/>
        <v>100</v>
      </c>
      <c r="N123" s="1752"/>
      <c r="O123" s="1752"/>
      <c r="P123" s="1861"/>
      <c r="Q123" s="1745"/>
    </row>
    <row r="124" ht="29.55" spans="1:17">
      <c r="A124" s="1482"/>
      <c r="B124" s="1451" t="s">
        <v>1520</v>
      </c>
      <c r="C124" s="1470" t="s">
        <v>1532</v>
      </c>
      <c r="D124" s="1470" t="s">
        <v>1533</v>
      </c>
      <c r="E124" s="1470" t="s">
        <v>1534</v>
      </c>
      <c r="F124" s="1470" t="s">
        <v>1535</v>
      </c>
      <c r="G124" s="1470" t="s">
        <v>1536</v>
      </c>
      <c r="H124" s="1452"/>
      <c r="I124" s="1452"/>
      <c r="J124" s="1452"/>
      <c r="K124" s="1501"/>
      <c r="L124" s="1502"/>
      <c r="M124" s="1503"/>
      <c r="N124" s="1750"/>
      <c r="O124" s="1750"/>
      <c r="P124" s="1865"/>
      <c r="Q124" s="1745"/>
    </row>
    <row r="125" ht="14.55" spans="1:17">
      <c r="A125" s="1448"/>
      <c r="B125" s="1453"/>
      <c r="C125" s="1454">
        <v>100</v>
      </c>
      <c r="D125" s="1454">
        <f>C125-$K43</f>
        <v>100</v>
      </c>
      <c r="E125" s="1454">
        <f>D125-$K43</f>
        <v>100</v>
      </c>
      <c r="F125" s="1454">
        <f>E125-$K43</f>
        <v>100</v>
      </c>
      <c r="G125" s="1454">
        <f>F125-$K43</f>
        <v>100</v>
      </c>
      <c r="H125" s="1454"/>
      <c r="I125" s="1454"/>
      <c r="J125" s="1454"/>
      <c r="K125" s="1454"/>
      <c r="L125" s="1454"/>
      <c r="M125" s="1504"/>
      <c r="N125" s="1752"/>
      <c r="O125" s="1752"/>
      <c r="P125" s="1861"/>
      <c r="Q125" s="1745"/>
    </row>
    <row r="126" s="1166" customFormat="1" ht="14.55" spans="1:17">
      <c r="A126" s="1479"/>
      <c r="B126" s="1451">
        <f>B44</f>
        <v>111</v>
      </c>
      <c r="C126" s="1459"/>
      <c r="D126" s="1459"/>
      <c r="E126" s="1459"/>
      <c r="F126" s="1459"/>
      <c r="G126" s="1459"/>
      <c r="H126" s="1460"/>
      <c r="I126" s="1460"/>
      <c r="J126" s="1460"/>
      <c r="K126" s="1460"/>
      <c r="L126" s="1508"/>
      <c r="M126" s="1509"/>
      <c r="N126" s="1753"/>
      <c r="O126" s="1753"/>
      <c r="P126" s="1865"/>
      <c r="Q126" s="1756"/>
    </row>
    <row r="127" s="1166" customFormat="1" ht="14.55" spans="1:17">
      <c r="A127" s="1458"/>
      <c r="B127" s="1453"/>
      <c r="C127" s="1461"/>
      <c r="D127" s="1450"/>
      <c r="E127" s="1450"/>
      <c r="F127" s="1450"/>
      <c r="G127" s="1461"/>
      <c r="H127" s="1462"/>
      <c r="I127" s="1462"/>
      <c r="J127" s="1462"/>
      <c r="K127" s="1462"/>
      <c r="L127" s="1462"/>
      <c r="M127" s="1512"/>
      <c r="N127" s="1753"/>
      <c r="O127" s="1753"/>
      <c r="P127" s="1865"/>
      <c r="Q127" s="1756"/>
    </row>
    <row r="128" ht="14.55" spans="1:17">
      <c r="A128" s="1482"/>
      <c r="B128" s="1451">
        <f>B45</f>
        <v>111</v>
      </c>
      <c r="C128" s="1459"/>
      <c r="D128" s="1459"/>
      <c r="E128" s="1459"/>
      <c r="F128" s="1459"/>
      <c r="G128" s="1476"/>
      <c r="H128" s="1476"/>
      <c r="I128" s="1476"/>
      <c r="J128" s="1476"/>
      <c r="K128" s="1527"/>
      <c r="L128" s="1528"/>
      <c r="M128" s="1529"/>
      <c r="N128" s="1750"/>
      <c r="O128" s="1750"/>
      <c r="P128" s="1861"/>
      <c r="Q128" s="1745"/>
    </row>
    <row r="129" ht="14.55" spans="1:17">
      <c r="A129" s="1448"/>
      <c r="B129" s="1453"/>
      <c r="C129" s="1461"/>
      <c r="D129" s="1461"/>
      <c r="E129" s="1461"/>
      <c r="F129" s="1461"/>
      <c r="G129" s="1450"/>
      <c r="H129" s="1450"/>
      <c r="I129" s="1450"/>
      <c r="J129" s="1450"/>
      <c r="K129" s="1450"/>
      <c r="L129" s="1450"/>
      <c r="M129" s="1499"/>
      <c r="N129" s="1752"/>
      <c r="O129" s="1752"/>
      <c r="P129" s="1861"/>
      <c r="Q129" s="1745"/>
    </row>
    <row r="130" ht="14.55" spans="1:17">
      <c r="A130" s="1482"/>
      <c r="B130" s="1455">
        <f>B46</f>
        <v>111</v>
      </c>
      <c r="C130" s="1459"/>
      <c r="D130" s="1459"/>
      <c r="E130" s="1459"/>
      <c r="F130" s="1459"/>
      <c r="G130" s="1477"/>
      <c r="H130" s="1477"/>
      <c r="I130" s="1477"/>
      <c r="J130" s="1477"/>
      <c r="K130" s="1443"/>
      <c r="L130" s="1489"/>
      <c r="M130" s="1532"/>
      <c r="N130" s="1750"/>
      <c r="O130" s="1750"/>
      <c r="P130" s="1861"/>
      <c r="Q130" s="1745"/>
    </row>
    <row r="131" ht="14.55" spans="1:17">
      <c r="A131" s="1757"/>
      <c r="B131" s="1465"/>
      <c r="C131" s="1466"/>
      <c r="D131" s="1466"/>
      <c r="E131" s="1466"/>
      <c r="F131" s="1466"/>
      <c r="G131" s="1478"/>
      <c r="H131" s="1478"/>
      <c r="I131" s="1478"/>
      <c r="J131" s="1478"/>
      <c r="K131" s="1478"/>
      <c r="L131" s="1478"/>
      <c r="M131" s="1533"/>
      <c r="N131" s="1752"/>
      <c r="O131" s="1752"/>
      <c r="P131" s="1861"/>
      <c r="Q131" s="1745"/>
    </row>
    <row r="136" ht="15.15" spans="2:2">
      <c r="B136" s="1872" t="s">
        <v>1542</v>
      </c>
    </row>
    <row r="137" ht="15" spans="2:11">
      <c r="B137" s="1873" t="s">
        <v>1543</v>
      </c>
      <c r="C137" s="1874"/>
      <c r="D137" s="1874"/>
      <c r="E137" s="1874"/>
      <c r="F137" s="1874"/>
      <c r="G137" s="1875"/>
      <c r="H137" s="1876"/>
      <c r="I137" s="1899" t="s">
        <v>1544</v>
      </c>
      <c r="J137" s="1874"/>
      <c r="K137" s="1900"/>
    </row>
    <row r="138" ht="15" spans="2:11">
      <c r="B138" s="1877"/>
      <c r="C138" s="1878" t="s">
        <v>1545</v>
      </c>
      <c r="D138" s="1878" t="s">
        <v>1546</v>
      </c>
      <c r="E138" s="1879" t="s">
        <v>1547</v>
      </c>
      <c r="F138" s="1880" t="s">
        <v>1548</v>
      </c>
      <c r="G138" s="1878" t="s">
        <v>1546</v>
      </c>
      <c r="H138" s="1881" t="s">
        <v>1547</v>
      </c>
      <c r="I138" s="1901"/>
      <c r="J138" s="1878" t="s">
        <v>1549</v>
      </c>
      <c r="K138" s="1881" t="s">
        <v>1550</v>
      </c>
    </row>
    <row r="139" ht="15" spans="2:11">
      <c r="B139" s="1882">
        <v>6</v>
      </c>
      <c r="C139" s="1883">
        <v>96</v>
      </c>
      <c r="D139" s="1884" t="s">
        <v>1551</v>
      </c>
      <c r="E139" s="1885">
        <v>100</v>
      </c>
      <c r="F139" s="1886">
        <v>102.5</v>
      </c>
      <c r="G139" s="1884" t="s">
        <v>1551</v>
      </c>
      <c r="H139" s="1887">
        <v>105</v>
      </c>
      <c r="I139" s="1902" t="s">
        <v>1552</v>
      </c>
      <c r="J139" s="1883">
        <v>20</v>
      </c>
      <c r="K139" s="1903">
        <f>C145/(J139-2)</f>
        <v>0.00405555555555556</v>
      </c>
    </row>
    <row r="140" ht="15" spans="2:11">
      <c r="B140" s="1888">
        <v>5</v>
      </c>
      <c r="C140" s="1889">
        <v>100</v>
      </c>
      <c r="D140" s="1889"/>
      <c r="E140" s="1890"/>
      <c r="F140" s="1891">
        <v>102</v>
      </c>
      <c r="G140" s="1889"/>
      <c r="H140" s="1892"/>
      <c r="I140" s="1904" t="s">
        <v>1553</v>
      </c>
      <c r="J140" s="474">
        <f>ROUNDUP((J139-1)/2,0)</f>
        <v>10</v>
      </c>
      <c r="K140" s="1905">
        <v>100</v>
      </c>
    </row>
    <row r="141" ht="15" spans="2:11">
      <c r="B141" s="1888">
        <v>4</v>
      </c>
      <c r="C141" s="1889">
        <v>102</v>
      </c>
      <c r="D141" s="1889"/>
      <c r="E141" s="1890"/>
      <c r="F141" s="1891">
        <v>101.5</v>
      </c>
      <c r="G141" s="1889"/>
      <c r="H141" s="1892"/>
      <c r="I141" s="1904" t="s">
        <v>1554</v>
      </c>
      <c r="J141" s="474">
        <v>1</v>
      </c>
      <c r="K141" s="1906">
        <f>ROUND(100+(J141-J140)*K139*100,1)</f>
        <v>96.4</v>
      </c>
    </row>
    <row r="142" ht="15" spans="2:11">
      <c r="B142" s="1888">
        <v>3</v>
      </c>
      <c r="C142" s="1889">
        <v>103</v>
      </c>
      <c r="D142" s="1889"/>
      <c r="E142" s="1890"/>
      <c r="F142" s="1891">
        <v>101</v>
      </c>
      <c r="G142" s="1889"/>
      <c r="H142" s="1892"/>
      <c r="I142" s="1904" t="s">
        <v>1555</v>
      </c>
      <c r="J142" s="474">
        <f>J139</f>
        <v>20</v>
      </c>
      <c r="K142" s="1907">
        <v>95</v>
      </c>
    </row>
    <row r="143" ht="15" spans="2:11">
      <c r="B143" s="1888">
        <v>2</v>
      </c>
      <c r="C143" s="1889">
        <v>100</v>
      </c>
      <c r="D143" s="1889"/>
      <c r="E143" s="1890"/>
      <c r="F143" s="1891">
        <v>100.5</v>
      </c>
      <c r="G143" s="1889"/>
      <c r="H143" s="1892"/>
      <c r="I143" s="1904" t="s">
        <v>1556</v>
      </c>
      <c r="J143" s="1889">
        <v>15</v>
      </c>
      <c r="K143" s="1906">
        <f>ROUND(100+(J143-J140)*K139*100,1)</f>
        <v>102</v>
      </c>
    </row>
    <row r="144" ht="15" spans="2:11">
      <c r="B144" s="1888">
        <v>1</v>
      </c>
      <c r="C144" s="1889">
        <v>98</v>
      </c>
      <c r="D144" s="1893" t="s">
        <v>1557</v>
      </c>
      <c r="E144" s="1890">
        <v>102</v>
      </c>
      <c r="F144" s="1894">
        <v>100</v>
      </c>
      <c r="G144" s="1893" t="s">
        <v>1557</v>
      </c>
      <c r="H144" s="1892">
        <v>105</v>
      </c>
      <c r="I144" s="1904" t="s">
        <v>1556</v>
      </c>
      <c r="J144" s="1889">
        <v>18</v>
      </c>
      <c r="K144" s="1906">
        <f>ROUND(100+(J144-J140)*K139*100,1)</f>
        <v>103.2</v>
      </c>
    </row>
    <row r="145" ht="16.35" spans="2:11">
      <c r="B145" s="1895" t="s">
        <v>1558</v>
      </c>
      <c r="C145" s="1896">
        <f>ROUND(MAX(C139:C144)/MIN(C139:C144)-1,3)</f>
        <v>0.073</v>
      </c>
      <c r="D145" s="1897"/>
      <c r="E145" s="1897"/>
      <c r="F145" s="1898" t="s">
        <v>1559</v>
      </c>
      <c r="G145" s="1793"/>
      <c r="H145" s="1798"/>
      <c r="I145" s="1908" t="s">
        <v>1556</v>
      </c>
      <c r="J145" s="1909">
        <v>8</v>
      </c>
      <c r="K145" s="1910">
        <f>ROUND(100+(J145-J140)*K139*100,1)</f>
        <v>99.2</v>
      </c>
    </row>
    <row r="147" ht="14.4" spans="2:2">
      <c r="B147" s="1872" t="s">
        <v>1560</v>
      </c>
    </row>
    <row r="148" ht="14.4" spans="2:2">
      <c r="B148" s="1872" t="s">
        <v>1561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D48">
      <formula1>"简单平均,加权平均"</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44444444444" style="1170" customWidth="1"/>
    <col min="2" max="2" width="15.7777777777778" style="1170" customWidth="1"/>
    <col min="3" max="3" width="15.1111111111111" style="1170" customWidth="1"/>
    <col min="4" max="4" width="12.2222222222222" style="1170" customWidth="1"/>
    <col min="5" max="5" width="14.3333333333333" style="1170" customWidth="1"/>
    <col min="6" max="6" width="12.2222222222222" style="1170" customWidth="1"/>
    <col min="7" max="7" width="14.4444444444444" style="1170" customWidth="1"/>
    <col min="8" max="8" width="12.2222222222222" style="1170" customWidth="1"/>
    <col min="9" max="9" width="14.4444444444444" style="1170" customWidth="1"/>
    <col min="10" max="10" width="12.2222222222222" style="1170" customWidth="1"/>
    <col min="11" max="11" width="12.2222222222222" style="1171" customWidth="1"/>
    <col min="12" max="12" width="12.2222222222222" style="1172" customWidth="1"/>
    <col min="13" max="15" width="12.2222222222222" style="1170" customWidth="1"/>
    <col min="16" max="16" width="4.77777777777778" style="1806" customWidth="1"/>
    <col min="17" max="17" width="19.4444444444444" style="1170" customWidth="1"/>
    <col min="18" max="22" width="6.11111111111111" style="1170" customWidth="1"/>
    <col min="23" max="23" width="5.77777777777778" style="1170" customWidth="1"/>
    <col min="24" max="24" width="4.22222222222222" style="1170" customWidth="1"/>
    <col min="25" max="25" width="3.44444444444444" style="1170" customWidth="1"/>
    <col min="26" max="26" width="19.7777777777778" style="1170" customWidth="1"/>
    <col min="27" max="28" width="9.33333333333333" style="1170" customWidth="1"/>
    <col min="29" max="16384" width="9" style="1170"/>
  </cols>
  <sheetData>
    <row r="1" s="1582" customFormat="1" ht="28.5" customHeight="1" spans="1:29">
      <c r="A1" s="1583" t="s">
        <v>1470</v>
      </c>
      <c r="B1" s="1807" t="s">
        <v>1562</v>
      </c>
      <c r="C1" s="1643" t="s">
        <v>1472</v>
      </c>
      <c r="D1" s="1586"/>
      <c r="E1" s="1808"/>
      <c r="F1" s="1588"/>
      <c r="G1" s="1589" t="s">
        <v>1473</v>
      </c>
      <c r="H1" s="1590"/>
      <c r="I1" s="1590"/>
      <c r="J1" s="1590"/>
      <c r="K1" s="1641"/>
      <c r="L1" s="1642"/>
      <c r="M1" s="1643"/>
      <c r="N1" s="1643"/>
      <c r="O1" s="1643"/>
      <c r="P1" s="1813"/>
      <c r="Q1" s="1822"/>
      <c r="R1" s="1822"/>
      <c r="S1" s="1822"/>
      <c r="T1" s="1822"/>
      <c r="U1" s="1822"/>
      <c r="V1" s="1822"/>
      <c r="W1" s="1822"/>
      <c r="X1" s="1822"/>
      <c r="Y1" s="1822"/>
      <c r="Z1" s="1822"/>
      <c r="AA1" s="1822"/>
      <c r="AB1" s="1822"/>
      <c r="AC1" s="1823"/>
    </row>
    <row r="2" s="1163" customFormat="1" ht="28.5" customHeight="1" spans="1:29">
      <c r="A2" s="1591" t="s">
        <v>989</v>
      </c>
      <c r="B2" s="1592" t="b">
        <f ca="1">IF(E1="项目模式",IF(C2="——",ROUND(C49*D3/10000,0),ROUND(C49*D3/10000,0)-D2),IF(E1="单套模式",IF(C2="——",ROUND(C49*D3/10000,4),ROUND(C49*D3/10000,4)-D2)))</f>
        <v>0</v>
      </c>
      <c r="C2" s="1593"/>
      <c r="D2" s="1764" t="e">
        <f ca="1">IF(E1="项目模式",SUMIF(INDIRECT("'"&amp;F2&amp;"'"&amp;"!A:A"),"承租人权益价值",INDIRECT("'"&amp;F2&amp;"'"&amp;"!c:c")),SUMIF(INDIRECT("'"&amp;F2&amp;"'"&amp;"!A:A"),"承租人权益价值（单套）",INDIRECT("'"&amp;F2&amp;"'"&amp;"!c:c")))</f>
        <v>#REF!</v>
      </c>
      <c r="E2" s="1594" t="s">
        <v>990</v>
      </c>
      <c r="F2" s="1595"/>
      <c r="G2" s="1179"/>
      <c r="H2" s="1179"/>
      <c r="I2" s="1179"/>
      <c r="J2" s="1179"/>
      <c r="K2" s="1179"/>
      <c r="L2" s="1341"/>
      <c r="M2" s="1342"/>
      <c r="N2" s="1342"/>
      <c r="O2" s="1342"/>
      <c r="P2" s="1814"/>
      <c r="Q2" s="1725"/>
      <c r="R2" s="1725"/>
      <c r="S2" s="1725"/>
      <c r="T2" s="1725"/>
      <c r="U2" s="1725"/>
      <c r="V2" s="1725"/>
      <c r="W2" s="1725"/>
      <c r="X2" s="1725"/>
      <c r="Y2" s="1725"/>
      <c r="Z2" s="1725"/>
      <c r="AA2" s="1725"/>
      <c r="AB2" s="1725"/>
      <c r="AC2" s="1824"/>
    </row>
    <row r="3" s="1163" customFormat="1" ht="28.5" customHeight="1" spans="1:29">
      <c r="A3" s="397" t="s">
        <v>991</v>
      </c>
      <c r="B3" s="1181">
        <f ca="1">IF(C2="——",C49,ROUND(B2*10000/D3,0))</f>
        <v>0</v>
      </c>
      <c r="C3" s="1596" t="s">
        <v>1474</v>
      </c>
      <c r="D3" s="1597">
        <f>IF(D1="",'数据-汇总表'!E3,SUMIF('数据-汇总表'!$C19:$C33,D1,'数据-汇总表'!$E19:$E33))</f>
        <v>10109.15</v>
      </c>
      <c r="E3" s="1765"/>
      <c r="F3" s="1180"/>
      <c r="G3" s="1179"/>
      <c r="H3" s="1179"/>
      <c r="I3" s="1179"/>
      <c r="J3" s="1179"/>
      <c r="K3" s="1340"/>
      <c r="L3" s="1341"/>
      <c r="M3" s="1342"/>
      <c r="N3" s="1342"/>
      <c r="O3" s="1342"/>
      <c r="P3" s="1814"/>
      <c r="Q3" s="1725"/>
      <c r="R3" s="1725"/>
      <c r="S3" s="1725"/>
      <c r="T3" s="1725"/>
      <c r="U3" s="1725"/>
      <c r="V3" s="1725"/>
      <c r="W3" s="1725"/>
      <c r="X3" s="1725"/>
      <c r="Y3" s="1725"/>
      <c r="Z3" s="1725"/>
      <c r="AA3" s="1725"/>
      <c r="AB3" s="1725"/>
      <c r="AC3" s="1765"/>
    </row>
    <row r="4" ht="14.4" spans="1:29">
      <c r="A4" s="1183" t="s">
        <v>1475</v>
      </c>
      <c r="B4" s="1184"/>
      <c r="C4" s="1185" t="s">
        <v>1476</v>
      </c>
      <c r="D4" s="1186"/>
      <c r="E4" s="1187" t="s">
        <v>1477</v>
      </c>
      <c r="F4" s="1188"/>
      <c r="G4" s="1185" t="s">
        <v>1478</v>
      </c>
      <c r="H4" s="1186"/>
      <c r="I4" s="1185" t="s">
        <v>1479</v>
      </c>
      <c r="J4" s="1186"/>
      <c r="K4" s="1343" t="s">
        <v>1480</v>
      </c>
      <c r="L4" s="1344"/>
      <c r="M4" s="1345"/>
      <c r="N4" s="1345"/>
      <c r="O4" s="1345"/>
      <c r="P4" s="1346" t="s">
        <v>1481</v>
      </c>
      <c r="Q4" s="1395"/>
      <c r="R4" s="1396" t="s">
        <v>1477</v>
      </c>
      <c r="S4" s="1397"/>
      <c r="T4" s="1396" t="s">
        <v>1478</v>
      </c>
      <c r="U4" s="1397"/>
      <c r="V4" s="1385" t="s">
        <v>1479</v>
      </c>
      <c r="W4" s="1385"/>
      <c r="X4" s="1398"/>
      <c r="Y4" s="1396" t="s">
        <v>1481</v>
      </c>
      <c r="Z4" s="1397"/>
      <c r="AA4" s="1423" t="s">
        <v>1477</v>
      </c>
      <c r="AB4" s="1385" t="s">
        <v>1478</v>
      </c>
      <c r="AC4" s="1423" t="s">
        <v>1479</v>
      </c>
    </row>
    <row r="5" spans="1:29">
      <c r="A5" s="1189"/>
      <c r="B5" s="1190"/>
      <c r="C5" s="1191" t="s">
        <v>1482</v>
      </c>
      <c r="D5" s="1192"/>
      <c r="E5" s="1193" t="s">
        <v>1483</v>
      </c>
      <c r="F5" s="1194"/>
      <c r="G5" s="1191" t="s">
        <v>1484</v>
      </c>
      <c r="H5" s="1192"/>
      <c r="I5" s="1191" t="s">
        <v>1485</v>
      </c>
      <c r="J5" s="1192"/>
      <c r="K5" s="1343"/>
      <c r="L5" s="1344"/>
      <c r="M5" s="1345"/>
      <c r="N5" s="1345"/>
      <c r="O5" s="1345"/>
      <c r="P5" s="1347"/>
      <c r="Q5" s="1399"/>
      <c r="R5" s="1400"/>
      <c r="S5" s="1401"/>
      <c r="T5" s="1400"/>
      <c r="U5" s="1401"/>
      <c r="V5" s="1385"/>
      <c r="W5" s="1385"/>
      <c r="X5" s="1398"/>
      <c r="Y5" s="1400"/>
      <c r="Z5" s="1401"/>
      <c r="AA5" s="1398"/>
      <c r="AB5" s="1385"/>
      <c r="AC5" s="1398"/>
    </row>
    <row r="6" ht="15.15" spans="1:29">
      <c r="A6" s="1195"/>
      <c r="B6" s="1196"/>
      <c r="C6" s="1546" t="s">
        <v>1486</v>
      </c>
      <c r="D6" s="1547"/>
      <c r="E6" s="1548" t="s">
        <v>1486</v>
      </c>
      <c r="F6" s="1549"/>
      <c r="G6" s="1546" t="s">
        <v>1486</v>
      </c>
      <c r="H6" s="1547"/>
      <c r="I6" s="1546" t="s">
        <v>1486</v>
      </c>
      <c r="J6" s="1547"/>
      <c r="K6" s="1343" t="s">
        <v>1487</v>
      </c>
      <c r="L6" s="1344"/>
      <c r="M6" s="1345"/>
      <c r="N6" s="1345"/>
      <c r="O6" s="1345"/>
      <c r="P6" s="1348"/>
      <c r="Q6" s="1402"/>
      <c r="R6" s="1400"/>
      <c r="S6" s="1401"/>
      <c r="T6" s="1403"/>
      <c r="U6" s="1404"/>
      <c r="V6" s="1385"/>
      <c r="W6" s="1385"/>
      <c r="X6" s="1398"/>
      <c r="Y6" s="1403"/>
      <c r="Z6" s="1404"/>
      <c r="AA6" s="1424"/>
      <c r="AB6" s="1385"/>
      <c r="AC6" s="1424"/>
    </row>
    <row r="7" s="1164" customFormat="1" ht="15.15" spans="1:29">
      <c r="A7" s="1201" t="s">
        <v>1488</v>
      </c>
      <c r="B7" s="1202"/>
      <c r="C7" s="1203">
        <f>'数据-取费表'!B2</f>
        <v>45022</v>
      </c>
      <c r="D7" s="1204">
        <v>100</v>
      </c>
      <c r="E7" s="1205"/>
      <c r="F7" s="1206">
        <f>SUMIF(58:58,YEAR(E7)&amp;"-"&amp;MONTH(E7),59:59)</f>
        <v>0</v>
      </c>
      <c r="G7" s="1205"/>
      <c r="H7" s="1204">
        <f>SUMIF(58:58,YEAR(G7)&amp;"-"&amp;MONTH(G7),59:59)</f>
        <v>0</v>
      </c>
      <c r="I7" s="1205"/>
      <c r="J7" s="1204">
        <f>SUMIF(58:58,YEAR(I7)&amp;"-"&amp;MONTH(I7),59:59)</f>
        <v>0</v>
      </c>
      <c r="K7" s="1349"/>
      <c r="L7" s="1350"/>
      <c r="M7" s="1351"/>
      <c r="N7" s="1351"/>
      <c r="O7" s="1351"/>
      <c r="P7" s="1352" t="s">
        <v>1489</v>
      </c>
      <c r="Q7" s="1405"/>
      <c r="R7" s="1406" t="s">
        <v>1490</v>
      </c>
      <c r="S7" s="1407">
        <f t="shared" ref="S7:S15" si="0">F7</f>
        <v>0</v>
      </c>
      <c r="T7" s="1406" t="s">
        <v>1490</v>
      </c>
      <c r="U7" s="1407">
        <f t="shared" ref="U7:U15" si="1">H7</f>
        <v>0</v>
      </c>
      <c r="V7" s="1406" t="s">
        <v>1490</v>
      </c>
      <c r="W7" s="1407">
        <f t="shared" ref="W7:W15" si="2">J7</f>
        <v>0</v>
      </c>
      <c r="X7" s="1408"/>
      <c r="Y7" s="1352" t="s">
        <v>1489</v>
      </c>
      <c r="Z7" s="1409"/>
      <c r="AA7" s="1425" t="e">
        <f>D7/F7</f>
        <v>#DIV/0!</v>
      </c>
      <c r="AB7" s="1425" t="e">
        <f>D7/H7</f>
        <v>#DIV/0!</v>
      </c>
      <c r="AC7" s="1425" t="e">
        <f>D7/J7</f>
        <v>#DIV/0!</v>
      </c>
    </row>
    <row r="8" s="1164" customFormat="1" ht="15.15" spans="1:29">
      <c r="A8" s="1201" t="s">
        <v>1491</v>
      </c>
      <c r="B8" s="1202"/>
      <c r="C8" s="1208"/>
      <c r="D8" s="1204">
        <v>100</v>
      </c>
      <c r="E8" s="1208"/>
      <c r="F8" s="1206">
        <f>SUMIF(61:61,E8,62:62)-SUMIF(61:61,C8,62:62)+100</f>
        <v>100</v>
      </c>
      <c r="G8" s="1208"/>
      <c r="H8" s="1204">
        <f>SUMIF(61:61,G8,62:62)-SUMIF(61:61,C8,62:62)+100</f>
        <v>100</v>
      </c>
      <c r="I8" s="1208"/>
      <c r="J8" s="1204">
        <f>SUMIF(61:61,I8,62:62)-SUMIF(61:61,C8,62:62)+100</f>
        <v>100</v>
      </c>
      <c r="K8" s="1349"/>
      <c r="L8" s="1350"/>
      <c r="M8" s="1351"/>
      <c r="N8" s="1351"/>
      <c r="O8" s="1351"/>
      <c r="P8" s="1352" t="s">
        <v>1492</v>
      </c>
      <c r="Q8" s="1409"/>
      <c r="R8" s="1406" t="s">
        <v>1490</v>
      </c>
      <c r="S8" s="1407">
        <f t="shared" si="0"/>
        <v>100</v>
      </c>
      <c r="T8" s="1406" t="s">
        <v>1490</v>
      </c>
      <c r="U8" s="1407">
        <f t="shared" si="1"/>
        <v>100</v>
      </c>
      <c r="V8" s="1406" t="s">
        <v>1490</v>
      </c>
      <c r="W8" s="1407">
        <f t="shared" si="2"/>
        <v>100</v>
      </c>
      <c r="X8" s="1408"/>
      <c r="Y8" s="1352" t="s">
        <v>1492</v>
      </c>
      <c r="Z8" s="1409"/>
      <c r="AA8" s="1425">
        <f t="shared" ref="AA8:AA46" si="3">D8/F8</f>
        <v>1</v>
      </c>
      <c r="AB8" s="1425">
        <f t="shared" ref="AB8:AB46" si="4">D8/H8</f>
        <v>1</v>
      </c>
      <c r="AC8" s="1425">
        <f t="shared" ref="AC8:AC46" si="5">D8/J8</f>
        <v>1</v>
      </c>
    </row>
    <row r="9" s="1164" customFormat="1" ht="14.4" spans="1:29">
      <c r="A9" s="1209" t="s">
        <v>1493</v>
      </c>
      <c r="B9" s="1210" t="s">
        <v>1494</v>
      </c>
      <c r="C9" s="1598"/>
      <c r="D9" s="1212">
        <v>100</v>
      </c>
      <c r="E9" s="1668"/>
      <c r="F9" s="1600">
        <f>SUMIF(63:63,E9,64:64)-SUMIF(63:63,C9,64:64)+100</f>
        <v>100</v>
      </c>
      <c r="G9" s="1668"/>
      <c r="H9" s="1212">
        <f>SUMIF(63:63,G9,64:64)-SUMIF(63:63,C9,64:64)+100</f>
        <v>100</v>
      </c>
      <c r="I9" s="1668"/>
      <c r="J9" s="1212">
        <f>SUMIF(63:63,I9,64:64)-SUMIF(63:63,C9,64:64)+100</f>
        <v>100</v>
      </c>
      <c r="K9" s="1349"/>
      <c r="L9" s="1350"/>
      <c r="M9" s="1351"/>
      <c r="N9" s="1351"/>
      <c r="O9" s="1351"/>
      <c r="P9" s="1312" t="s">
        <v>1495</v>
      </c>
      <c r="Q9" s="1410" t="str">
        <f t="shared" ref="Q9:Q15" si="6">B9</f>
        <v>用途</v>
      </c>
      <c r="R9" s="1406" t="s">
        <v>1490</v>
      </c>
      <c r="S9" s="1407">
        <f t="shared" si="0"/>
        <v>100</v>
      </c>
      <c r="T9" s="1406" t="s">
        <v>1490</v>
      </c>
      <c r="U9" s="1407">
        <f t="shared" si="1"/>
        <v>100</v>
      </c>
      <c r="V9" s="1406" t="s">
        <v>1490</v>
      </c>
      <c r="W9" s="1407">
        <f t="shared" si="2"/>
        <v>100</v>
      </c>
      <c r="X9" s="1408"/>
      <c r="Y9" s="1410" t="s">
        <v>1496</v>
      </c>
      <c r="Z9" s="1426" t="str">
        <f t="shared" ref="Z9:Z15" si="7">Q9</f>
        <v>用途</v>
      </c>
      <c r="AA9" s="1425">
        <f t="shared" si="3"/>
        <v>1</v>
      </c>
      <c r="AB9" s="1425">
        <f t="shared" si="4"/>
        <v>1</v>
      </c>
      <c r="AC9" s="1425">
        <f t="shared" si="5"/>
        <v>1</v>
      </c>
    </row>
    <row r="10" s="1165" customFormat="1" ht="28.8" spans="1:29">
      <c r="A10" s="1213"/>
      <c r="B10" s="1214" t="s">
        <v>1497</v>
      </c>
      <c r="C10" s="1601"/>
      <c r="D10" s="1216">
        <v>100</v>
      </c>
      <c r="E10" s="1671"/>
      <c r="F10" s="1602">
        <f>SUMIF(65:65,E10,66:66)-SUMIF(65:65,C10,66:66)+100</f>
        <v>100</v>
      </c>
      <c r="G10" s="1601"/>
      <c r="H10" s="1216">
        <f>SUMIF(65:65,G10,66:66)-SUMIF(65:65,C10,66:66)+100</f>
        <v>100</v>
      </c>
      <c r="I10" s="1601"/>
      <c r="J10" s="1216">
        <f>SUMIF(65:65,I10,66:66)-SUMIF(65:65,C10,66:66)+100</f>
        <v>100</v>
      </c>
      <c r="K10" s="1349"/>
      <c r="L10" s="1355"/>
      <c r="M10" s="1356"/>
      <c r="N10" s="1356"/>
      <c r="O10" s="1356"/>
      <c r="P10" s="1312"/>
      <c r="Q10" s="1410" t="str">
        <f t="shared" si="6"/>
        <v>土地使用年限（年）</v>
      </c>
      <c r="R10" s="1406" t="s">
        <v>1490</v>
      </c>
      <c r="S10" s="1407">
        <f t="shared" si="0"/>
        <v>100</v>
      </c>
      <c r="T10" s="1406" t="s">
        <v>1490</v>
      </c>
      <c r="U10" s="1407">
        <f t="shared" si="1"/>
        <v>100</v>
      </c>
      <c r="V10" s="1406" t="s">
        <v>1490</v>
      </c>
      <c r="W10" s="1407">
        <f t="shared" si="2"/>
        <v>100</v>
      </c>
      <c r="X10" s="1408"/>
      <c r="Y10" s="1410"/>
      <c r="Z10" s="1426" t="str">
        <f t="shared" si="7"/>
        <v>土地使用年限（年）</v>
      </c>
      <c r="AA10" s="1425">
        <f t="shared" si="3"/>
        <v>1</v>
      </c>
      <c r="AB10" s="1425">
        <f t="shared" si="4"/>
        <v>1</v>
      </c>
      <c r="AC10" s="1425">
        <f t="shared" si="5"/>
        <v>1</v>
      </c>
    </row>
    <row r="11" ht="15" spans="1:29">
      <c r="A11" s="1217"/>
      <c r="B11" s="1214" t="s">
        <v>1498</v>
      </c>
      <c r="C11" s="1218"/>
      <c r="D11" s="1216">
        <v>100</v>
      </c>
      <c r="E11" s="1219"/>
      <c r="F11" s="1602" t="e">
        <f>LOOKUP(E11,68:68,69:69)-LOOKUP(C11,68:68,69:69)+100</f>
        <v>#N/A</v>
      </c>
      <c r="G11" s="1218"/>
      <c r="H11" s="1216" t="e">
        <f>LOOKUP(G11,68:68,69:69)-LOOKUP(C11,68:68,69:69)+100</f>
        <v>#N/A</v>
      </c>
      <c r="I11" s="1218"/>
      <c r="J11" s="1216" t="e">
        <f>LOOKUP(I11,68:68,69:69)-LOOKUP(C11,68:68,69:69)+100</f>
        <v>#N/A</v>
      </c>
      <c r="K11" s="1369"/>
      <c r="L11" s="1359"/>
      <c r="M11" s="1345"/>
      <c r="N11" s="1345"/>
      <c r="O11" s="1345"/>
      <c r="P11" s="1312"/>
      <c r="Q11" s="1410" t="str">
        <f t="shared" si="6"/>
        <v>容积率</v>
      </c>
      <c r="R11" s="1406" t="s">
        <v>1490</v>
      </c>
      <c r="S11" s="1407" t="e">
        <f t="shared" si="0"/>
        <v>#N/A</v>
      </c>
      <c r="T11" s="1406" t="s">
        <v>1490</v>
      </c>
      <c r="U11" s="1407" t="e">
        <f t="shared" si="1"/>
        <v>#N/A</v>
      </c>
      <c r="V11" s="1406" t="s">
        <v>1490</v>
      </c>
      <c r="W11" s="1407" t="e">
        <f t="shared" si="2"/>
        <v>#N/A</v>
      </c>
      <c r="X11" s="1408"/>
      <c r="Y11" s="1410"/>
      <c r="Z11" s="1426" t="str">
        <f t="shared" si="7"/>
        <v>容积率</v>
      </c>
      <c r="AA11" s="1425" t="e">
        <f t="shared" si="3"/>
        <v>#N/A</v>
      </c>
      <c r="AB11" s="1425" t="e">
        <f t="shared" si="4"/>
        <v>#N/A</v>
      </c>
      <c r="AC11" s="1425" t="e">
        <f t="shared" si="5"/>
        <v>#N/A</v>
      </c>
    </row>
    <row r="12" s="1164" customFormat="1" ht="15" spans="1:29">
      <c r="A12" s="1220"/>
      <c r="B12" s="1221">
        <v>111</v>
      </c>
      <c r="C12" s="1215"/>
      <c r="D12" s="1222">
        <v>100</v>
      </c>
      <c r="E12" s="1225"/>
      <c r="F12" s="1602">
        <f>SUMIF(70:70,E12,71:71)-SUMIF(70:70,C12,71:71)+100</f>
        <v>100</v>
      </c>
      <c r="G12" s="1225"/>
      <c r="H12" s="1216">
        <f>SUMIF(70:70,G12,71:71)-SUMIF(70:70,C12,71:71)+100</f>
        <v>100</v>
      </c>
      <c r="I12" s="1225"/>
      <c r="J12" s="1216">
        <f>SUMIF(70:70,I12,71:71)-SUMIF(70:70,C12,71:71)+100</f>
        <v>100</v>
      </c>
      <c r="K12" s="1368"/>
      <c r="L12" s="1350"/>
      <c r="M12" s="1351"/>
      <c r="N12" s="1351"/>
      <c r="O12" s="1351"/>
      <c r="P12" s="1312"/>
      <c r="Q12" s="1410">
        <f t="shared" si="6"/>
        <v>111</v>
      </c>
      <c r="R12" s="1406" t="s">
        <v>1490</v>
      </c>
      <c r="S12" s="1407">
        <f t="shared" si="0"/>
        <v>100</v>
      </c>
      <c r="T12" s="1406" t="s">
        <v>1490</v>
      </c>
      <c r="U12" s="1407">
        <f t="shared" si="1"/>
        <v>100</v>
      </c>
      <c r="V12" s="1406" t="s">
        <v>1490</v>
      </c>
      <c r="W12" s="1407">
        <f t="shared" si="2"/>
        <v>100</v>
      </c>
      <c r="X12" s="1408"/>
      <c r="Y12" s="1410"/>
      <c r="Z12" s="1426">
        <f t="shared" si="7"/>
        <v>111</v>
      </c>
      <c r="AA12" s="1425">
        <f t="shared" si="3"/>
        <v>1</v>
      </c>
      <c r="AB12" s="1425">
        <f t="shared" si="4"/>
        <v>1</v>
      </c>
      <c r="AC12" s="1425">
        <f t="shared" si="5"/>
        <v>1</v>
      </c>
    </row>
    <row r="13" ht="15" spans="1:29">
      <c r="A13" s="1217"/>
      <c r="B13" s="1221">
        <v>111</v>
      </c>
      <c r="C13" s="1225"/>
      <c r="D13" s="1226">
        <v>100</v>
      </c>
      <c r="E13" s="1225"/>
      <c r="F13" s="1602">
        <f>SUMIF(72:72,E13,73:73)-SUMIF(72:72,C13,73:73)+100</f>
        <v>100</v>
      </c>
      <c r="G13" s="1225"/>
      <c r="H13" s="1226">
        <f>SUMIF(72:72,G13,73:73)-SUMIF(72:72,C13,73:73)+100</f>
        <v>100</v>
      </c>
      <c r="I13" s="1225"/>
      <c r="J13" s="1226">
        <f>SUMIF(72:72,I13,73:73)-SUMIF(72:72,C13,73:73)+100</f>
        <v>100</v>
      </c>
      <c r="K13" s="1368"/>
      <c r="L13" s="1361"/>
      <c r="M13" s="1345"/>
      <c r="N13" s="1345"/>
      <c r="O13" s="1345"/>
      <c r="P13" s="1312"/>
      <c r="Q13" s="1410">
        <f t="shared" si="6"/>
        <v>111</v>
      </c>
      <c r="R13" s="1406" t="s">
        <v>1490</v>
      </c>
      <c r="S13" s="1407">
        <f t="shared" si="0"/>
        <v>100</v>
      </c>
      <c r="T13" s="1406" t="s">
        <v>1490</v>
      </c>
      <c r="U13" s="1407">
        <f t="shared" si="1"/>
        <v>100</v>
      </c>
      <c r="V13" s="1406" t="s">
        <v>1490</v>
      </c>
      <c r="W13" s="1407">
        <f t="shared" si="2"/>
        <v>100</v>
      </c>
      <c r="X13" s="1408"/>
      <c r="Y13" s="1410"/>
      <c r="Z13" s="1426">
        <f t="shared" si="7"/>
        <v>111</v>
      </c>
      <c r="AA13" s="1425">
        <f t="shared" si="3"/>
        <v>1</v>
      </c>
      <c r="AB13" s="1425">
        <f t="shared" si="4"/>
        <v>1</v>
      </c>
      <c r="AC13" s="1425">
        <f t="shared" si="5"/>
        <v>1</v>
      </c>
    </row>
    <row r="14" ht="15.75" spans="1:29">
      <c r="A14" s="1227"/>
      <c r="B14" s="1228">
        <v>111</v>
      </c>
      <c r="C14" s="1229"/>
      <c r="D14" s="1230">
        <v>100</v>
      </c>
      <c r="E14" s="1225"/>
      <c r="F14" s="1622">
        <f>SUMIF(74:74,E14,75:75)-SUMIF(74:74,C14,75:75)+100</f>
        <v>100</v>
      </c>
      <c r="G14" s="1225"/>
      <c r="H14" s="1230">
        <f>SUMIF(74:74,G14,75:75)-SUMIF(74:74,C14,75:75)+100</f>
        <v>100</v>
      </c>
      <c r="I14" s="1225"/>
      <c r="J14" s="1230">
        <f>SUMIF(74:74,I14,75:75)-SUMIF(74:74,C14,75:75)+100</f>
        <v>100</v>
      </c>
      <c r="K14" s="1368"/>
      <c r="L14" s="1361"/>
      <c r="M14" s="1345"/>
      <c r="N14" s="1345"/>
      <c r="O14" s="1345"/>
      <c r="P14" s="1312"/>
      <c r="Q14" s="1410">
        <f t="shared" si="6"/>
        <v>111</v>
      </c>
      <c r="R14" s="1406" t="s">
        <v>1490</v>
      </c>
      <c r="S14" s="1407">
        <f t="shared" si="0"/>
        <v>100</v>
      </c>
      <c r="T14" s="1406" t="s">
        <v>1490</v>
      </c>
      <c r="U14" s="1407">
        <f t="shared" si="1"/>
        <v>100</v>
      </c>
      <c r="V14" s="1406" t="s">
        <v>1490</v>
      </c>
      <c r="W14" s="1407">
        <f t="shared" si="2"/>
        <v>100</v>
      </c>
      <c r="X14" s="1408"/>
      <c r="Y14" s="1410"/>
      <c r="Z14" s="1426">
        <f t="shared" si="7"/>
        <v>111</v>
      </c>
      <c r="AA14" s="1425">
        <f t="shared" si="3"/>
        <v>1</v>
      </c>
      <c r="AB14" s="1425">
        <f t="shared" si="4"/>
        <v>1</v>
      </c>
      <c r="AC14" s="1425">
        <f t="shared" si="5"/>
        <v>1</v>
      </c>
    </row>
    <row r="15" ht="72" spans="1:29">
      <c r="A15" s="1231" t="s">
        <v>1499</v>
      </c>
      <c r="B15" s="1552" t="s">
        <v>1563</v>
      </c>
      <c r="C15" s="1553" t="str">
        <f>估价对象房地状况!C4</f>
        <v>估价对象位于XX商圈，周边商业氛围成熟，人流量大，商业繁华度好</v>
      </c>
      <c r="D15" s="1234">
        <v>100</v>
      </c>
      <c r="E15" s="1235"/>
      <c r="F15" s="1605">
        <f>SUMIF(76:76,E16,77:77)-SUMIF(76:76,C16,77:77)+100</f>
        <v>100</v>
      </c>
      <c r="G15" s="1362"/>
      <c r="H15" s="1234">
        <f>SUMIF(76:76,G16,77:77)-SUMIF(76:76,C16,77:77)+100</f>
        <v>100</v>
      </c>
      <c r="I15" s="1235"/>
      <c r="J15" s="1234">
        <f>SUMIF(76:76,I16,77:77)-SUMIF(76:76,C16,77:77)+100</f>
        <v>100</v>
      </c>
      <c r="K15" s="1644"/>
      <c r="L15" s="1361"/>
      <c r="M15" s="1345"/>
      <c r="N15" s="1345"/>
      <c r="O15" s="1345"/>
      <c r="P15" s="1781" t="s">
        <v>1501</v>
      </c>
      <c r="Q15" s="749" t="str">
        <f t="shared" si="6"/>
        <v>商业繁华度</v>
      </c>
      <c r="R15" s="1411" t="s">
        <v>1490</v>
      </c>
      <c r="S15" s="1412">
        <f t="shared" si="0"/>
        <v>100</v>
      </c>
      <c r="T15" s="1411" t="s">
        <v>1490</v>
      </c>
      <c r="U15" s="1412">
        <f t="shared" si="1"/>
        <v>100</v>
      </c>
      <c r="V15" s="1411" t="s">
        <v>1490</v>
      </c>
      <c r="W15" s="1412">
        <f t="shared" si="2"/>
        <v>100</v>
      </c>
      <c r="X15" s="1398"/>
      <c r="Y15" s="1363" t="s">
        <v>1501</v>
      </c>
      <c r="Z15" s="1385" t="str">
        <f t="shared" si="7"/>
        <v>商业繁华度</v>
      </c>
      <c r="AA15" s="1427">
        <f t="shared" si="3"/>
        <v>1</v>
      </c>
      <c r="AB15" s="1427">
        <f t="shared" si="4"/>
        <v>1</v>
      </c>
      <c r="AC15" s="1427">
        <f t="shared" si="5"/>
        <v>1</v>
      </c>
    </row>
    <row r="16" ht="15" spans="1:29">
      <c r="A16" s="1217"/>
      <c r="B16" s="1554"/>
      <c r="C16" s="1237"/>
      <c r="D16" s="1238"/>
      <c r="E16" s="1237"/>
      <c r="F16" s="1606"/>
      <c r="G16" s="1237"/>
      <c r="H16" s="1240"/>
      <c r="I16" s="1237"/>
      <c r="J16" s="1238"/>
      <c r="K16" s="1645"/>
      <c r="L16" s="1361"/>
      <c r="M16" s="1345"/>
      <c r="N16" s="1345"/>
      <c r="O16" s="1345"/>
      <c r="P16" s="1782"/>
      <c r="Q16" s="749"/>
      <c r="R16" s="1411"/>
      <c r="S16" s="1412"/>
      <c r="T16" s="1411"/>
      <c r="U16" s="1412"/>
      <c r="V16" s="1411"/>
      <c r="W16" s="1412"/>
      <c r="X16" s="1398"/>
      <c r="Y16" s="1364"/>
      <c r="Z16" s="1385"/>
      <c r="AA16" s="1427">
        <v>1</v>
      </c>
      <c r="AB16" s="1427">
        <v>1</v>
      </c>
      <c r="AC16" s="1427">
        <v>1</v>
      </c>
    </row>
    <row r="17" ht="86.4" spans="1:29">
      <c r="A17" s="1217"/>
      <c r="B17" s="1555" t="s">
        <v>1502</v>
      </c>
      <c r="C17" s="1242" t="str">
        <f>估价对象房地状况!C6</f>
        <v>估价对象周边道路状况、公共交通通达情况、停车便捷程度，综合评价交通便捷度较好</v>
      </c>
      <c r="D17" s="1240">
        <v>100</v>
      </c>
      <c r="E17" s="1243"/>
      <c r="F17" s="1608">
        <f>SUMIF(78:78,E18,79:79)-SUMIF(78:78,C18,79:79)+100</f>
        <v>100</v>
      </c>
      <c r="G17" s="1365"/>
      <c r="H17" s="1244">
        <f>SUMIF(78:78,G18,79:79)-SUMIF(78:78,C18,79:79)+100</f>
        <v>100</v>
      </c>
      <c r="I17" s="1243"/>
      <c r="J17" s="1244">
        <f>SUMIF(78:78,I18,79:79)-SUMIF(78:78,C18,79:79)+100</f>
        <v>100</v>
      </c>
      <c r="K17" s="1644"/>
      <c r="L17" s="1361"/>
      <c r="M17" s="1345"/>
      <c r="N17" s="1345"/>
      <c r="O17" s="1345"/>
      <c r="P17" s="1782"/>
      <c r="Q17" s="749" t="str">
        <f>B17</f>
        <v>交通便捷度</v>
      </c>
      <c r="R17" s="1411" t="s">
        <v>1490</v>
      </c>
      <c r="S17" s="1412">
        <f>F17</f>
        <v>100</v>
      </c>
      <c r="T17" s="1411" t="s">
        <v>1490</v>
      </c>
      <c r="U17" s="1412">
        <f>H17</f>
        <v>100</v>
      </c>
      <c r="V17" s="1411" t="s">
        <v>1490</v>
      </c>
      <c r="W17" s="1412">
        <f>J17</f>
        <v>100</v>
      </c>
      <c r="X17" s="1398"/>
      <c r="Y17" s="1364"/>
      <c r="Z17" s="1385" t="str">
        <f>Q17</f>
        <v>交通便捷度</v>
      </c>
      <c r="AA17" s="1427">
        <f t="shared" si="3"/>
        <v>1</v>
      </c>
      <c r="AB17" s="1427">
        <f t="shared" si="4"/>
        <v>1</v>
      </c>
      <c r="AC17" s="1427">
        <f t="shared" si="5"/>
        <v>1</v>
      </c>
    </row>
    <row r="18" ht="15" spans="1:29">
      <c r="A18" s="1217"/>
      <c r="B18" s="1265"/>
      <c r="C18" s="1556"/>
      <c r="D18" s="1240"/>
      <c r="E18" s="1557"/>
      <c r="F18" s="1608"/>
      <c r="G18" s="1565"/>
      <c r="H18" s="1238"/>
      <c r="I18" s="1557"/>
      <c r="J18" s="1238"/>
      <c r="K18" s="1645"/>
      <c r="L18" s="1361"/>
      <c r="M18" s="1345"/>
      <c r="N18" s="1345"/>
      <c r="O18" s="1345"/>
      <c r="P18" s="1782"/>
      <c r="Q18" s="749"/>
      <c r="R18" s="1411"/>
      <c r="S18" s="1412"/>
      <c r="T18" s="1411"/>
      <c r="U18" s="1412"/>
      <c r="V18" s="1411"/>
      <c r="W18" s="1412"/>
      <c r="X18" s="1398"/>
      <c r="Y18" s="1364"/>
      <c r="Z18" s="1385"/>
      <c r="AA18" s="1427">
        <v>1</v>
      </c>
      <c r="AB18" s="1427">
        <v>1</v>
      </c>
      <c r="AC18" s="1427">
        <v>1</v>
      </c>
    </row>
    <row r="19" ht="43.2" spans="1:29">
      <c r="A19" s="1217"/>
      <c r="B19" s="1555" t="s">
        <v>1503</v>
      </c>
      <c r="C19" s="1242" t="str">
        <f>估价对象房地状况!C7</f>
        <v>估价对象所在区域公共配套设施齐备情况</v>
      </c>
      <c r="D19" s="1244">
        <v>100</v>
      </c>
      <c r="E19" s="1558"/>
      <c r="F19" s="1607">
        <f>SUMIF(80:80,E20,81:81)-SUMIF(80:80,C20,81:81)+100</f>
        <v>100</v>
      </c>
      <c r="G19" s="1566"/>
      <c r="H19" s="1240">
        <f>SUMIF(80:80,G20,81:81)-SUMIF(80:80,C20,81:81)+100</f>
        <v>100</v>
      </c>
      <c r="I19" s="1558"/>
      <c r="J19" s="1240">
        <f>SUMIF(80:80,I20,81:81)-SUMIF(80:80,C20,81:81)+100</f>
        <v>100</v>
      </c>
      <c r="K19" s="1644"/>
      <c r="L19" s="1361"/>
      <c r="M19" s="1345"/>
      <c r="N19" s="1345"/>
      <c r="O19" s="1345"/>
      <c r="P19" s="1782"/>
      <c r="Q19" s="749" t="str">
        <f>B19</f>
        <v>公共配套设施</v>
      </c>
      <c r="R19" s="1411" t="s">
        <v>1490</v>
      </c>
      <c r="S19" s="1412">
        <f>F19</f>
        <v>100</v>
      </c>
      <c r="T19" s="1411" t="s">
        <v>1490</v>
      </c>
      <c r="U19" s="1412">
        <f>H19</f>
        <v>100</v>
      </c>
      <c r="V19" s="1411" t="s">
        <v>1490</v>
      </c>
      <c r="W19" s="1412">
        <f>J19</f>
        <v>100</v>
      </c>
      <c r="X19" s="1398"/>
      <c r="Y19" s="1364"/>
      <c r="Z19" s="1385" t="str">
        <f>Q19</f>
        <v>公共配套设施</v>
      </c>
      <c r="AA19" s="1427">
        <f t="shared" si="3"/>
        <v>1</v>
      </c>
      <c r="AB19" s="1427">
        <f t="shared" si="4"/>
        <v>1</v>
      </c>
      <c r="AC19" s="1427">
        <f t="shared" si="5"/>
        <v>1</v>
      </c>
    </row>
    <row r="20" ht="15" spans="1:29">
      <c r="A20" s="1217"/>
      <c r="B20" s="1265"/>
      <c r="C20" s="1237"/>
      <c r="D20" s="1238"/>
      <c r="E20" s="1246"/>
      <c r="F20" s="1606"/>
      <c r="G20" s="1366"/>
      <c r="H20" s="1238"/>
      <c r="I20" s="1246"/>
      <c r="J20" s="1238"/>
      <c r="K20" s="1645"/>
      <c r="L20" s="1361"/>
      <c r="M20" s="1345"/>
      <c r="N20" s="1345"/>
      <c r="O20" s="1345"/>
      <c r="P20" s="1782"/>
      <c r="Q20" s="749"/>
      <c r="R20" s="1411"/>
      <c r="S20" s="1412"/>
      <c r="T20" s="1411"/>
      <c r="U20" s="1412"/>
      <c r="V20" s="1411"/>
      <c r="W20" s="1412"/>
      <c r="X20" s="1398"/>
      <c r="Y20" s="1364"/>
      <c r="Z20" s="1385"/>
      <c r="AA20" s="1427">
        <v>1</v>
      </c>
      <c r="AB20" s="1427">
        <v>1</v>
      </c>
      <c r="AC20" s="1427">
        <v>1</v>
      </c>
    </row>
    <row r="21" ht="28.8" spans="1:29">
      <c r="A21" s="1217"/>
      <c r="B21" s="1559" t="s">
        <v>1504</v>
      </c>
      <c r="C21" s="1242" t="str">
        <f>估价对象房地状况!C8</f>
        <v>估价对象所在区域基础设施水平</v>
      </c>
      <c r="D21" s="1244">
        <v>100</v>
      </c>
      <c r="E21" s="1558"/>
      <c r="F21" s="1607">
        <f>SUMIF(82:82,E22,83:83)-SUMIF(82:82,C22,83:83)+100</f>
        <v>100</v>
      </c>
      <c r="G21" s="1566"/>
      <c r="H21" s="1240">
        <f>SUMIF(82:82,G22,83:83)-SUMIF(82:82,C22,83:83)+100</f>
        <v>100</v>
      </c>
      <c r="I21" s="1558"/>
      <c r="J21" s="1240">
        <f>SUMIF(82:82,I22,83:83)-SUMIF(82:82,C22,83:83)+100</f>
        <v>100</v>
      </c>
      <c r="K21" s="1644"/>
      <c r="L21" s="1361"/>
      <c r="M21" s="1345"/>
      <c r="N21" s="1345"/>
      <c r="O21" s="1345"/>
      <c r="P21" s="1782"/>
      <c r="Q21" s="749" t="str">
        <f>B21</f>
        <v>基础设施水平</v>
      </c>
      <c r="R21" s="1411" t="s">
        <v>1490</v>
      </c>
      <c r="S21" s="1412">
        <f>F21</f>
        <v>100</v>
      </c>
      <c r="T21" s="1411" t="s">
        <v>1490</v>
      </c>
      <c r="U21" s="1412">
        <f>H21</f>
        <v>100</v>
      </c>
      <c r="V21" s="1411" t="s">
        <v>1490</v>
      </c>
      <c r="W21" s="1412">
        <f>J21</f>
        <v>100</v>
      </c>
      <c r="X21" s="1398"/>
      <c r="Y21" s="1364"/>
      <c r="Z21" s="1385" t="str">
        <f>Q21</f>
        <v>基础设施水平</v>
      </c>
      <c r="AA21" s="1427">
        <f t="shared" ref="AA21" si="8">D21/F21</f>
        <v>1</v>
      </c>
      <c r="AB21" s="1427">
        <f t="shared" ref="AB21" si="9">D21/H21</f>
        <v>1</v>
      </c>
      <c r="AC21" s="1427">
        <f t="shared" ref="AC21" si="10">D21/J21</f>
        <v>1</v>
      </c>
    </row>
    <row r="22" ht="15" spans="1:29">
      <c r="A22" s="1217"/>
      <c r="B22" s="1559"/>
      <c r="C22" s="1556"/>
      <c r="D22" s="1238"/>
      <c r="E22" s="1237"/>
      <c r="F22" s="1606"/>
      <c r="G22" s="1237"/>
      <c r="H22" s="1238"/>
      <c r="I22" s="1237"/>
      <c r="J22" s="1238"/>
      <c r="K22" s="1646"/>
      <c r="L22" s="1361"/>
      <c r="M22" s="1345"/>
      <c r="N22" s="1345"/>
      <c r="O22" s="1345"/>
      <c r="P22" s="1782"/>
      <c r="Q22" s="749"/>
      <c r="R22" s="1411"/>
      <c r="S22" s="1412"/>
      <c r="T22" s="1411"/>
      <c r="U22" s="1412"/>
      <c r="V22" s="1411"/>
      <c r="W22" s="1412"/>
      <c r="X22" s="1398"/>
      <c r="Y22" s="1364"/>
      <c r="Z22" s="1385"/>
      <c r="AA22" s="1427">
        <v>1</v>
      </c>
      <c r="AB22" s="1427">
        <v>1</v>
      </c>
      <c r="AC22" s="1427">
        <v>1</v>
      </c>
    </row>
    <row r="23" ht="57.6" spans="1:29">
      <c r="A23" s="1217"/>
      <c r="B23" s="1555" t="s">
        <v>1505</v>
      </c>
      <c r="C23" s="746" t="str">
        <f>估价对象房地状况!C9</f>
        <v>区域自然环境：；人文环境；综合评价环境状况一般</v>
      </c>
      <c r="D23" s="1240">
        <v>100</v>
      </c>
      <c r="E23" s="1243"/>
      <c r="F23" s="1608">
        <f>SUMIF(84:84,E24,85:85)-SUMIF(84:84,C24,85:85)+100</f>
        <v>100</v>
      </c>
      <c r="G23" s="1365"/>
      <c r="H23" s="1240">
        <f>SUMIF(84:84,G24,85:85)-SUMIF(84:84,C24,85:85)+100</f>
        <v>100</v>
      </c>
      <c r="I23" s="1243"/>
      <c r="J23" s="1240">
        <f>SUMIF(84:84,I24,85:85)-SUMIF(84:84,C24,85:85)+100</f>
        <v>100</v>
      </c>
      <c r="K23" s="1644"/>
      <c r="L23" s="1361"/>
      <c r="M23" s="1345"/>
      <c r="N23" s="1345"/>
      <c r="O23" s="1345"/>
      <c r="P23" s="1782"/>
      <c r="Q23" s="749" t="str">
        <f>B23</f>
        <v>自然及人文环境</v>
      </c>
      <c r="R23" s="1411" t="s">
        <v>1490</v>
      </c>
      <c r="S23" s="1412">
        <f>F23</f>
        <v>100</v>
      </c>
      <c r="T23" s="1411" t="s">
        <v>1490</v>
      </c>
      <c r="U23" s="1412">
        <f>H23</f>
        <v>100</v>
      </c>
      <c r="V23" s="1411" t="s">
        <v>1490</v>
      </c>
      <c r="W23" s="1412">
        <f>J23</f>
        <v>100</v>
      </c>
      <c r="X23" s="1398"/>
      <c r="Y23" s="1364"/>
      <c r="Z23" s="1385" t="str">
        <f>Q23</f>
        <v>自然及人文环境</v>
      </c>
      <c r="AA23" s="1427">
        <f t="shared" si="3"/>
        <v>1</v>
      </c>
      <c r="AB23" s="1427">
        <f t="shared" si="4"/>
        <v>1</v>
      </c>
      <c r="AC23" s="1427">
        <f t="shared" si="5"/>
        <v>1</v>
      </c>
    </row>
    <row r="24" ht="15" spans="1:29">
      <c r="A24" s="1217"/>
      <c r="B24" s="1265"/>
      <c r="C24" s="1237"/>
      <c r="D24" s="1238"/>
      <c r="E24" s="1246"/>
      <c r="F24" s="1606"/>
      <c r="G24" s="1366"/>
      <c r="H24" s="1238"/>
      <c r="I24" s="1246"/>
      <c r="J24" s="1238"/>
      <c r="K24" s="1645"/>
      <c r="L24" s="1361"/>
      <c r="M24" s="1345"/>
      <c r="N24" s="1345"/>
      <c r="O24" s="1345"/>
      <c r="P24" s="1782"/>
      <c r="Q24" s="749"/>
      <c r="R24" s="1411"/>
      <c r="S24" s="1412"/>
      <c r="T24" s="1411"/>
      <c r="U24" s="1412"/>
      <c r="V24" s="1411"/>
      <c r="W24" s="1412"/>
      <c r="X24" s="1398"/>
      <c r="Y24" s="1364"/>
      <c r="Z24" s="1385"/>
      <c r="AA24" s="1427">
        <v>1</v>
      </c>
      <c r="AB24" s="1427">
        <v>1</v>
      </c>
      <c r="AC24" s="1427">
        <v>1</v>
      </c>
    </row>
    <row r="25" ht="15" spans="1:29">
      <c r="A25" s="1217"/>
      <c r="B25" s="1214" t="s">
        <v>1564</v>
      </c>
      <c r="C25" s="1251"/>
      <c r="D25" s="1226">
        <v>100</v>
      </c>
      <c r="E25" s="1251"/>
      <c r="F25" s="1609">
        <f>SUMIF(86:86,E25,87:87)-SUMIF(86:86,C25,87:87)+100</f>
        <v>100</v>
      </c>
      <c r="G25" s="1251"/>
      <c r="H25" s="1226">
        <f>SUMIF(86:86,G25,87:87)-SUMIF(86:86,C25,87:87)+100</f>
        <v>100</v>
      </c>
      <c r="I25" s="1251"/>
      <c r="J25" s="1226">
        <f>SUMIF(86:86,I25,87:87)-SUMIF(86:86,C25,87:87)+100</f>
        <v>100</v>
      </c>
      <c r="K25" s="1369"/>
      <c r="L25" s="1361"/>
      <c r="M25" s="1345"/>
      <c r="N25" s="1345"/>
      <c r="O25" s="1345"/>
      <c r="P25" s="1782"/>
      <c r="Q25" s="749" t="str">
        <f t="shared" ref="Q25:Q46" si="11">B25</f>
        <v>临街状况</v>
      </c>
      <c r="R25" s="1411" t="s">
        <v>1490</v>
      </c>
      <c r="S25" s="1412">
        <f>F25</f>
        <v>100</v>
      </c>
      <c r="T25" s="1411" t="s">
        <v>1490</v>
      </c>
      <c r="U25" s="1412">
        <f>H25</f>
        <v>100</v>
      </c>
      <c r="V25" s="1411" t="s">
        <v>1490</v>
      </c>
      <c r="W25" s="1412">
        <f>J25</f>
        <v>100</v>
      </c>
      <c r="X25" s="1398"/>
      <c r="Y25" s="1364"/>
      <c r="Z25" s="1385" t="str">
        <f>Q25</f>
        <v>临街状况</v>
      </c>
      <c r="AA25" s="1427">
        <f t="shared" si="3"/>
        <v>1</v>
      </c>
      <c r="AB25" s="1427">
        <f t="shared" si="4"/>
        <v>1</v>
      </c>
      <c r="AC25" s="1427">
        <f t="shared" si="5"/>
        <v>1</v>
      </c>
    </row>
    <row r="26" ht="15" spans="1:29">
      <c r="A26" s="1217"/>
      <c r="B26" s="1560" t="s">
        <v>1565</v>
      </c>
      <c r="C26" s="1225"/>
      <c r="D26" s="1226">
        <v>100</v>
      </c>
      <c r="E26" s="1225"/>
      <c r="F26" s="1609">
        <f>SUMIF(88:88,E26,89:89)-SUMIF(88:88,C26,89:89)+100</f>
        <v>100</v>
      </c>
      <c r="G26" s="1225"/>
      <c r="H26" s="1226">
        <f>SUMIF(88:88,G26,89:89)-SUMIF(88:88,C26,89:89)+100</f>
        <v>100</v>
      </c>
      <c r="I26" s="1225"/>
      <c r="J26" s="1226">
        <f>SUMIF(88:88,I26,89:89)-SUMIF(88:88,C26,89:89)+100</f>
        <v>100</v>
      </c>
      <c r="K26" s="1368"/>
      <c r="L26" s="1361"/>
      <c r="M26" s="1345"/>
      <c r="N26" s="1345"/>
      <c r="O26" s="1345"/>
      <c r="P26" s="1782"/>
      <c r="Q26" s="749" t="str">
        <f t="shared" si="11"/>
        <v>平面位置/可视性</v>
      </c>
      <c r="R26" s="1411" t="s">
        <v>1490</v>
      </c>
      <c r="S26" s="1412">
        <f>F26</f>
        <v>100</v>
      </c>
      <c r="T26" s="1411" t="s">
        <v>1490</v>
      </c>
      <c r="U26" s="1412">
        <f>H26</f>
        <v>100</v>
      </c>
      <c r="V26" s="1411" t="s">
        <v>1490</v>
      </c>
      <c r="W26" s="1412">
        <f>J26</f>
        <v>100</v>
      </c>
      <c r="X26" s="1398"/>
      <c r="Y26" s="1364"/>
      <c r="Z26" s="1385" t="str">
        <f>Q26</f>
        <v>平面位置/可视性</v>
      </c>
      <c r="AA26" s="1427">
        <f t="shared" si="3"/>
        <v>1</v>
      </c>
      <c r="AB26" s="1427">
        <f t="shared" si="4"/>
        <v>1</v>
      </c>
      <c r="AC26" s="1427">
        <f t="shared" si="5"/>
        <v>1</v>
      </c>
    </row>
    <row r="27" s="1164" customFormat="1" ht="15" spans="1:29">
      <c r="A27" s="1220"/>
      <c r="B27" s="1555" t="s">
        <v>1566</v>
      </c>
      <c r="C27" s="1773"/>
      <c r="D27" s="1722">
        <v>100</v>
      </c>
      <c r="E27" s="1773"/>
      <c r="F27" s="1723">
        <f>SUMIF(90:90,E27,91:91)-SUMIF(90:90,C27,91:91)+100</f>
        <v>100</v>
      </c>
      <c r="G27" s="1773"/>
      <c r="H27" s="1722">
        <f>SUMIF(90:90,G27,91:91)-SUMIF(90:90,C27,91:91)+100</f>
        <v>100</v>
      </c>
      <c r="I27" s="1773"/>
      <c r="J27" s="1722">
        <f>SUMIF(90:90,I27,91:91)-SUMIF(90:90,C27,91:91)+100</f>
        <v>100</v>
      </c>
      <c r="K27" s="1369"/>
      <c r="L27" s="1350"/>
      <c r="M27" s="1351"/>
      <c r="N27" s="1351"/>
      <c r="O27" s="1351"/>
      <c r="P27" s="1782"/>
      <c r="Q27" s="1410" t="str">
        <f t="shared" si="11"/>
        <v>人流量</v>
      </c>
      <c r="R27" s="1406" t="s">
        <v>1490</v>
      </c>
      <c r="S27" s="1407">
        <f>F27</f>
        <v>100</v>
      </c>
      <c r="T27" s="1406" t="s">
        <v>1490</v>
      </c>
      <c r="U27" s="1407">
        <f>H27</f>
        <v>100</v>
      </c>
      <c r="V27" s="1406" t="s">
        <v>1490</v>
      </c>
      <c r="W27" s="1407">
        <f>J27</f>
        <v>100</v>
      </c>
      <c r="X27" s="1408"/>
      <c r="Y27" s="1364"/>
      <c r="Z27" s="1426" t="str">
        <f>Q27</f>
        <v>人流量</v>
      </c>
      <c r="AA27" s="1427">
        <f t="shared" si="3"/>
        <v>1</v>
      </c>
      <c r="AB27" s="1427">
        <f t="shared" si="4"/>
        <v>1</v>
      </c>
      <c r="AC27" s="1427">
        <f t="shared" si="5"/>
        <v>1</v>
      </c>
    </row>
    <row r="28" ht="15" spans="1:29">
      <c r="A28" s="1217"/>
      <c r="B28" s="1214" t="s">
        <v>1567</v>
      </c>
      <c r="C28" s="1251"/>
      <c r="D28" s="1226">
        <v>100</v>
      </c>
      <c r="E28" s="1251"/>
      <c r="F28" s="1609">
        <f>SUMIF(92:92,E28,93:93)-SUMIF(92:92,C28,93:93)+100</f>
        <v>100</v>
      </c>
      <c r="G28" s="1251"/>
      <c r="H28" s="1226">
        <f>SUMIF(92:92,G28,93:93)-SUMIF(92:92,C28,93:93)+100</f>
        <v>100</v>
      </c>
      <c r="I28" s="1251"/>
      <c r="J28" s="1226">
        <f>SUMIF(92:92,I28,93:93)-SUMIF(92:92,C28,93:93)+100</f>
        <v>100</v>
      </c>
      <c r="K28" s="1368"/>
      <c r="L28" s="1361"/>
      <c r="M28" s="1345"/>
      <c r="N28" s="1345"/>
      <c r="O28" s="1345"/>
      <c r="P28" s="1782"/>
      <c r="Q28" s="749" t="str">
        <f t="shared" si="11"/>
        <v>楼层</v>
      </c>
      <c r="R28" s="1411" t="s">
        <v>1490</v>
      </c>
      <c r="S28" s="1412">
        <f t="shared" ref="S28:S46" si="12">F28</f>
        <v>100</v>
      </c>
      <c r="T28" s="1411" t="s">
        <v>1490</v>
      </c>
      <c r="U28" s="1412">
        <f t="shared" ref="U28:U46" si="13">H28</f>
        <v>100</v>
      </c>
      <c r="V28" s="1411" t="s">
        <v>1490</v>
      </c>
      <c r="W28" s="1412">
        <f t="shared" ref="W28:W46" si="14">J28</f>
        <v>100</v>
      </c>
      <c r="X28" s="1398"/>
      <c r="Y28" s="1364"/>
      <c r="Z28" s="1385" t="str">
        <f t="shared" ref="Z28:Z46" si="15">Q28</f>
        <v>楼层</v>
      </c>
      <c r="AA28" s="1427">
        <f t="shared" si="3"/>
        <v>1</v>
      </c>
      <c r="AB28" s="1427">
        <f t="shared" si="4"/>
        <v>1</v>
      </c>
      <c r="AC28" s="1427">
        <f t="shared" si="5"/>
        <v>1</v>
      </c>
    </row>
    <row r="29" ht="15" spans="1:29">
      <c r="A29" s="1217"/>
      <c r="B29" s="1560">
        <v>111</v>
      </c>
      <c r="C29" s="1225"/>
      <c r="D29" s="1226">
        <v>100</v>
      </c>
      <c r="E29" s="1225"/>
      <c r="F29" s="1609">
        <f>SUMIF(94:94,E29,95:95)-SUMIF(94:94,C29,95:95)+100</f>
        <v>100</v>
      </c>
      <c r="G29" s="1225"/>
      <c r="H29" s="1226">
        <f>SUMIF(94:94,G29,95:95)-SUMIF(94:94,C29,95:95)+100</f>
        <v>100</v>
      </c>
      <c r="I29" s="1225"/>
      <c r="J29" s="1226">
        <f>SUMIF(94:94,I29,95:95)-SUMIF(94:94,C29,95:95)+100</f>
        <v>100</v>
      </c>
      <c r="K29" s="1368"/>
      <c r="L29" s="1361"/>
      <c r="M29" s="1345"/>
      <c r="N29" s="1345"/>
      <c r="O29" s="1345"/>
      <c r="P29" s="1782"/>
      <c r="Q29" s="749">
        <f t="shared" si="11"/>
        <v>111</v>
      </c>
      <c r="R29" s="1411" t="s">
        <v>1490</v>
      </c>
      <c r="S29" s="1412">
        <f t="shared" si="12"/>
        <v>100</v>
      </c>
      <c r="T29" s="1411" t="s">
        <v>1490</v>
      </c>
      <c r="U29" s="1412">
        <f t="shared" si="13"/>
        <v>100</v>
      </c>
      <c r="V29" s="1411" t="s">
        <v>1490</v>
      </c>
      <c r="W29" s="1412">
        <f t="shared" si="14"/>
        <v>100</v>
      </c>
      <c r="X29" s="1398"/>
      <c r="Y29" s="1364"/>
      <c r="Z29" s="1385">
        <f t="shared" si="15"/>
        <v>111</v>
      </c>
      <c r="AA29" s="1427">
        <f t="shared" si="3"/>
        <v>1</v>
      </c>
      <c r="AB29" s="1427">
        <f t="shared" si="4"/>
        <v>1</v>
      </c>
      <c r="AC29" s="1427">
        <f t="shared" si="5"/>
        <v>1</v>
      </c>
    </row>
    <row r="30" ht="15" spans="1:29">
      <c r="A30" s="1217"/>
      <c r="B30" s="1560">
        <v>111</v>
      </c>
      <c r="C30" s="1225"/>
      <c r="D30" s="1226">
        <v>100</v>
      </c>
      <c r="E30" s="1225"/>
      <c r="F30" s="1609">
        <f>SUMIF(96:96,E30,97:97)-SUMIF(96:96,C30,97:97)+100</f>
        <v>100</v>
      </c>
      <c r="G30" s="1225"/>
      <c r="H30" s="1226">
        <f>SUMIF(96:96,G30,97:97)-SUMIF(96:96,C30,97:97)+100</f>
        <v>100</v>
      </c>
      <c r="I30" s="1225"/>
      <c r="J30" s="1226">
        <f>SUMIF(96:96,I30,97:97)-SUMIF(96:96,C30,97:97)+100</f>
        <v>100</v>
      </c>
      <c r="K30" s="1368"/>
      <c r="L30" s="1361"/>
      <c r="M30" s="1345"/>
      <c r="N30" s="1345"/>
      <c r="O30" s="1345"/>
      <c r="P30" s="1782"/>
      <c r="Q30" s="749">
        <f t="shared" si="11"/>
        <v>111</v>
      </c>
      <c r="R30" s="1411" t="s">
        <v>1490</v>
      </c>
      <c r="S30" s="1412">
        <f t="shared" si="12"/>
        <v>100</v>
      </c>
      <c r="T30" s="1411" t="s">
        <v>1490</v>
      </c>
      <c r="U30" s="1412">
        <f t="shared" si="13"/>
        <v>100</v>
      </c>
      <c r="V30" s="1411" t="s">
        <v>1490</v>
      </c>
      <c r="W30" s="1412">
        <f t="shared" si="14"/>
        <v>100</v>
      </c>
      <c r="X30" s="1398"/>
      <c r="Y30" s="1364"/>
      <c r="Z30" s="1385">
        <f t="shared" si="15"/>
        <v>111</v>
      </c>
      <c r="AA30" s="1427">
        <f t="shared" si="3"/>
        <v>1</v>
      </c>
      <c r="AB30" s="1427">
        <f t="shared" si="4"/>
        <v>1</v>
      </c>
      <c r="AC30" s="1427">
        <f t="shared" si="5"/>
        <v>1</v>
      </c>
    </row>
    <row r="31" ht="15.75" spans="1:29">
      <c r="A31" s="1227"/>
      <c r="B31" s="1560">
        <v>111</v>
      </c>
      <c r="C31" s="1229"/>
      <c r="D31" s="1230">
        <v>100</v>
      </c>
      <c r="E31" s="1225"/>
      <c r="F31" s="1622">
        <f>SUMIF(98:98,E31,99:99)-SUMIF(98:98,C31,99:99)+100</f>
        <v>100</v>
      </c>
      <c r="G31" s="1225"/>
      <c r="H31" s="1230">
        <f>SUMIF(98:98,G31,99:99)-SUMIF(98:98,C31,99:99)+100</f>
        <v>100</v>
      </c>
      <c r="I31" s="1225"/>
      <c r="J31" s="1230">
        <f>SUMIF(98:98,I31,99:99)-SUMIF(98:98,C31,99:99)+100</f>
        <v>100</v>
      </c>
      <c r="K31" s="1368"/>
      <c r="L31" s="1361"/>
      <c r="M31" s="1345"/>
      <c r="N31" s="1345"/>
      <c r="O31" s="1345"/>
      <c r="P31" s="1782"/>
      <c r="Q31" s="749">
        <f t="shared" si="11"/>
        <v>111</v>
      </c>
      <c r="R31" s="1411" t="s">
        <v>1490</v>
      </c>
      <c r="S31" s="1412">
        <f t="shared" si="12"/>
        <v>100</v>
      </c>
      <c r="T31" s="1411" t="s">
        <v>1490</v>
      </c>
      <c r="U31" s="1412">
        <f t="shared" si="13"/>
        <v>100</v>
      </c>
      <c r="V31" s="1411" t="s">
        <v>1490</v>
      </c>
      <c r="W31" s="1412">
        <f t="shared" si="14"/>
        <v>100</v>
      </c>
      <c r="X31" s="1398"/>
      <c r="Y31" s="1364"/>
      <c r="Z31" s="1385">
        <f t="shared" si="15"/>
        <v>111</v>
      </c>
      <c r="AA31" s="1427">
        <f t="shared" si="3"/>
        <v>1</v>
      </c>
      <c r="AB31" s="1427">
        <f t="shared" si="4"/>
        <v>1</v>
      </c>
      <c r="AC31" s="1427">
        <f t="shared" si="5"/>
        <v>1</v>
      </c>
    </row>
    <row r="32" ht="15" spans="1:29">
      <c r="A32" s="1231" t="s">
        <v>1508</v>
      </c>
      <c r="B32" s="1210" t="s">
        <v>1568</v>
      </c>
      <c r="C32" s="1809"/>
      <c r="D32" s="1267">
        <v>100</v>
      </c>
      <c r="E32" s="1809"/>
      <c r="F32" s="1609">
        <f>SUMIF(100:100,E32,101:101)-SUMIF(100:100,C32,101:101)+100</f>
        <v>100</v>
      </c>
      <c r="G32" s="1809"/>
      <c r="H32" s="1226">
        <f>SUMIF(100:100,G32,101:101)-SUMIF(100:100,C32,101:101)+100</f>
        <v>100</v>
      </c>
      <c r="I32" s="1809"/>
      <c r="J32" s="1267">
        <f>SUMIF(100:100,I32,101:101)-SUMIF(100:100,C32,101:101)+100</f>
        <v>100</v>
      </c>
      <c r="K32" s="1369"/>
      <c r="L32" s="1361"/>
      <c r="M32" s="1345"/>
      <c r="N32" s="1345"/>
      <c r="O32" s="1345"/>
      <c r="P32" s="1783" t="s">
        <v>1510</v>
      </c>
      <c r="Q32" s="749" t="str">
        <f t="shared" si="11"/>
        <v>商业类型</v>
      </c>
      <c r="R32" s="1411" t="s">
        <v>1490</v>
      </c>
      <c r="S32" s="1412">
        <f t="shared" si="12"/>
        <v>100</v>
      </c>
      <c r="T32" s="1411" t="s">
        <v>1490</v>
      </c>
      <c r="U32" s="1412">
        <f t="shared" si="13"/>
        <v>100</v>
      </c>
      <c r="V32" s="1411" t="s">
        <v>1490</v>
      </c>
      <c r="W32" s="1412">
        <f t="shared" si="14"/>
        <v>100</v>
      </c>
      <c r="X32" s="1398"/>
      <c r="Y32" s="1373" t="s">
        <v>1510</v>
      </c>
      <c r="Z32" s="1385" t="str">
        <f t="shared" si="15"/>
        <v>商业类型</v>
      </c>
      <c r="AA32" s="1427">
        <f t="shared" si="3"/>
        <v>1</v>
      </c>
      <c r="AB32" s="1427">
        <f t="shared" si="4"/>
        <v>1</v>
      </c>
      <c r="AC32" s="1427">
        <f t="shared" si="5"/>
        <v>1</v>
      </c>
    </row>
    <row r="33" s="1166" customFormat="1" ht="15" spans="1:29">
      <c r="A33" s="1273"/>
      <c r="B33" s="1214" t="s">
        <v>1511</v>
      </c>
      <c r="C33" s="1603"/>
      <c r="D33" s="1216">
        <v>100</v>
      </c>
      <c r="E33" s="1219"/>
      <c r="F33" s="1602" t="e">
        <f>LOOKUP(E33,103:103,104:104)-LOOKUP(C33,103:103,104:104)+100</f>
        <v>#N/A</v>
      </c>
      <c r="G33" s="1218"/>
      <c r="H33" s="1216" t="e">
        <f>LOOKUP(G33,103:103,104:104)-LOOKUP(C33,103:103,104:104)+100</f>
        <v>#N/A</v>
      </c>
      <c r="I33" s="1218"/>
      <c r="J33" s="1216" t="e">
        <f>LOOKUP(I33,103:103,104:104)-LOOKUP(C33,103:103,104:104)+100</f>
        <v>#N/A</v>
      </c>
      <c r="K33" s="1368"/>
      <c r="L33" s="1359"/>
      <c r="M33" s="1371"/>
      <c r="N33" s="1371"/>
      <c r="O33" s="1371"/>
      <c r="P33" s="1784"/>
      <c r="Q33" s="1648" t="str">
        <f t="shared" si="11"/>
        <v>项目建筑规模</v>
      </c>
      <c r="R33" s="1413" t="s">
        <v>1490</v>
      </c>
      <c r="S33" s="1414" t="e">
        <f t="shared" si="12"/>
        <v>#N/A</v>
      </c>
      <c r="T33" s="1413" t="s">
        <v>1490</v>
      </c>
      <c r="U33" s="1414" t="e">
        <f t="shared" si="13"/>
        <v>#N/A</v>
      </c>
      <c r="V33" s="1413" t="s">
        <v>1490</v>
      </c>
      <c r="W33" s="1414" t="e">
        <f t="shared" si="14"/>
        <v>#N/A</v>
      </c>
      <c r="X33" s="1415"/>
      <c r="Y33" s="1373"/>
      <c r="Z33" s="1428" t="str">
        <f t="shared" si="15"/>
        <v>项目建筑规模</v>
      </c>
      <c r="AA33" s="1427" t="e">
        <f t="shared" si="3"/>
        <v>#N/A</v>
      </c>
      <c r="AB33" s="1427" t="e">
        <f t="shared" si="4"/>
        <v>#N/A</v>
      </c>
      <c r="AC33" s="1427" t="e">
        <f t="shared" si="5"/>
        <v>#N/A</v>
      </c>
    </row>
    <row r="34" ht="15" spans="1:29">
      <c r="A34" s="1268"/>
      <c r="B34" s="1214" t="s">
        <v>1512</v>
      </c>
      <c r="C34" s="1810"/>
      <c r="D34" s="1226">
        <v>100</v>
      </c>
      <c r="E34" s="1810"/>
      <c r="F34" s="1609">
        <f>SUMIF(105:105,E34,106:106)-SUMIF(105:105,C34,106:106)+100</f>
        <v>100</v>
      </c>
      <c r="G34" s="1810"/>
      <c r="H34" s="1226">
        <f>SUMIF(105:105,G34,106:106)-SUMIF(105:105,C34,106:106)+100</f>
        <v>100</v>
      </c>
      <c r="I34" s="1810"/>
      <c r="J34" s="1226">
        <f>SUMIF(105:105,I34,106:106)-SUMIF(105:105,C34,106:106)+100</f>
        <v>100</v>
      </c>
      <c r="K34" s="1369"/>
      <c r="L34" s="1361"/>
      <c r="M34" s="1345"/>
      <c r="N34" s="1345"/>
      <c r="O34" s="1345"/>
      <c r="P34" s="1784"/>
      <c r="Q34" s="749" t="str">
        <f t="shared" si="11"/>
        <v>建筑结构</v>
      </c>
      <c r="R34" s="1411" t="s">
        <v>1490</v>
      </c>
      <c r="S34" s="1412">
        <f t="shared" si="12"/>
        <v>100</v>
      </c>
      <c r="T34" s="1411" t="s">
        <v>1490</v>
      </c>
      <c r="U34" s="1412">
        <f t="shared" si="13"/>
        <v>100</v>
      </c>
      <c r="V34" s="1411" t="s">
        <v>1490</v>
      </c>
      <c r="W34" s="1412">
        <f t="shared" si="14"/>
        <v>100</v>
      </c>
      <c r="X34" s="1398"/>
      <c r="Y34" s="1373"/>
      <c r="Z34" s="1385" t="str">
        <f t="shared" si="15"/>
        <v>建筑结构</v>
      </c>
      <c r="AA34" s="1427">
        <f t="shared" si="3"/>
        <v>1</v>
      </c>
      <c r="AB34" s="1427">
        <f t="shared" si="4"/>
        <v>1</v>
      </c>
      <c r="AC34" s="1427">
        <f t="shared" si="5"/>
        <v>1</v>
      </c>
    </row>
    <row r="35" ht="15" spans="1:29">
      <c r="A35" s="1268"/>
      <c r="B35" s="1214" t="s">
        <v>1514</v>
      </c>
      <c r="C35" s="1269"/>
      <c r="D35" s="1226">
        <v>100</v>
      </c>
      <c r="E35" s="1269"/>
      <c r="F35" s="1609">
        <f>SUMIF(107:107,E35,108:108)-SUMIF(107:107,C35,108:108)+100</f>
        <v>100</v>
      </c>
      <c r="G35" s="1269"/>
      <c r="H35" s="1226">
        <f>SUMIF(107:107,G35,108:108)-SUMIF(107:107,C35,108:108)+100</f>
        <v>100</v>
      </c>
      <c r="I35" s="1269"/>
      <c r="J35" s="1226">
        <f>SUMIF(107:107,I35,108:108)-SUMIF(107:107,C35,108:108)+100</f>
        <v>100</v>
      </c>
      <c r="K35" s="1369"/>
      <c r="L35" s="1361"/>
      <c r="M35" s="1345"/>
      <c r="N35" s="1345"/>
      <c r="O35" s="1345"/>
      <c r="P35" s="1784"/>
      <c r="Q35" s="749" t="str">
        <f t="shared" si="11"/>
        <v>公共部分装修</v>
      </c>
      <c r="R35" s="1411" t="s">
        <v>1490</v>
      </c>
      <c r="S35" s="1412">
        <f t="shared" si="12"/>
        <v>100</v>
      </c>
      <c r="T35" s="1411" t="s">
        <v>1490</v>
      </c>
      <c r="U35" s="1412">
        <f t="shared" si="13"/>
        <v>100</v>
      </c>
      <c r="V35" s="1411" t="s">
        <v>1490</v>
      </c>
      <c r="W35" s="1412">
        <f t="shared" si="14"/>
        <v>100</v>
      </c>
      <c r="X35" s="1398"/>
      <c r="Y35" s="1373"/>
      <c r="Z35" s="1385" t="str">
        <f t="shared" si="15"/>
        <v>公共部分装修</v>
      </c>
      <c r="AA35" s="1427">
        <f t="shared" si="3"/>
        <v>1</v>
      </c>
      <c r="AB35" s="1427">
        <f t="shared" si="4"/>
        <v>1</v>
      </c>
      <c r="AC35" s="1427">
        <f t="shared" si="5"/>
        <v>1</v>
      </c>
    </row>
    <row r="36" ht="15" spans="1:29">
      <c r="A36" s="1268"/>
      <c r="B36" s="1214" t="s">
        <v>636</v>
      </c>
      <c r="C36" s="1616"/>
      <c r="D36" s="1226">
        <v>100</v>
      </c>
      <c r="E36" s="1616"/>
      <c r="F36" s="1609" t="e">
        <f>LOOKUP(E36,110:110,111:111)-LOOKUP(C36,110:110,111:111)+100</f>
        <v>#N/A</v>
      </c>
      <c r="G36" s="1616"/>
      <c r="H36" s="1609" t="e">
        <f>LOOKUP(G36,110:110,111:111)-LOOKUP(C36,110:110,111:111)+100</f>
        <v>#N/A</v>
      </c>
      <c r="I36" s="1616"/>
      <c r="J36" s="1226" t="e">
        <f>LOOKUP(I36,110:110,111:111)-LOOKUP(C36,110:110,111:111)+100</f>
        <v>#N/A</v>
      </c>
      <c r="K36" s="1369"/>
      <c r="L36" s="1361"/>
      <c r="M36" s="1345"/>
      <c r="N36" s="1345"/>
      <c r="O36" s="1345"/>
      <c r="P36" s="1784"/>
      <c r="Q36" s="749" t="str">
        <f t="shared" si="11"/>
        <v>成新度</v>
      </c>
      <c r="R36" s="1411" t="s">
        <v>1490</v>
      </c>
      <c r="S36" s="1412" t="e">
        <f t="shared" si="12"/>
        <v>#N/A</v>
      </c>
      <c r="T36" s="1411" t="s">
        <v>1490</v>
      </c>
      <c r="U36" s="1412" t="e">
        <f t="shared" si="13"/>
        <v>#N/A</v>
      </c>
      <c r="V36" s="1411" t="s">
        <v>1490</v>
      </c>
      <c r="W36" s="1412" t="e">
        <f t="shared" si="14"/>
        <v>#N/A</v>
      </c>
      <c r="X36" s="1398"/>
      <c r="Y36" s="1373"/>
      <c r="Z36" s="1385" t="str">
        <f t="shared" si="15"/>
        <v>成新度</v>
      </c>
      <c r="AA36" s="1427" t="e">
        <f t="shared" si="3"/>
        <v>#N/A</v>
      </c>
      <c r="AB36" s="1427" t="e">
        <f t="shared" si="4"/>
        <v>#N/A</v>
      </c>
      <c r="AC36" s="1427" t="e">
        <f t="shared" si="5"/>
        <v>#N/A</v>
      </c>
    </row>
    <row r="37" s="1164" customFormat="1" ht="15" spans="1:29">
      <c r="A37" s="1270"/>
      <c r="B37" s="1214" t="s">
        <v>1516</v>
      </c>
      <c r="C37" s="1269"/>
      <c r="D37" s="1216">
        <v>100</v>
      </c>
      <c r="E37" s="1269"/>
      <c r="F37" s="1609">
        <f>SUMIF(112:112,E37,113:113)-SUMIF(112:112,C37,113:113)+100</f>
        <v>100</v>
      </c>
      <c r="G37" s="1269"/>
      <c r="H37" s="1226">
        <f>SUMIF(112:112,G37,113:113)-SUMIF(112:112,C37,113:113)+100</f>
        <v>100</v>
      </c>
      <c r="I37" s="1269"/>
      <c r="J37" s="1226">
        <f>SUMIF(112:112,I37,113:113)-SUMIF(112:112,C37,113:113)+100</f>
        <v>100</v>
      </c>
      <c r="K37" s="1369"/>
      <c r="L37" s="1350"/>
      <c r="M37" s="1351"/>
      <c r="N37" s="1351"/>
      <c r="O37" s="1351"/>
      <c r="P37" s="1784"/>
      <c r="Q37" s="1410" t="str">
        <f t="shared" si="11"/>
        <v>市政基础设施</v>
      </c>
      <c r="R37" s="1406" t="s">
        <v>1490</v>
      </c>
      <c r="S37" s="1407">
        <f t="shared" si="12"/>
        <v>100</v>
      </c>
      <c r="T37" s="1406" t="s">
        <v>1490</v>
      </c>
      <c r="U37" s="1407">
        <f t="shared" si="13"/>
        <v>100</v>
      </c>
      <c r="V37" s="1406" t="s">
        <v>1490</v>
      </c>
      <c r="W37" s="1407">
        <f t="shared" si="14"/>
        <v>100</v>
      </c>
      <c r="X37" s="1408"/>
      <c r="Y37" s="1373"/>
      <c r="Z37" s="1426" t="str">
        <f t="shared" si="15"/>
        <v>市政基础设施</v>
      </c>
      <c r="AA37" s="1425">
        <f t="shared" si="3"/>
        <v>1</v>
      </c>
      <c r="AB37" s="1425">
        <f t="shared" si="4"/>
        <v>1</v>
      </c>
      <c r="AC37" s="1425">
        <f t="shared" si="5"/>
        <v>1</v>
      </c>
    </row>
    <row r="38" ht="15" spans="1:29">
      <c r="A38" s="1268"/>
      <c r="B38" s="1214" t="s">
        <v>1569</v>
      </c>
      <c r="C38" s="1269"/>
      <c r="D38" s="1226">
        <v>100</v>
      </c>
      <c r="E38" s="1269"/>
      <c r="F38" s="1609">
        <f>SUMIF(114:114,E38,115:115)-SUMIF(114:114,C38,115:115)+100</f>
        <v>100</v>
      </c>
      <c r="G38" s="1269"/>
      <c r="H38" s="1226">
        <f>SUMIF(114:114,G38,115:115)-SUMIF(114:114,C38,115:115)+100</f>
        <v>100</v>
      </c>
      <c r="I38" s="1269"/>
      <c r="J38" s="1226">
        <f>SUMIF(114:114,I38,115:115)-SUMIF(114:114,C38,115:115)+100</f>
        <v>100</v>
      </c>
      <c r="K38" s="1369"/>
      <c r="L38" s="1361"/>
      <c r="M38" s="1345"/>
      <c r="N38" s="1345"/>
      <c r="O38" s="1345"/>
      <c r="P38" s="1784" t="s">
        <v>1510</v>
      </c>
      <c r="Q38" s="749" t="str">
        <f t="shared" si="11"/>
        <v>业态</v>
      </c>
      <c r="R38" s="1411" t="s">
        <v>1490</v>
      </c>
      <c r="S38" s="1412">
        <f t="shared" si="12"/>
        <v>100</v>
      </c>
      <c r="T38" s="1411" t="s">
        <v>1490</v>
      </c>
      <c r="U38" s="1412">
        <f t="shared" si="13"/>
        <v>100</v>
      </c>
      <c r="V38" s="1411" t="s">
        <v>1490</v>
      </c>
      <c r="W38" s="1412">
        <f t="shared" si="14"/>
        <v>100</v>
      </c>
      <c r="X38" s="1398"/>
      <c r="Y38" s="1373" t="s">
        <v>1510</v>
      </c>
      <c r="Z38" s="1385" t="str">
        <f t="shared" si="15"/>
        <v>业态</v>
      </c>
      <c r="AA38" s="1427">
        <f t="shared" si="3"/>
        <v>1</v>
      </c>
      <c r="AB38" s="1427">
        <f t="shared" si="4"/>
        <v>1</v>
      </c>
      <c r="AC38" s="1427">
        <f t="shared" si="5"/>
        <v>1</v>
      </c>
    </row>
    <row r="39" ht="15" spans="1:29">
      <c r="A39" s="1268"/>
      <c r="B39" s="1214" t="s">
        <v>1570</v>
      </c>
      <c r="C39" s="1269"/>
      <c r="D39" s="1226">
        <v>100</v>
      </c>
      <c r="E39" s="1269"/>
      <c r="F39" s="1609">
        <f>SUMIF(116:116,E39,117:117)-SUMIF(116:116,C39,117:117)+100</f>
        <v>100</v>
      </c>
      <c r="G39" s="1269"/>
      <c r="H39" s="1226">
        <f>SUMIF(116:116,G39,117:117)-SUMIF(116:116,C39,117:117)+100</f>
        <v>100</v>
      </c>
      <c r="I39" s="1269"/>
      <c r="J39" s="1226">
        <f>SUMIF(116:116,I39,117:117)-SUMIF(116:116,C39,117:117)+100</f>
        <v>100</v>
      </c>
      <c r="K39" s="1369"/>
      <c r="L39" s="1361"/>
      <c r="M39" s="1345"/>
      <c r="N39" s="1345"/>
      <c r="O39" s="1345"/>
      <c r="P39" s="1784"/>
      <c r="Q39" s="749" t="str">
        <f t="shared" si="11"/>
        <v>层高</v>
      </c>
      <c r="R39" s="1411" t="s">
        <v>1490</v>
      </c>
      <c r="S39" s="1412">
        <f t="shared" si="12"/>
        <v>100</v>
      </c>
      <c r="T39" s="1411" t="s">
        <v>1490</v>
      </c>
      <c r="U39" s="1412">
        <f t="shared" si="13"/>
        <v>100</v>
      </c>
      <c r="V39" s="1411" t="s">
        <v>1490</v>
      </c>
      <c r="W39" s="1412">
        <f t="shared" si="14"/>
        <v>100</v>
      </c>
      <c r="X39" s="1398"/>
      <c r="Y39" s="1373"/>
      <c r="Z39" s="1385" t="str">
        <f t="shared" si="15"/>
        <v>层高</v>
      </c>
      <c r="AA39" s="1427">
        <f t="shared" si="3"/>
        <v>1</v>
      </c>
      <c r="AB39" s="1427">
        <f t="shared" si="4"/>
        <v>1</v>
      </c>
      <c r="AC39" s="1427">
        <f t="shared" si="5"/>
        <v>1</v>
      </c>
    </row>
    <row r="40" ht="15" spans="1:29">
      <c r="A40" s="1268"/>
      <c r="B40" s="1214" t="s">
        <v>1571</v>
      </c>
      <c r="C40" s="1811"/>
      <c r="D40" s="1226">
        <v>100</v>
      </c>
      <c r="E40" s="1812"/>
      <c r="F40" s="1609">
        <f>SUMIF(118:118,E40,119:119)-SUMIF(118:118,C40,119:119)+100</f>
        <v>100</v>
      </c>
      <c r="G40" s="1812"/>
      <c r="H40" s="1226">
        <f>SUMIF(118:118,G40,119:119)-SUMIF(118:118,C40,119:119)+100</f>
        <v>100</v>
      </c>
      <c r="I40" s="1812"/>
      <c r="J40" s="1226">
        <f>SUMIF(118:118,I40,119:119)-SUMIF(118:118,C40,119:119)+100</f>
        <v>100</v>
      </c>
      <c r="K40" s="1368"/>
      <c r="L40" s="1361"/>
      <c r="M40" s="1345"/>
      <c r="N40" s="1345"/>
      <c r="O40" s="1345"/>
      <c r="P40" s="1784"/>
      <c r="Q40" s="749" t="str">
        <f t="shared" si="11"/>
        <v>单套建筑面积</v>
      </c>
      <c r="R40" s="1411" t="s">
        <v>1490</v>
      </c>
      <c r="S40" s="1412">
        <f t="shared" si="12"/>
        <v>100</v>
      </c>
      <c r="T40" s="1411" t="s">
        <v>1490</v>
      </c>
      <c r="U40" s="1412">
        <f t="shared" si="13"/>
        <v>100</v>
      </c>
      <c r="V40" s="1411" t="s">
        <v>1490</v>
      </c>
      <c r="W40" s="1412">
        <f t="shared" si="14"/>
        <v>100</v>
      </c>
      <c r="X40" s="1398"/>
      <c r="Y40" s="1373"/>
      <c r="Z40" s="1385" t="str">
        <f t="shared" si="15"/>
        <v>单套建筑面积</v>
      </c>
      <c r="AA40" s="1427">
        <f t="shared" si="3"/>
        <v>1</v>
      </c>
      <c r="AB40" s="1427">
        <f t="shared" si="4"/>
        <v>1</v>
      </c>
      <c r="AC40" s="1427">
        <f t="shared" si="5"/>
        <v>1</v>
      </c>
    </row>
    <row r="41" s="1166" customFormat="1" ht="15" spans="1:29">
      <c r="A41" s="1273"/>
      <c r="B41" s="1380" t="s">
        <v>1572</v>
      </c>
      <c r="C41" s="1251"/>
      <c r="D41" s="1226">
        <v>100</v>
      </c>
      <c r="E41" s="1251"/>
      <c r="F41" s="1609">
        <f>SUMIF(120:120,E41,121:121)-SUMIF(120:120,C41,121:121)+100</f>
        <v>100</v>
      </c>
      <c r="G41" s="1251"/>
      <c r="H41" s="1226">
        <f>SUMIF(120:120,G41,121:121)-SUMIF(120:120,C41,121:121)+100</f>
        <v>100</v>
      </c>
      <c r="I41" s="1251"/>
      <c r="J41" s="1226">
        <f>SUMIF(120:120,I41,121:121)-SUMIF(120:120,C41,121:121)+100</f>
        <v>100</v>
      </c>
      <c r="K41" s="1369"/>
      <c r="L41" s="1359"/>
      <c r="M41" s="1371"/>
      <c r="N41" s="1371"/>
      <c r="O41" s="1371"/>
      <c r="P41" s="1784"/>
      <c r="Q41" s="1648" t="str">
        <f t="shared" si="11"/>
        <v>进深比</v>
      </c>
      <c r="R41" s="1413" t="s">
        <v>1490</v>
      </c>
      <c r="S41" s="1414">
        <f t="shared" si="12"/>
        <v>100</v>
      </c>
      <c r="T41" s="1413" t="s">
        <v>1490</v>
      </c>
      <c r="U41" s="1414">
        <f t="shared" si="13"/>
        <v>100</v>
      </c>
      <c r="V41" s="1413" t="s">
        <v>1490</v>
      </c>
      <c r="W41" s="1414">
        <f t="shared" si="14"/>
        <v>100</v>
      </c>
      <c r="X41" s="1415"/>
      <c r="Y41" s="1373"/>
      <c r="Z41" s="1428" t="str">
        <f t="shared" si="15"/>
        <v>进深比</v>
      </c>
      <c r="AA41" s="1427">
        <f t="shared" si="3"/>
        <v>1</v>
      </c>
      <c r="AB41" s="1427">
        <f t="shared" si="4"/>
        <v>1</v>
      </c>
      <c r="AC41" s="1427">
        <f t="shared" si="5"/>
        <v>1</v>
      </c>
    </row>
    <row r="42" ht="15" spans="1:29">
      <c r="A42" s="1268"/>
      <c r="B42" s="1214" t="s">
        <v>1519</v>
      </c>
      <c r="C42" s="1269"/>
      <c r="D42" s="1226">
        <v>100</v>
      </c>
      <c r="E42" s="1269"/>
      <c r="F42" s="1609">
        <f>SUMIF(122:122,E42,123:123)-SUMIF(122:122,C42,123:123)+100</f>
        <v>100</v>
      </c>
      <c r="G42" s="1269"/>
      <c r="H42" s="1226">
        <f>SUMIF(122:122,G42,123:123)-SUMIF(122:122,C42,123:123)+100</f>
        <v>100</v>
      </c>
      <c r="I42" s="1269"/>
      <c r="J42" s="1226">
        <f>SUMIF(122:122,I42,123:123)-SUMIF(122:122,C42,123:123)+100</f>
        <v>100</v>
      </c>
      <c r="K42" s="1369"/>
      <c r="L42" s="1361"/>
      <c r="M42" s="1345"/>
      <c r="N42" s="1345"/>
      <c r="O42" s="1345"/>
      <c r="P42" s="1784"/>
      <c r="Q42" s="749" t="str">
        <f t="shared" si="11"/>
        <v>内部装修</v>
      </c>
      <c r="R42" s="1411" t="s">
        <v>1490</v>
      </c>
      <c r="S42" s="1412">
        <f t="shared" si="12"/>
        <v>100</v>
      </c>
      <c r="T42" s="1411" t="s">
        <v>1490</v>
      </c>
      <c r="U42" s="1412">
        <f t="shared" si="13"/>
        <v>100</v>
      </c>
      <c r="V42" s="1411" t="s">
        <v>1490</v>
      </c>
      <c r="W42" s="1412">
        <f t="shared" si="14"/>
        <v>100</v>
      </c>
      <c r="X42" s="1398"/>
      <c r="Y42" s="1373"/>
      <c r="Z42" s="1385" t="str">
        <f t="shared" si="15"/>
        <v>内部装修</v>
      </c>
      <c r="AA42" s="1427">
        <f t="shared" si="3"/>
        <v>1</v>
      </c>
      <c r="AB42" s="1427">
        <f t="shared" si="4"/>
        <v>1</v>
      </c>
      <c r="AC42" s="1427">
        <f t="shared" si="5"/>
        <v>1</v>
      </c>
    </row>
    <row r="43" ht="28.8" spans="1:29">
      <c r="A43" s="1268"/>
      <c r="B43" s="1214" t="s">
        <v>1520</v>
      </c>
      <c r="C43" s="1269"/>
      <c r="D43" s="1226">
        <v>100</v>
      </c>
      <c r="E43" s="1269"/>
      <c r="F43" s="1609">
        <f>SUMIF(124:124,E43,125:125)-SUMIF(124:124,C43,125:125)+100</f>
        <v>100</v>
      </c>
      <c r="G43" s="1269"/>
      <c r="H43" s="1226">
        <f>SUMIF(124:124,G43,125:125)-SUMIF(124:124,C43,125:125)+100</f>
        <v>100</v>
      </c>
      <c r="I43" s="1269"/>
      <c r="J43" s="1226">
        <f>SUMIF(124:124,I43,125:125)-SUMIF(124:124,C43,125:125)+100</f>
        <v>100</v>
      </c>
      <c r="K43" s="1369"/>
      <c r="L43" s="1361"/>
      <c r="M43" s="1345"/>
      <c r="N43" s="1345"/>
      <c r="O43" s="1345"/>
      <c r="P43" s="1784"/>
      <c r="Q43" s="749" t="str">
        <f t="shared" si="11"/>
        <v>内部装修维护情况</v>
      </c>
      <c r="R43" s="1411" t="s">
        <v>1490</v>
      </c>
      <c r="S43" s="1412">
        <f t="shared" si="12"/>
        <v>100</v>
      </c>
      <c r="T43" s="1411" t="s">
        <v>1490</v>
      </c>
      <c r="U43" s="1412">
        <f t="shared" si="13"/>
        <v>100</v>
      </c>
      <c r="V43" s="1411" t="s">
        <v>1490</v>
      </c>
      <c r="W43" s="1412">
        <f t="shared" si="14"/>
        <v>100</v>
      </c>
      <c r="X43" s="1398"/>
      <c r="Y43" s="1373"/>
      <c r="Z43" s="1385" t="str">
        <f t="shared" si="15"/>
        <v>内部装修维护情况</v>
      </c>
      <c r="AA43" s="1427">
        <f t="shared" si="3"/>
        <v>1</v>
      </c>
      <c r="AB43" s="1427">
        <f t="shared" si="4"/>
        <v>1</v>
      </c>
      <c r="AC43" s="1427">
        <f t="shared" si="5"/>
        <v>1</v>
      </c>
    </row>
    <row r="44" s="1164" customFormat="1" ht="15" spans="1:29">
      <c r="A44" s="1270"/>
      <c r="B44" s="1560">
        <v>111</v>
      </c>
      <c r="C44" s="1603"/>
      <c r="D44" s="1216">
        <v>100</v>
      </c>
      <c r="E44" s="1225"/>
      <c r="F44" s="1602">
        <f>SUMIF(126:126,E44,127:127)-SUMIF(126:126,C44,127:127)+100</f>
        <v>100</v>
      </c>
      <c r="G44" s="1225"/>
      <c r="H44" s="1216">
        <f>SUMIF(126:126,G44,127:127)-SUMIF(126:126,C44,127:127)+100</f>
        <v>100</v>
      </c>
      <c r="I44" s="1225"/>
      <c r="J44" s="1216">
        <f>SUMIF(126:126,I44,127:127)-SUMIF(126:126,C44,127:127)+100</f>
        <v>100</v>
      </c>
      <c r="K44" s="1368"/>
      <c r="L44" s="1350"/>
      <c r="M44" s="1351"/>
      <c r="N44" s="1351"/>
      <c r="O44" s="1351"/>
      <c r="P44" s="1784"/>
      <c r="Q44" s="1410">
        <f t="shared" si="11"/>
        <v>111</v>
      </c>
      <c r="R44" s="1406" t="s">
        <v>1490</v>
      </c>
      <c r="S44" s="1407">
        <f t="shared" si="12"/>
        <v>100</v>
      </c>
      <c r="T44" s="1406" t="s">
        <v>1490</v>
      </c>
      <c r="U44" s="1407">
        <f t="shared" si="13"/>
        <v>100</v>
      </c>
      <c r="V44" s="1406" t="s">
        <v>1490</v>
      </c>
      <c r="W44" s="1407">
        <f t="shared" si="14"/>
        <v>100</v>
      </c>
      <c r="X44" s="1408"/>
      <c r="Y44" s="1373"/>
      <c r="Z44" s="1426">
        <f t="shared" si="15"/>
        <v>111</v>
      </c>
      <c r="AA44" s="1425">
        <f t="shared" si="3"/>
        <v>1</v>
      </c>
      <c r="AB44" s="1425">
        <f t="shared" si="4"/>
        <v>1</v>
      </c>
      <c r="AC44" s="1425">
        <f t="shared" si="5"/>
        <v>1</v>
      </c>
    </row>
    <row r="45" ht="15" spans="1:29">
      <c r="A45" s="1268"/>
      <c r="B45" s="1560">
        <v>111</v>
      </c>
      <c r="C45" s="1225"/>
      <c r="D45" s="1226">
        <v>100</v>
      </c>
      <c r="E45" s="1225"/>
      <c r="F45" s="1609">
        <f>SUMIF(128:128,E45,129:129)-SUMIF(128:128,C45,129:129)+100</f>
        <v>100</v>
      </c>
      <c r="G45" s="1225"/>
      <c r="H45" s="1226">
        <f>SUMIF(128:128,G45,129:129)-SUMIF(128:128,C45,129:129)+100</f>
        <v>100</v>
      </c>
      <c r="I45" s="1225"/>
      <c r="J45" s="1226">
        <f>SUMIF(128:128,I45,129:129)-SUMIF(128:128,C45,129:129)+100</f>
        <v>100</v>
      </c>
      <c r="K45" s="1368"/>
      <c r="L45" s="1361"/>
      <c r="M45" s="1345"/>
      <c r="N45" s="1345"/>
      <c r="O45" s="1345"/>
      <c r="P45" s="1784"/>
      <c r="Q45" s="749">
        <f t="shared" si="11"/>
        <v>111</v>
      </c>
      <c r="R45" s="1411" t="s">
        <v>1490</v>
      </c>
      <c r="S45" s="1412">
        <f t="shared" si="12"/>
        <v>100</v>
      </c>
      <c r="T45" s="1411" t="s">
        <v>1490</v>
      </c>
      <c r="U45" s="1412">
        <f t="shared" si="13"/>
        <v>100</v>
      </c>
      <c r="V45" s="1411" t="s">
        <v>1490</v>
      </c>
      <c r="W45" s="1412">
        <f t="shared" si="14"/>
        <v>100</v>
      </c>
      <c r="X45" s="1398"/>
      <c r="Y45" s="1373"/>
      <c r="Z45" s="1385">
        <f t="shared" si="15"/>
        <v>111</v>
      </c>
      <c r="AA45" s="1427">
        <f t="shared" si="3"/>
        <v>1</v>
      </c>
      <c r="AB45" s="1427">
        <f t="shared" si="4"/>
        <v>1</v>
      </c>
      <c r="AC45" s="1427">
        <f t="shared" si="5"/>
        <v>1</v>
      </c>
    </row>
    <row r="46" ht="15.75" spans="1:29">
      <c r="A46" s="1621"/>
      <c r="B46" s="1228">
        <v>111</v>
      </c>
      <c r="C46" s="1229"/>
      <c r="D46" s="1230">
        <v>100</v>
      </c>
      <c r="E46" s="1225"/>
      <c r="F46" s="1622">
        <f>SUMIF(130:130,E46,131:131)-SUMIF(130:130,C46,131:131)+100</f>
        <v>100</v>
      </c>
      <c r="G46" s="1225"/>
      <c r="H46" s="1230">
        <f>SUMIF(130:130,G46,131:131)-SUMIF(130:130,C46,131:131)+100</f>
        <v>100</v>
      </c>
      <c r="I46" s="1225"/>
      <c r="J46" s="1230">
        <f>SUMIF(130:130,I46,131:131)-SUMIF(130:130,C46,131:131)+100</f>
        <v>100</v>
      </c>
      <c r="K46" s="1368"/>
      <c r="L46" s="1361"/>
      <c r="M46" s="1345"/>
      <c r="N46" s="1345"/>
      <c r="O46" s="1345"/>
      <c r="P46" s="1785"/>
      <c r="Q46" s="749">
        <f t="shared" si="11"/>
        <v>111</v>
      </c>
      <c r="R46" s="1411" t="s">
        <v>1490</v>
      </c>
      <c r="S46" s="1412">
        <f t="shared" si="12"/>
        <v>100</v>
      </c>
      <c r="T46" s="1411" t="s">
        <v>1490</v>
      </c>
      <c r="U46" s="1412">
        <f t="shared" si="13"/>
        <v>100</v>
      </c>
      <c r="V46" s="1411" t="s">
        <v>1490</v>
      </c>
      <c r="W46" s="1412">
        <f t="shared" si="14"/>
        <v>100</v>
      </c>
      <c r="X46" s="1398"/>
      <c r="Y46" s="1739"/>
      <c r="Z46" s="1385">
        <f t="shared" si="15"/>
        <v>111</v>
      </c>
      <c r="AA46" s="1427">
        <f t="shared" si="3"/>
        <v>1</v>
      </c>
      <c r="AB46" s="1427">
        <f t="shared" si="4"/>
        <v>1</v>
      </c>
      <c r="AC46" s="1427">
        <f t="shared" si="5"/>
        <v>1</v>
      </c>
    </row>
    <row r="47" ht="14.4" spans="1:29">
      <c r="A47" s="1275" t="s">
        <v>1521</v>
      </c>
      <c r="B47" s="1623"/>
      <c r="C47" s="1624" t="s">
        <v>124</v>
      </c>
      <c r="D47" s="1625"/>
      <c r="E47" s="1626"/>
      <c r="F47" s="1627"/>
      <c r="G47" s="1628"/>
      <c r="H47" s="1629"/>
      <c r="I47" s="1626"/>
      <c r="J47" s="1629"/>
      <c r="K47" s="1376"/>
      <c r="L47" s="1377"/>
      <c r="M47" s="1292"/>
      <c r="N47" s="1345"/>
      <c r="O47" s="1292"/>
      <c r="P47" s="749" t="str">
        <f>A47</f>
        <v>成交单价（元/平方米）</v>
      </c>
      <c r="Q47" s="749"/>
      <c r="R47" s="1385">
        <f>E47</f>
        <v>0</v>
      </c>
      <c r="S47" s="1385"/>
      <c r="T47" s="1385">
        <f>G47</f>
        <v>0</v>
      </c>
      <c r="U47" s="1385"/>
      <c r="V47" s="1385">
        <f>I47</f>
        <v>0</v>
      </c>
      <c r="W47" s="1385"/>
      <c r="X47" s="1333"/>
      <c r="Y47" s="1429"/>
      <c r="Z47" s="1333"/>
      <c r="AA47" s="1333"/>
      <c r="AB47" s="1333"/>
      <c r="AC47" s="1333"/>
    </row>
    <row r="48" ht="15.15" spans="1:29">
      <c r="A48" s="1283" t="s">
        <v>1522</v>
      </c>
      <c r="B48" s="1630"/>
      <c r="C48" s="1631" t="e">
        <f>R49</f>
        <v>#DIV/0!</v>
      </c>
      <c r="D48" s="1286" t="s">
        <v>1523</v>
      </c>
      <c r="E48" s="1632" t="e">
        <f>R48</f>
        <v>#DIV/0!</v>
      </c>
      <c r="F48" s="1287"/>
      <c r="G48" s="1631" t="e">
        <f>T48</f>
        <v>#DIV/0!</v>
      </c>
      <c r="H48" s="1287"/>
      <c r="I48" s="1632" t="e">
        <f>V48</f>
        <v>#DIV/0!</v>
      </c>
      <c r="J48" s="1287"/>
      <c r="K48" s="1378">
        <f>F48+H48+J48</f>
        <v>0</v>
      </c>
      <c r="L48" s="1377"/>
      <c r="M48" s="1292"/>
      <c r="N48" s="1345"/>
      <c r="O48" s="1292"/>
      <c r="P48" s="749" t="str">
        <f>A48</f>
        <v>比较价值（元/平方米）</v>
      </c>
      <c r="Q48" s="749"/>
      <c r="R48" s="1427" t="e">
        <f>IF(F1="售价",ROUND(PRODUCT(R47,AA7:AA46),0),ROUND(PRODUCT(R47,AA7:AA46),1))</f>
        <v>#DIV/0!</v>
      </c>
      <c r="S48" s="1427"/>
      <c r="T48" s="1427" t="e">
        <f>IF(F1="售价",ROUND(PRODUCT(T47,AB7:AB46),0),ROUND(PRODUCT(T47,AB7:AB46),1))</f>
        <v>#DIV/0!</v>
      </c>
      <c r="U48" s="1427"/>
      <c r="V48" s="1427" t="e">
        <f>IF(F1="售价",ROUND(PRODUCT(V47,AC7:AC46),0),ROUND(PRODUCT(V47,AC7:AC46),1))</f>
        <v>#DIV/0!</v>
      </c>
      <c r="W48" s="1427"/>
      <c r="X48" s="1333"/>
      <c r="Y48" s="1333"/>
      <c r="Z48" s="1333"/>
      <c r="AA48" s="1333"/>
      <c r="AB48" s="1333"/>
      <c r="AC48" s="1333"/>
    </row>
    <row r="49" ht="15.15" spans="1:29">
      <c r="A49" s="1289" t="s">
        <v>1524</v>
      </c>
      <c r="B49" s="1290"/>
      <c r="C49" s="1633" t="e">
        <f>R49</f>
        <v>#DIV/0!</v>
      </c>
      <c r="D49" s="1633"/>
      <c r="E49" s="1633"/>
      <c r="F49" s="1633"/>
      <c r="G49" s="1633"/>
      <c r="H49" s="1633"/>
      <c r="I49" s="1633"/>
      <c r="J49" s="1633"/>
      <c r="K49" s="1379"/>
      <c r="L49" s="1377"/>
      <c r="M49" s="1292"/>
      <c r="N49" s="1345"/>
      <c r="O49" s="1292"/>
      <c r="P49" s="1380" t="str">
        <f>A49</f>
        <v>估价对象XX用房的比较价值（楼面单价，元/平方米）</v>
      </c>
      <c r="Q49" s="1417"/>
      <c r="R49" s="1755" t="e">
        <f>IF(F1="售价",ROUND(IF(D48="简单平均",AVERAGE(R48:V48),R48*F48+T48*H48+V48*J48),0),ROUND(IF(D48="简单平均",AVERAGE(R48:V48),R48*F48+T48*H48+V48*J48),1))</f>
        <v>#DIV/0!</v>
      </c>
      <c r="S49" s="1755"/>
      <c r="T49" s="1755"/>
      <c r="U49" s="1755"/>
      <c r="V49" s="1755"/>
      <c r="W49" s="1755"/>
      <c r="X49" s="1333"/>
      <c r="Y49" s="1333"/>
      <c r="Z49" s="1333"/>
      <c r="AA49" s="1333"/>
      <c r="AB49" s="1333"/>
      <c r="AC49" s="1333"/>
    </row>
    <row r="50" spans="1:29">
      <c r="A50" s="1292"/>
      <c r="B50" s="1292"/>
      <c r="C50" s="1292"/>
      <c r="D50" s="1292"/>
      <c r="E50" s="1292"/>
      <c r="F50" s="1292"/>
      <c r="G50" s="1293"/>
      <c r="H50" s="1292"/>
      <c r="I50" s="1292"/>
      <c r="J50" s="1292"/>
      <c r="K50" s="1381"/>
      <c r="L50" s="1382"/>
      <c r="M50" s="1292"/>
      <c r="N50" s="1292"/>
      <c r="O50" s="1292"/>
      <c r="P50" s="1815"/>
      <c r="Q50" s="1292"/>
      <c r="R50" s="1292"/>
      <c r="S50" s="1292"/>
      <c r="T50" s="1292"/>
      <c r="U50" s="1292"/>
      <c r="V50" s="1292"/>
      <c r="W50" s="1292"/>
      <c r="X50" s="1292"/>
      <c r="Y50" s="1292"/>
      <c r="Z50" s="1292"/>
      <c r="AA50" s="1292"/>
      <c r="AB50" s="1292"/>
      <c r="AC50" s="1292"/>
    </row>
    <row r="51" spans="1:29">
      <c r="A51" s="1292"/>
      <c r="B51" s="1292"/>
      <c r="C51" s="1292"/>
      <c r="D51" s="1292"/>
      <c r="E51" s="1292"/>
      <c r="F51" s="1292"/>
      <c r="G51" s="1292"/>
      <c r="H51" s="1292"/>
      <c r="I51" s="1292"/>
      <c r="J51" s="1292"/>
      <c r="K51" s="1381"/>
      <c r="L51" s="1382"/>
      <c r="M51" s="1292"/>
      <c r="N51" s="1292"/>
      <c r="O51" s="1292"/>
      <c r="P51" s="1815"/>
      <c r="Q51" s="1292"/>
      <c r="R51" s="1292"/>
      <c r="S51" s="1292"/>
      <c r="T51" s="1292"/>
      <c r="U51" s="1292"/>
      <c r="V51" s="1292"/>
      <c r="W51" s="1292"/>
      <c r="X51" s="1292"/>
      <c r="Y51" s="1292"/>
      <c r="Z51" s="1292"/>
      <c r="AA51" s="1292"/>
      <c r="AB51" s="1292"/>
      <c r="AC51" s="1292"/>
    </row>
    <row r="52" ht="13.5" customHeight="1" spans="1:29">
      <c r="A52" s="1292"/>
      <c r="B52" s="1292"/>
      <c r="C52" s="1294" t="s">
        <v>1525</v>
      </c>
      <c r="D52" s="793"/>
      <c r="E52" s="1295" t="e">
        <f>IF(E47&lt;E48,E48/E47-1,E47/E48-1)</f>
        <v>#DIV/0!</v>
      </c>
      <c r="F52" s="1296" t="e">
        <f>IF(OR(E52&gt;=0.3,E52&lt;=-0.3),"超过30%","")</f>
        <v>#DIV/0!</v>
      </c>
      <c r="G52" s="1295" t="e">
        <f>IF(G47&lt;G48,G48/G47-1,G47/G48-1)</f>
        <v>#DIV/0!</v>
      </c>
      <c r="H52" s="1296" t="e">
        <f>IF(OR(G52&gt;=0.3,G52&lt;=-0.3),"超过30%","")</f>
        <v>#DIV/0!</v>
      </c>
      <c r="I52" s="1295" t="e">
        <f>IF(I47&lt;I48,I48/I47-1,I47/I48-1)</f>
        <v>#DIV/0!</v>
      </c>
      <c r="J52" s="1296" t="e">
        <f>IF(OR(I52&gt;=0.3,I52&lt;=-0.3),"超过30%","")</f>
        <v>#DIV/0!</v>
      </c>
      <c r="K52" s="1381"/>
      <c r="L52" s="1382"/>
      <c r="M52" s="1292"/>
      <c r="N52" s="1292"/>
      <c r="O52" s="1292"/>
      <c r="P52" s="1815"/>
      <c r="Q52" s="1292"/>
      <c r="R52" s="1292"/>
      <c r="S52" s="1292"/>
      <c r="T52" s="1292"/>
      <c r="U52" s="1292"/>
      <c r="V52" s="1292"/>
      <c r="W52" s="1292"/>
      <c r="X52" s="1292"/>
      <c r="Y52" s="1292"/>
      <c r="Z52" s="1292"/>
      <c r="AA52" s="1292"/>
      <c r="AB52" s="1292"/>
      <c r="AC52" s="1292"/>
    </row>
    <row r="53" ht="13.5" customHeight="1" spans="1:29">
      <c r="A53" s="1292"/>
      <c r="B53" s="1292"/>
      <c r="C53" s="1294" t="s">
        <v>1526</v>
      </c>
      <c r="D53" s="792"/>
      <c r="E53" s="1295" t="e">
        <f>IF(E48&lt;G48,G48/E48-1,E48/G48-1)</f>
        <v>#DIV/0!</v>
      </c>
      <c r="F53" s="1296" t="e">
        <f>IF(OR(E53&gt;=0.2,E53&lt;=-0.2),"超过20%","")</f>
        <v>#DIV/0!</v>
      </c>
      <c r="G53" s="1295" t="e">
        <f>IF(G48&lt;I48,I48/G48-1,G48/I48-1)</f>
        <v>#DIV/0!</v>
      </c>
      <c r="H53" s="1296" t="e">
        <f>IF(OR(G53&gt;=0.2,G53&lt;=-0.2),"超过20%","")</f>
        <v>#DIV/0!</v>
      </c>
      <c r="I53" s="1295" t="e">
        <f>IF(I48&lt;E48,E48/I48-1,I48/E48-1)</f>
        <v>#DIV/0!</v>
      </c>
      <c r="J53" s="1296" t="e">
        <f>IF(OR(I53&gt;=0.2,I53&lt;=-0.2),"超过20%","")</f>
        <v>#DIV/0!</v>
      </c>
      <c r="K53" s="1381"/>
      <c r="L53" s="1382"/>
      <c r="M53" s="1292"/>
      <c r="N53" s="1292"/>
      <c r="O53" s="1292"/>
      <c r="P53" s="1815"/>
      <c r="Q53" s="1292"/>
      <c r="R53" s="1292"/>
      <c r="S53" s="1292"/>
      <c r="T53" s="1292"/>
      <c r="U53" s="1292"/>
      <c r="V53" s="1292"/>
      <c r="W53" s="1292"/>
      <c r="X53" s="1292"/>
      <c r="Y53" s="1292"/>
      <c r="Z53" s="1292"/>
      <c r="AA53" s="1292"/>
      <c r="AB53" s="1292"/>
      <c r="AC53" s="1292"/>
    </row>
    <row r="54" s="1167" customFormat="1" ht="13.5" customHeight="1" spans="1:29">
      <c r="A54" s="1297"/>
      <c r="B54" s="1297"/>
      <c r="C54" s="1294" t="s">
        <v>1527</v>
      </c>
      <c r="D54" s="792"/>
      <c r="E54" s="1295" t="e">
        <f>IF(E47&lt;G47,G47/E47-1,E47/G47-1)</f>
        <v>#DIV/0!</v>
      </c>
      <c r="F54" s="1296" t="e">
        <f>IF(OR(E54&gt;=0.3,E54&lt;=-0.3),"超过30%","")</f>
        <v>#DIV/0!</v>
      </c>
      <c r="G54" s="1295" t="e">
        <f>IF(G47&lt;I47,I47/G47-1,G47/I47-1)</f>
        <v>#DIV/0!</v>
      </c>
      <c r="H54" s="1296" t="e">
        <f>IF(OR(G54&gt;=0.3,G54&lt;=-0.3),"超过30%","")</f>
        <v>#DIV/0!</v>
      </c>
      <c r="I54" s="1295" t="e">
        <f>IF(I47&lt;E47,E47/I47-1,I47/E47-1)</f>
        <v>#DIV/0!</v>
      </c>
      <c r="J54" s="1296" t="e">
        <f>IF(OR(I54&gt;=0.3,I54&lt;=-0.3),"超过30%","")</f>
        <v>#DIV/0!</v>
      </c>
      <c r="K54" s="1383"/>
      <c r="L54" s="1384"/>
      <c r="M54" s="1297"/>
      <c r="N54" s="1297"/>
      <c r="O54" s="1297"/>
      <c r="P54" s="1816"/>
      <c r="Q54" s="1297"/>
      <c r="R54" s="1297"/>
      <c r="S54" s="1297"/>
      <c r="T54" s="1297"/>
      <c r="U54" s="1297"/>
      <c r="V54" s="1297"/>
      <c r="W54" s="1297"/>
      <c r="X54" s="1297"/>
      <c r="Y54" s="1297"/>
      <c r="Z54" s="1297"/>
      <c r="AA54" s="1297"/>
      <c r="AB54" s="1297"/>
      <c r="AC54" s="1297"/>
    </row>
    <row r="55" s="1167" customFormat="1" spans="1:29">
      <c r="A55" s="1297"/>
      <c r="B55" s="1298"/>
      <c r="C55" s="1634"/>
      <c r="D55" s="1297"/>
      <c r="E55" s="1297"/>
      <c r="F55" s="1297"/>
      <c r="G55" s="1297"/>
      <c r="H55" s="1297"/>
      <c r="I55" s="1297"/>
      <c r="J55" s="1297"/>
      <c r="K55" s="1383"/>
      <c r="L55" s="1384"/>
      <c r="M55" s="1297"/>
      <c r="N55" s="1297"/>
      <c r="O55" s="1297"/>
      <c r="P55" s="1816"/>
      <c r="Q55" s="1297"/>
      <c r="R55" s="1297"/>
      <c r="S55" s="1297"/>
      <c r="T55" s="1297"/>
      <c r="U55" s="1297"/>
      <c r="V55" s="1297"/>
      <c r="W55" s="1297"/>
      <c r="X55" s="1297"/>
      <c r="Y55" s="1297"/>
      <c r="Z55" s="1297"/>
      <c r="AA55" s="1297"/>
      <c r="AB55" s="1297"/>
      <c r="AC55" s="1297"/>
    </row>
    <row r="56" spans="1:29">
      <c r="A56" s="1292"/>
      <c r="B56" s="1298"/>
      <c r="C56" s="1634"/>
      <c r="D56" s="1292"/>
      <c r="E56" s="1292"/>
      <c r="F56" s="1292"/>
      <c r="G56" s="1292"/>
      <c r="H56" s="1292"/>
      <c r="I56" s="1292"/>
      <c r="J56" s="1292"/>
      <c r="K56" s="1381"/>
      <c r="L56" s="1382"/>
      <c r="M56" s="1292"/>
      <c r="N56" s="1292"/>
      <c r="O56" s="1292"/>
      <c r="P56" s="1815"/>
      <c r="Q56" s="1292"/>
      <c r="R56" s="1292"/>
      <c r="S56" s="1292"/>
      <c r="T56" s="1292"/>
      <c r="U56" s="1292"/>
      <c r="V56" s="1292"/>
      <c r="W56" s="1292"/>
      <c r="X56" s="1292"/>
      <c r="Y56" s="1292"/>
      <c r="Z56" s="1292"/>
      <c r="AA56" s="1292"/>
      <c r="AB56" s="1292"/>
      <c r="AC56" s="1292"/>
    </row>
    <row r="57" ht="21.15" spans="1:29">
      <c r="A57" s="1332" t="s">
        <v>1528</v>
      </c>
      <c r="B57" s="1333"/>
      <c r="C57" s="1334"/>
      <c r="D57" s="1334"/>
      <c r="E57" s="1334"/>
      <c r="F57" s="1335"/>
      <c r="G57" s="1335"/>
      <c r="H57" s="1334"/>
      <c r="I57" s="1334"/>
      <c r="J57" s="1334"/>
      <c r="K57" s="1391"/>
      <c r="L57" s="1579"/>
      <c r="M57" s="1393"/>
      <c r="N57" s="1393"/>
      <c r="O57" s="1393"/>
      <c r="P57" s="1817"/>
      <c r="Q57" s="1419"/>
      <c r="R57" s="1292"/>
      <c r="S57" s="1292"/>
      <c r="T57" s="1292"/>
      <c r="U57" s="1292"/>
      <c r="V57" s="1292"/>
      <c r="W57" s="1292"/>
      <c r="X57" s="1292"/>
      <c r="Y57" s="1292"/>
      <c r="Z57" s="1292"/>
      <c r="AA57" s="1292"/>
      <c r="AB57" s="1292"/>
      <c r="AC57" s="1292"/>
    </row>
    <row r="58" s="1169" customFormat="1" ht="14.4" spans="1:29">
      <c r="A58" s="1635" t="s">
        <v>1488</v>
      </c>
      <c r="B58" s="1636"/>
      <c r="C58" s="1637" t="str">
        <f>YEAR(C7)&amp;"-"&amp;MONTH(C7)</f>
        <v>2023-4</v>
      </c>
      <c r="D58" s="1638">
        <f>EDATE(C58,-1)</f>
        <v>44986</v>
      </c>
      <c r="E58" s="1638">
        <f t="shared" ref="E58:O58" si="16">EDATE(D58,-1)</f>
        <v>44958</v>
      </c>
      <c r="F58" s="1638">
        <f t="shared" si="16"/>
        <v>44927</v>
      </c>
      <c r="G58" s="1638">
        <f t="shared" si="16"/>
        <v>44896</v>
      </c>
      <c r="H58" s="1638">
        <f t="shared" si="16"/>
        <v>44866</v>
      </c>
      <c r="I58" s="1638">
        <f t="shared" si="16"/>
        <v>44835</v>
      </c>
      <c r="J58" s="1638">
        <f t="shared" si="16"/>
        <v>44805</v>
      </c>
      <c r="K58" s="1638">
        <f t="shared" si="16"/>
        <v>44774</v>
      </c>
      <c r="L58" s="1638">
        <f t="shared" si="16"/>
        <v>44743</v>
      </c>
      <c r="M58" s="1638">
        <f t="shared" si="16"/>
        <v>44713</v>
      </c>
      <c r="N58" s="1638">
        <f t="shared" si="16"/>
        <v>44682</v>
      </c>
      <c r="O58" s="1638">
        <f t="shared" si="16"/>
        <v>44652</v>
      </c>
      <c r="P58" s="1818"/>
      <c r="Q58" s="1540"/>
      <c r="R58" s="1540"/>
      <c r="S58" s="1540"/>
      <c r="T58" s="1540"/>
      <c r="U58" s="1540"/>
      <c r="V58" s="1540"/>
      <c r="W58" s="1540"/>
      <c r="X58" s="1540"/>
      <c r="Y58" s="1540"/>
      <c r="Z58" s="1540"/>
      <c r="AA58" s="1540"/>
      <c r="AB58" s="1540"/>
      <c r="AC58" s="1540"/>
    </row>
    <row r="59" s="1164" customFormat="1" spans="1:29">
      <c r="A59" s="1639"/>
      <c r="B59" s="1441"/>
      <c r="C59" s="1640">
        <v>100</v>
      </c>
      <c r="D59" s="1445"/>
      <c r="E59" s="1445"/>
      <c r="F59" s="1445"/>
      <c r="G59" s="1445"/>
      <c r="H59" s="1445"/>
      <c r="I59" s="1445"/>
      <c r="J59" s="1445"/>
      <c r="K59" s="1445"/>
      <c r="L59" s="1445"/>
      <c r="M59" s="1647"/>
      <c r="N59" s="1445"/>
      <c r="O59" s="1647"/>
      <c r="P59" s="1819"/>
      <c r="Q59" s="1541"/>
      <c r="R59" s="1541"/>
      <c r="S59" s="1541"/>
      <c r="T59" s="1541"/>
      <c r="U59" s="1541"/>
      <c r="V59" s="1541"/>
      <c r="W59" s="1541"/>
      <c r="X59" s="1541"/>
      <c r="Y59" s="1541"/>
      <c r="Z59" s="1541"/>
      <c r="AA59" s="1541"/>
      <c r="AB59" s="1541"/>
      <c r="AC59" s="1541"/>
    </row>
    <row r="60" s="1164" customFormat="1" ht="15.15" spans="1:29">
      <c r="A60" s="1436" t="s">
        <v>1529</v>
      </c>
      <c r="B60" s="1437"/>
      <c r="C60" s="1438"/>
      <c r="D60" s="1439"/>
      <c r="E60" s="1439"/>
      <c r="F60" s="1439"/>
      <c r="G60" s="1439"/>
      <c r="H60" s="1439"/>
      <c r="I60" s="1439"/>
      <c r="J60" s="1439"/>
      <c r="K60" s="1439"/>
      <c r="L60" s="1439"/>
      <c r="M60" s="1487"/>
      <c r="N60" s="1439"/>
      <c r="O60" s="1487"/>
      <c r="P60" s="1819"/>
      <c r="Q60" s="1419"/>
      <c r="R60" s="1541"/>
      <c r="S60" s="1541"/>
      <c r="T60" s="1541"/>
      <c r="U60" s="1541"/>
      <c r="V60" s="1541"/>
      <c r="W60" s="1541"/>
      <c r="X60" s="1541"/>
      <c r="Y60" s="1541"/>
      <c r="Z60" s="1541"/>
      <c r="AA60" s="1541"/>
      <c r="AB60" s="1541"/>
      <c r="AC60" s="1541"/>
    </row>
    <row r="61" s="1164" customFormat="1" ht="14.4" spans="1:29">
      <c r="A61" s="1440" t="s">
        <v>1491</v>
      </c>
      <c r="B61" s="1441"/>
      <c r="C61" s="1442" t="s">
        <v>1530</v>
      </c>
      <c r="D61" s="1443"/>
      <c r="E61" s="1443"/>
      <c r="F61" s="1443"/>
      <c r="G61" s="1443"/>
      <c r="H61" s="1443"/>
      <c r="I61" s="1443"/>
      <c r="J61" s="1443"/>
      <c r="K61" s="1443"/>
      <c r="L61" s="1489"/>
      <c r="M61" s="1490"/>
      <c r="N61" s="1491"/>
      <c r="O61" s="1491"/>
      <c r="P61" s="1820"/>
      <c r="Q61" s="1419"/>
      <c r="R61" s="1541"/>
      <c r="S61" s="1541"/>
      <c r="T61" s="1541"/>
      <c r="U61" s="1541"/>
      <c r="V61" s="1541"/>
      <c r="W61" s="1541"/>
      <c r="X61" s="1541"/>
      <c r="Y61" s="1541"/>
      <c r="Z61" s="1541"/>
      <c r="AA61" s="1541"/>
      <c r="AB61" s="1541"/>
      <c r="AC61" s="1541"/>
    </row>
    <row r="62" s="1164" customFormat="1" ht="14.55" spans="1:29">
      <c r="A62" s="1440"/>
      <c r="B62" s="1441"/>
      <c r="C62" s="1775">
        <v>100</v>
      </c>
      <c r="D62" s="1445"/>
      <c r="E62" s="1445"/>
      <c r="F62" s="1445"/>
      <c r="G62" s="1445"/>
      <c r="H62" s="1445"/>
      <c r="I62" s="1445"/>
      <c r="J62" s="1445"/>
      <c r="K62" s="1445"/>
      <c r="L62" s="1445"/>
      <c r="M62" s="1493"/>
      <c r="N62" s="1491"/>
      <c r="O62" s="1491"/>
      <c r="P62" s="1819"/>
      <c r="Q62" s="1419"/>
      <c r="R62" s="1541"/>
      <c r="S62" s="1541"/>
      <c r="T62" s="1541"/>
      <c r="U62" s="1541"/>
      <c r="V62" s="1541"/>
      <c r="W62" s="1541"/>
      <c r="X62" s="1541"/>
      <c r="Y62" s="1541"/>
      <c r="Z62" s="1541"/>
      <c r="AA62" s="1541"/>
      <c r="AB62" s="1541"/>
      <c r="AC62" s="1541"/>
    </row>
    <row r="63" ht="14.4" spans="1:29">
      <c r="A63" s="1446" t="s">
        <v>1531</v>
      </c>
      <c r="B63" s="1447" t="s">
        <v>1494</v>
      </c>
      <c r="C63" s="1469">
        <f>C9</f>
        <v>0</v>
      </c>
      <c r="D63" s="1374"/>
      <c r="E63" s="1374"/>
      <c r="F63" s="1374"/>
      <c r="G63" s="1374"/>
      <c r="H63" s="1374"/>
      <c r="I63" s="1374"/>
      <c r="J63" s="1374"/>
      <c r="K63" s="1494"/>
      <c r="L63" s="1495"/>
      <c r="M63" s="1496"/>
      <c r="N63" s="1497"/>
      <c r="O63" s="1497"/>
      <c r="P63" s="1821"/>
      <c r="Q63" s="1419"/>
      <c r="R63" s="1292"/>
      <c r="S63" s="1292"/>
      <c r="T63" s="1292"/>
      <c r="U63" s="1292"/>
      <c r="V63" s="1292"/>
      <c r="W63" s="1292"/>
      <c r="X63" s="1292"/>
      <c r="Y63" s="1292"/>
      <c r="Z63" s="1292"/>
      <c r="AA63" s="1292"/>
      <c r="AB63" s="1292"/>
      <c r="AC63" s="1292"/>
    </row>
    <row r="64" ht="14.55" spans="1:29">
      <c r="A64" s="1448"/>
      <c r="B64" s="1449"/>
      <c r="C64" s="1450">
        <v>100</v>
      </c>
      <c r="D64" s="1450"/>
      <c r="E64" s="1450"/>
      <c r="F64" s="1450"/>
      <c r="G64" s="1450"/>
      <c r="H64" s="1450"/>
      <c r="I64" s="1450"/>
      <c r="J64" s="1450"/>
      <c r="K64" s="1450"/>
      <c r="L64" s="1450"/>
      <c r="M64" s="1499"/>
      <c r="N64" s="1500"/>
      <c r="O64" s="1500"/>
      <c r="P64" s="1821"/>
      <c r="Q64" s="1419"/>
      <c r="R64" s="1292"/>
      <c r="S64" s="1292"/>
      <c r="T64" s="1292"/>
      <c r="U64" s="1292"/>
      <c r="V64" s="1292"/>
      <c r="W64" s="1292"/>
      <c r="X64" s="1292"/>
      <c r="Y64" s="1292"/>
      <c r="Z64" s="1292"/>
      <c r="AA64" s="1292"/>
      <c r="AB64" s="1292"/>
      <c r="AC64" s="1292"/>
    </row>
    <row r="65" ht="29.55" spans="1:29">
      <c r="A65" s="1448"/>
      <c r="B65" s="1451" t="s">
        <v>1497</v>
      </c>
      <c r="C65" s="1476"/>
      <c r="D65" s="1476"/>
      <c r="E65" s="1476"/>
      <c r="F65" s="1476"/>
      <c r="G65" s="1476"/>
      <c r="H65" s="1476"/>
      <c r="I65" s="1476"/>
      <c r="J65" s="1476"/>
      <c r="K65" s="1527"/>
      <c r="L65" s="1528"/>
      <c r="M65" s="1529"/>
      <c r="N65" s="1497"/>
      <c r="O65" s="1497"/>
      <c r="P65" s="1821"/>
      <c r="Q65" s="1419"/>
      <c r="R65" s="1292"/>
      <c r="S65" s="1292"/>
      <c r="T65" s="1292"/>
      <c r="U65" s="1292"/>
      <c r="V65" s="1292"/>
      <c r="W65" s="1292"/>
      <c r="X65" s="1292"/>
      <c r="Y65" s="1292"/>
      <c r="Z65" s="1292"/>
      <c r="AA65" s="1292"/>
      <c r="AB65" s="1292"/>
      <c r="AC65" s="1292"/>
    </row>
    <row r="66" ht="14.55" spans="1:29">
      <c r="A66" s="1448"/>
      <c r="B66" s="1453"/>
      <c r="C66" s="1450"/>
      <c r="D66" s="1450"/>
      <c r="E66" s="1450"/>
      <c r="F66" s="1450"/>
      <c r="G66" s="1450"/>
      <c r="H66" s="1450"/>
      <c r="I66" s="1450"/>
      <c r="J66" s="1450"/>
      <c r="K66" s="1450"/>
      <c r="L66" s="1450"/>
      <c r="M66" s="1499"/>
      <c r="N66" s="1500"/>
      <c r="O66" s="1500"/>
      <c r="P66" s="1821"/>
      <c r="Q66" s="1419"/>
      <c r="R66" s="1292"/>
      <c r="S66" s="1292"/>
      <c r="T66" s="1292"/>
      <c r="U66" s="1292"/>
      <c r="V66" s="1292"/>
      <c r="W66" s="1292"/>
      <c r="X66" s="1292"/>
      <c r="Y66" s="1292"/>
      <c r="Z66" s="1292"/>
      <c r="AA66" s="1292"/>
      <c r="AB66" s="1292"/>
      <c r="AC66" s="1292"/>
    </row>
    <row r="67" ht="15.15" spans="1:29">
      <c r="A67" s="1448"/>
      <c r="B67" s="1455" t="s">
        <v>1498</v>
      </c>
      <c r="C67" s="1456" t="str">
        <f>C68&amp;"（含）"&amp;"-"&amp;D68</f>
        <v>（含）-</v>
      </c>
      <c r="D67" s="1456" t="str">
        <f t="shared" ref="D67:L67" si="17">D68&amp;"（含）"&amp;"-"&amp;E68</f>
        <v>（含）-</v>
      </c>
      <c r="E67" s="1456" t="str">
        <f t="shared" si="17"/>
        <v>（含）-</v>
      </c>
      <c r="F67" s="1456" t="str">
        <f t="shared" si="17"/>
        <v>（含）-</v>
      </c>
      <c r="G67" s="1456" t="str">
        <f t="shared" si="17"/>
        <v>（含）-</v>
      </c>
      <c r="H67" s="1456" t="str">
        <f t="shared" si="17"/>
        <v>（含）-</v>
      </c>
      <c r="I67" s="1456" t="str">
        <f t="shared" si="17"/>
        <v>（含）-</v>
      </c>
      <c r="J67" s="1456" t="str">
        <f t="shared" si="17"/>
        <v>（含）-</v>
      </c>
      <c r="K67" s="1456" t="str">
        <f t="shared" si="17"/>
        <v>（含）-</v>
      </c>
      <c r="L67" s="1456" t="str">
        <f t="shared" si="17"/>
        <v>（含）-</v>
      </c>
      <c r="M67" s="1238" t="str">
        <f>M68&amp;"（含）"&amp;"-"&amp;P68</f>
        <v>（含）-</v>
      </c>
      <c r="N67" s="1500"/>
      <c r="O67" s="1500"/>
      <c r="P67" s="1821"/>
      <c r="Q67" s="1419"/>
      <c r="R67" s="1292"/>
      <c r="S67" s="1292"/>
      <c r="T67" s="1292"/>
      <c r="U67" s="1292"/>
      <c r="V67" s="1292"/>
      <c r="W67" s="1292"/>
      <c r="X67" s="1292"/>
      <c r="Y67" s="1292"/>
      <c r="Z67" s="1292"/>
      <c r="AA67" s="1292"/>
      <c r="AB67" s="1292"/>
      <c r="AC67" s="1292"/>
    </row>
    <row r="68" spans="1:29">
      <c r="A68" s="1448"/>
      <c r="B68" s="1457"/>
      <c r="C68" s="1223"/>
      <c r="D68" s="1223"/>
      <c r="E68" s="1223"/>
      <c r="F68" s="1223"/>
      <c r="G68" s="1223"/>
      <c r="H68" s="1223"/>
      <c r="I68" s="1223"/>
      <c r="J68" s="1223"/>
      <c r="K68" s="1505"/>
      <c r="L68" s="1506"/>
      <c r="M68" s="1507"/>
      <c r="N68" s="1497"/>
      <c r="O68" s="1497"/>
      <c r="P68" s="1821"/>
      <c r="Q68" s="1419"/>
      <c r="R68" s="1292"/>
      <c r="S68" s="1292"/>
      <c r="T68" s="1292"/>
      <c r="U68" s="1292"/>
      <c r="V68" s="1292"/>
      <c r="W68" s="1292"/>
      <c r="X68" s="1292"/>
      <c r="Y68" s="1292"/>
      <c r="Z68" s="1292"/>
      <c r="AA68" s="1292"/>
      <c r="AB68" s="1292"/>
      <c r="AC68" s="1292"/>
    </row>
    <row r="69" ht="14.55" spans="1:29">
      <c r="A69" s="1448"/>
      <c r="B69" s="1449"/>
      <c r="C69" s="1454">
        <v>100</v>
      </c>
      <c r="D69" s="1454">
        <f t="shared" ref="D69:M69" si="18">C69-$K11</f>
        <v>100</v>
      </c>
      <c r="E69" s="1454">
        <f t="shared" si="18"/>
        <v>100</v>
      </c>
      <c r="F69" s="1454">
        <f t="shared" si="18"/>
        <v>100</v>
      </c>
      <c r="G69" s="1454">
        <f t="shared" si="18"/>
        <v>100</v>
      </c>
      <c r="H69" s="1454">
        <f t="shared" si="18"/>
        <v>100</v>
      </c>
      <c r="I69" s="1454">
        <f t="shared" si="18"/>
        <v>100</v>
      </c>
      <c r="J69" s="1454">
        <f t="shared" si="18"/>
        <v>100</v>
      </c>
      <c r="K69" s="1454">
        <f t="shared" si="18"/>
        <v>100</v>
      </c>
      <c r="L69" s="1454">
        <f t="shared" si="18"/>
        <v>100</v>
      </c>
      <c r="M69" s="1504">
        <f t="shared" si="18"/>
        <v>100</v>
      </c>
      <c r="N69" s="1500"/>
      <c r="O69" s="1500"/>
      <c r="P69" s="1821"/>
      <c r="Q69" s="1419"/>
      <c r="R69" s="1292"/>
      <c r="S69" s="1292"/>
      <c r="T69" s="1292"/>
      <c r="U69" s="1292"/>
      <c r="V69" s="1292"/>
      <c r="W69" s="1292"/>
      <c r="X69" s="1292"/>
      <c r="Y69" s="1292"/>
      <c r="Z69" s="1292"/>
      <c r="AA69" s="1292"/>
      <c r="AB69" s="1292"/>
      <c r="AC69" s="1292"/>
    </row>
    <row r="70" s="1166" customFormat="1" ht="14.55" spans="1:29">
      <c r="A70" s="1458"/>
      <c r="B70" s="1451">
        <f>B12</f>
        <v>111</v>
      </c>
      <c r="C70" s="1459"/>
      <c r="D70" s="1459"/>
      <c r="E70" s="1459"/>
      <c r="F70" s="1459"/>
      <c r="G70" s="1459"/>
      <c r="H70" s="1460"/>
      <c r="I70" s="1460"/>
      <c r="J70" s="1460"/>
      <c r="K70" s="1460"/>
      <c r="L70" s="1508"/>
      <c r="M70" s="1509"/>
      <c r="N70" s="1510"/>
      <c r="O70" s="1510"/>
      <c r="P70" s="1826"/>
      <c r="Q70" s="1542"/>
      <c r="R70" s="1543"/>
      <c r="S70" s="1543"/>
      <c r="T70" s="1543"/>
      <c r="U70" s="1543"/>
      <c r="V70" s="1543"/>
      <c r="W70" s="1543"/>
      <c r="X70" s="1543"/>
      <c r="Y70" s="1543"/>
      <c r="Z70" s="1543"/>
      <c r="AA70" s="1543"/>
      <c r="AB70" s="1543"/>
      <c r="AC70" s="1543"/>
    </row>
    <row r="71" s="1166" customFormat="1" ht="14.55" spans="1:29">
      <c r="A71" s="1458"/>
      <c r="B71" s="1453"/>
      <c r="C71" s="1461"/>
      <c r="D71" s="1450"/>
      <c r="E71" s="1450"/>
      <c r="F71" s="1450"/>
      <c r="G71" s="1450"/>
      <c r="H71" s="1450"/>
      <c r="I71" s="1450"/>
      <c r="J71" s="1450"/>
      <c r="K71" s="1450"/>
      <c r="L71" s="1450"/>
      <c r="M71" s="1499"/>
      <c r="N71" s="1500"/>
      <c r="O71" s="1500"/>
      <c r="P71" s="1826"/>
      <c r="Q71" s="1542"/>
      <c r="R71" s="1543"/>
      <c r="S71" s="1543"/>
      <c r="T71" s="1543"/>
      <c r="U71" s="1543"/>
      <c r="V71" s="1543"/>
      <c r="W71" s="1543"/>
      <c r="X71" s="1543"/>
      <c r="Y71" s="1543"/>
      <c r="Z71" s="1543"/>
      <c r="AA71" s="1543"/>
      <c r="AB71" s="1543"/>
      <c r="AC71" s="1543"/>
    </row>
    <row r="72" s="1166" customFormat="1" ht="14.55" spans="1:29">
      <c r="A72" s="1458"/>
      <c r="B72" s="1451">
        <f>B13</f>
        <v>111</v>
      </c>
      <c r="C72" s="1459"/>
      <c r="D72" s="1459"/>
      <c r="E72" s="1459"/>
      <c r="F72" s="1459"/>
      <c r="G72" s="1459"/>
      <c r="H72" s="1460"/>
      <c r="I72" s="1460"/>
      <c r="J72" s="1460"/>
      <c r="K72" s="1460"/>
      <c r="L72" s="1508"/>
      <c r="M72" s="1509"/>
      <c r="N72" s="1510"/>
      <c r="O72" s="1510"/>
      <c r="P72" s="1827"/>
      <c r="Q72" s="1544"/>
      <c r="R72" s="1543"/>
      <c r="S72" s="1543"/>
      <c r="T72" s="1543"/>
      <c r="U72" s="1543"/>
      <c r="V72" s="1543"/>
      <c r="W72" s="1543"/>
      <c r="X72" s="1543"/>
      <c r="Y72" s="1543"/>
      <c r="Z72" s="1543"/>
      <c r="AA72" s="1543"/>
      <c r="AB72" s="1543"/>
      <c r="AC72" s="1543"/>
    </row>
    <row r="73" s="1166" customFormat="1" ht="14.55" spans="1:29">
      <c r="A73" s="1458"/>
      <c r="B73" s="1453"/>
      <c r="C73" s="1461"/>
      <c r="D73" s="1450"/>
      <c r="E73" s="1450"/>
      <c r="F73" s="1450"/>
      <c r="G73" s="1461"/>
      <c r="H73" s="1462"/>
      <c r="I73" s="1462"/>
      <c r="J73" s="1462"/>
      <c r="K73" s="1462"/>
      <c r="L73" s="1462"/>
      <c r="M73" s="1512"/>
      <c r="N73" s="1510"/>
      <c r="O73" s="1510"/>
      <c r="P73" s="1826"/>
      <c r="Q73" s="1542"/>
      <c r="R73" s="1543"/>
      <c r="S73" s="1543"/>
      <c r="T73" s="1543"/>
      <c r="U73" s="1543"/>
      <c r="V73" s="1543"/>
      <c r="W73" s="1543"/>
      <c r="X73" s="1543"/>
      <c r="Y73" s="1543"/>
      <c r="Z73" s="1543"/>
      <c r="AA73" s="1543"/>
      <c r="AB73" s="1543"/>
      <c r="AC73" s="1543"/>
    </row>
    <row r="74" s="1166" customFormat="1" ht="14.55" spans="1:29">
      <c r="A74" s="1458"/>
      <c r="B74" s="1455">
        <f>B14</f>
        <v>111</v>
      </c>
      <c r="C74" s="1459"/>
      <c r="D74" s="1459"/>
      <c r="E74" s="1459"/>
      <c r="F74" s="1459"/>
      <c r="G74" s="1443"/>
      <c r="H74" s="1463"/>
      <c r="I74" s="1463"/>
      <c r="J74" s="1463"/>
      <c r="K74" s="1463"/>
      <c r="L74" s="1513"/>
      <c r="M74" s="1514"/>
      <c r="N74" s="1510"/>
      <c r="O74" s="1510"/>
      <c r="P74" s="1828"/>
      <c r="Q74" s="1542"/>
      <c r="R74" s="1543"/>
      <c r="S74" s="1543"/>
      <c r="T74" s="1543"/>
      <c r="U74" s="1543"/>
      <c r="V74" s="1543"/>
      <c r="W74" s="1543"/>
      <c r="X74" s="1543"/>
      <c r="Y74" s="1543"/>
      <c r="Z74" s="1543"/>
      <c r="AA74" s="1543"/>
      <c r="AB74" s="1543"/>
      <c r="AC74" s="1543"/>
    </row>
    <row r="75" s="1166" customFormat="1" ht="14.55" spans="1:29">
      <c r="A75" s="1464"/>
      <c r="B75" s="1465"/>
      <c r="C75" s="1466"/>
      <c r="D75" s="1466"/>
      <c r="E75" s="1466"/>
      <c r="F75" s="1466"/>
      <c r="G75" s="1466"/>
      <c r="H75" s="1467"/>
      <c r="I75" s="1467"/>
      <c r="J75" s="1467"/>
      <c r="K75" s="1467"/>
      <c r="L75" s="1467"/>
      <c r="M75" s="1516"/>
      <c r="N75" s="1510"/>
      <c r="O75" s="1510"/>
      <c r="P75" s="1826"/>
      <c r="Q75" s="1542"/>
      <c r="R75" s="1543"/>
      <c r="S75" s="1543"/>
      <c r="T75" s="1543"/>
      <c r="U75" s="1543"/>
      <c r="V75" s="1543"/>
      <c r="W75" s="1543"/>
      <c r="X75" s="1543"/>
      <c r="Y75" s="1543"/>
      <c r="Z75" s="1543"/>
      <c r="AA75" s="1543"/>
      <c r="AB75" s="1543"/>
      <c r="AC75" s="1543"/>
    </row>
    <row r="76" ht="14.4" spans="1:29">
      <c r="A76" s="1446" t="s">
        <v>1499</v>
      </c>
      <c r="B76" s="1447" t="s">
        <v>1500</v>
      </c>
      <c r="C76" s="1468" t="s">
        <v>1532</v>
      </c>
      <c r="D76" s="1468" t="s">
        <v>1533</v>
      </c>
      <c r="E76" s="1468" t="s">
        <v>1534</v>
      </c>
      <c r="F76" s="1468" t="s">
        <v>1535</v>
      </c>
      <c r="G76" s="1468" t="s">
        <v>1536</v>
      </c>
      <c r="H76" s="1469"/>
      <c r="I76" s="1469"/>
      <c r="J76" s="1469"/>
      <c r="K76" s="1517"/>
      <c r="L76" s="1518"/>
      <c r="M76" s="1519"/>
      <c r="N76" s="1497"/>
      <c r="O76" s="1497"/>
      <c r="P76" s="1829"/>
      <c r="Q76" s="1419"/>
      <c r="R76" s="1292"/>
      <c r="S76" s="1292"/>
      <c r="T76" s="1292"/>
      <c r="U76" s="1292"/>
      <c r="V76" s="1292"/>
      <c r="W76" s="1292"/>
      <c r="X76" s="1292"/>
      <c r="Y76" s="1292"/>
      <c r="Z76" s="1292"/>
      <c r="AA76" s="1292"/>
      <c r="AB76" s="1292"/>
      <c r="AC76" s="1292"/>
    </row>
    <row r="77" ht="14.55" spans="1:29">
      <c r="A77" s="1448"/>
      <c r="B77" s="1453"/>
      <c r="C77" s="1454">
        <v>100</v>
      </c>
      <c r="D77" s="1454">
        <f>C77-$K15</f>
        <v>100</v>
      </c>
      <c r="E77" s="1454">
        <f>D77-$K15</f>
        <v>100</v>
      </c>
      <c r="F77" s="1454">
        <f>E77-$K15</f>
        <v>100</v>
      </c>
      <c r="G77" s="1454">
        <f>F77-$K15</f>
        <v>100</v>
      </c>
      <c r="H77" s="1454"/>
      <c r="I77" s="1454"/>
      <c r="J77" s="1454"/>
      <c r="K77" s="1454"/>
      <c r="L77" s="1454"/>
      <c r="M77" s="1504"/>
      <c r="N77" s="1500"/>
      <c r="O77" s="1500"/>
      <c r="P77" s="1821"/>
      <c r="Q77" s="1419"/>
      <c r="R77" s="1292"/>
      <c r="S77" s="1292"/>
      <c r="T77" s="1292"/>
      <c r="U77" s="1292"/>
      <c r="V77" s="1292"/>
      <c r="W77" s="1292"/>
      <c r="X77" s="1292"/>
      <c r="Y77" s="1292"/>
      <c r="Z77" s="1292"/>
      <c r="AA77" s="1292"/>
      <c r="AB77" s="1292"/>
      <c r="AC77" s="1292"/>
    </row>
    <row r="78" ht="15.15" spans="1:29">
      <c r="A78" s="1448"/>
      <c r="B78" s="1451" t="s">
        <v>1502</v>
      </c>
      <c r="C78" s="1470" t="s">
        <v>1532</v>
      </c>
      <c r="D78" s="1470" t="s">
        <v>1533</v>
      </c>
      <c r="E78" s="1470" t="s">
        <v>1534</v>
      </c>
      <c r="F78" s="1470" t="s">
        <v>1535</v>
      </c>
      <c r="G78" s="1470" t="s">
        <v>1536</v>
      </c>
      <c r="H78" s="1452"/>
      <c r="I78" s="1452"/>
      <c r="J78" s="1452"/>
      <c r="K78" s="1501"/>
      <c r="L78" s="1502"/>
      <c r="M78" s="1503"/>
      <c r="N78" s="1497"/>
      <c r="O78" s="1497"/>
      <c r="P78" s="1821"/>
      <c r="Q78" s="1419"/>
      <c r="R78" s="1292"/>
      <c r="S78" s="1292"/>
      <c r="T78" s="1292"/>
      <c r="U78" s="1292"/>
      <c r="V78" s="1292"/>
      <c r="W78" s="1292"/>
      <c r="X78" s="1292"/>
      <c r="Y78" s="1292"/>
      <c r="Z78" s="1292"/>
      <c r="AA78" s="1292"/>
      <c r="AB78" s="1292"/>
      <c r="AC78" s="1292"/>
    </row>
    <row r="79" ht="14.55" spans="1:29">
      <c r="A79" s="1448"/>
      <c r="B79" s="1453"/>
      <c r="C79" s="1454">
        <v>100</v>
      </c>
      <c r="D79" s="1454">
        <f>C79-$K17</f>
        <v>100</v>
      </c>
      <c r="E79" s="1454">
        <f>D79-$K17</f>
        <v>100</v>
      </c>
      <c r="F79" s="1454">
        <f>E79-$K17</f>
        <v>100</v>
      </c>
      <c r="G79" s="1454">
        <f>F79-$K17</f>
        <v>100</v>
      </c>
      <c r="H79" s="1454"/>
      <c r="I79" s="1454"/>
      <c r="J79" s="1454"/>
      <c r="K79" s="1454"/>
      <c r="L79" s="1454"/>
      <c r="M79" s="1504"/>
      <c r="N79" s="1500"/>
      <c r="O79" s="1500"/>
      <c r="P79" s="1821"/>
      <c r="Q79" s="1419"/>
      <c r="R79" s="1292"/>
      <c r="S79" s="1292"/>
      <c r="T79" s="1292"/>
      <c r="U79" s="1292"/>
      <c r="V79" s="1292"/>
      <c r="W79" s="1292"/>
      <c r="X79" s="1292"/>
      <c r="Y79" s="1292"/>
      <c r="Z79" s="1292"/>
      <c r="AA79" s="1292"/>
      <c r="AB79" s="1292"/>
      <c r="AC79" s="1292"/>
    </row>
    <row r="80" ht="15.15" spans="1:29">
      <c r="A80" s="1448"/>
      <c r="B80" s="1451" t="s">
        <v>1503</v>
      </c>
      <c r="C80" s="1470" t="s">
        <v>1532</v>
      </c>
      <c r="D80" s="1470" t="s">
        <v>1533</v>
      </c>
      <c r="E80" s="1470" t="s">
        <v>1534</v>
      </c>
      <c r="F80" s="1470" t="s">
        <v>1535</v>
      </c>
      <c r="G80" s="1470" t="s">
        <v>1536</v>
      </c>
      <c r="H80" s="1452"/>
      <c r="I80" s="1452"/>
      <c r="J80" s="1452"/>
      <c r="K80" s="1501"/>
      <c r="L80" s="1502"/>
      <c r="M80" s="1503"/>
      <c r="N80" s="1497"/>
      <c r="O80" s="1497"/>
      <c r="P80" s="1821"/>
      <c r="Q80" s="1419"/>
      <c r="R80" s="1292"/>
      <c r="S80" s="1292"/>
      <c r="T80" s="1292"/>
      <c r="U80" s="1292"/>
      <c r="V80" s="1292"/>
      <c r="W80" s="1292"/>
      <c r="X80" s="1292"/>
      <c r="Y80" s="1292"/>
      <c r="Z80" s="1292"/>
      <c r="AA80" s="1292"/>
      <c r="AB80" s="1292"/>
      <c r="AC80" s="1292"/>
    </row>
    <row r="81" ht="14.55" spans="1:29">
      <c r="A81" s="1448"/>
      <c r="B81" s="1453"/>
      <c r="C81" s="1454">
        <v>100</v>
      </c>
      <c r="D81" s="1454">
        <f>C81-$K19</f>
        <v>100</v>
      </c>
      <c r="E81" s="1454">
        <f>D81-$K19</f>
        <v>100</v>
      </c>
      <c r="F81" s="1454">
        <f>E81-$K19</f>
        <v>100</v>
      </c>
      <c r="G81" s="1454">
        <f>F81-$K19</f>
        <v>100</v>
      </c>
      <c r="H81" s="1454"/>
      <c r="I81" s="1454"/>
      <c r="J81" s="1454"/>
      <c r="K81" s="1454"/>
      <c r="L81" s="1454"/>
      <c r="M81" s="1504"/>
      <c r="N81" s="1500"/>
      <c r="O81" s="1500"/>
      <c r="P81" s="1821"/>
      <c r="Q81" s="1419"/>
      <c r="R81" s="1292"/>
      <c r="S81" s="1292"/>
      <c r="T81" s="1292"/>
      <c r="U81" s="1292"/>
      <c r="V81" s="1292"/>
      <c r="W81" s="1292"/>
      <c r="X81" s="1292"/>
      <c r="Y81" s="1292"/>
      <c r="Z81" s="1292"/>
      <c r="AA81" s="1292"/>
      <c r="AB81" s="1292"/>
      <c r="AC81" s="1292"/>
    </row>
    <row r="82" ht="15.15" spans="1:29">
      <c r="A82" s="1448"/>
      <c r="B82" s="1455" t="s">
        <v>1504</v>
      </c>
      <c r="C82" s="1475" t="s">
        <v>1537</v>
      </c>
      <c r="D82" s="1475" t="s">
        <v>1538</v>
      </c>
      <c r="E82" s="1475" t="s">
        <v>1539</v>
      </c>
      <c r="F82" s="1475" t="s">
        <v>1540</v>
      </c>
      <c r="G82" s="1475" t="s">
        <v>1541</v>
      </c>
      <c r="H82" s="1452"/>
      <c r="I82" s="1452"/>
      <c r="J82" s="1452"/>
      <c r="K82" s="1452"/>
      <c r="L82" s="1452"/>
      <c r="M82" s="1653"/>
      <c r="N82" s="1500"/>
      <c r="O82" s="1500"/>
      <c r="P82" s="1821"/>
      <c r="Q82" s="1419"/>
      <c r="R82" s="1292"/>
      <c r="S82" s="1292"/>
      <c r="T82" s="1292"/>
      <c r="U82" s="1292"/>
      <c r="V82" s="1292"/>
      <c r="W82" s="1292"/>
      <c r="X82" s="1292"/>
      <c r="Y82" s="1292"/>
      <c r="Z82" s="1292"/>
      <c r="AA82" s="1292"/>
      <c r="AB82" s="1292"/>
      <c r="AC82" s="1292"/>
    </row>
    <row r="83" ht="14.55" spans="1:29">
      <c r="A83" s="1448"/>
      <c r="B83" s="1455"/>
      <c r="C83" s="1454">
        <v>100</v>
      </c>
      <c r="D83" s="1454">
        <f>C83-$K21</f>
        <v>100</v>
      </c>
      <c r="E83" s="1454">
        <f t="shared" ref="E83:G83" si="19">D83-$K21</f>
        <v>100</v>
      </c>
      <c r="F83" s="1454">
        <f t="shared" si="19"/>
        <v>100</v>
      </c>
      <c r="G83" s="1454">
        <f t="shared" si="19"/>
        <v>100</v>
      </c>
      <c r="H83" s="1475"/>
      <c r="I83" s="1475"/>
      <c r="J83" s="1475"/>
      <c r="K83" s="1475"/>
      <c r="L83" s="1475"/>
      <c r="M83" s="1240"/>
      <c r="N83" s="1500"/>
      <c r="O83" s="1500"/>
      <c r="P83" s="1821"/>
      <c r="Q83" s="1419"/>
      <c r="R83" s="1292"/>
      <c r="S83" s="1292"/>
      <c r="T83" s="1292"/>
      <c r="U83" s="1292"/>
      <c r="V83" s="1292"/>
      <c r="W83" s="1292"/>
      <c r="X83" s="1292"/>
      <c r="Y83" s="1292"/>
      <c r="Z83" s="1292"/>
      <c r="AA83" s="1292"/>
      <c r="AB83" s="1292"/>
      <c r="AC83" s="1292"/>
    </row>
    <row r="84" ht="15.15" spans="1:29">
      <c r="A84" s="1448"/>
      <c r="B84" s="1451" t="s">
        <v>1505</v>
      </c>
      <c r="C84" s="1470" t="s">
        <v>1532</v>
      </c>
      <c r="D84" s="1470" t="s">
        <v>1533</v>
      </c>
      <c r="E84" s="1470" t="s">
        <v>1534</v>
      </c>
      <c r="F84" s="1470" t="s">
        <v>1535</v>
      </c>
      <c r="G84" s="1470" t="s">
        <v>1536</v>
      </c>
      <c r="H84" s="1452"/>
      <c r="I84" s="1452"/>
      <c r="J84" s="1452"/>
      <c r="K84" s="1501"/>
      <c r="L84" s="1502"/>
      <c r="M84" s="1503"/>
      <c r="N84" s="1497"/>
      <c r="O84" s="1497"/>
      <c r="P84" s="1821"/>
      <c r="Q84" s="1419"/>
      <c r="R84" s="1292"/>
      <c r="S84" s="1292"/>
      <c r="T84" s="1292"/>
      <c r="U84" s="1292"/>
      <c r="V84" s="1292"/>
      <c r="W84" s="1292"/>
      <c r="X84" s="1292"/>
      <c r="Y84" s="1292"/>
      <c r="Z84" s="1292"/>
      <c r="AA84" s="1292"/>
      <c r="AB84" s="1292"/>
      <c r="AC84" s="1292"/>
    </row>
    <row r="85" ht="14.55" spans="1:29">
      <c r="A85" s="1448"/>
      <c r="B85" s="1453"/>
      <c r="C85" s="1454">
        <v>100</v>
      </c>
      <c r="D85" s="1454">
        <f>C85-$K23</f>
        <v>100</v>
      </c>
      <c r="E85" s="1454">
        <f>D85-$K23</f>
        <v>100</v>
      </c>
      <c r="F85" s="1454">
        <f>E85-$K23</f>
        <v>100</v>
      </c>
      <c r="G85" s="1454">
        <f>F85-$K23</f>
        <v>100</v>
      </c>
      <c r="H85" s="1454"/>
      <c r="I85" s="1454"/>
      <c r="J85" s="1454"/>
      <c r="K85" s="1454"/>
      <c r="L85" s="1454"/>
      <c r="M85" s="1504"/>
      <c r="N85" s="1500"/>
      <c r="O85" s="1500"/>
      <c r="P85" s="1821"/>
      <c r="Q85" s="1419"/>
      <c r="R85" s="1292"/>
      <c r="S85" s="1292"/>
      <c r="T85" s="1292"/>
      <c r="U85" s="1292"/>
      <c r="V85" s="1292"/>
      <c r="W85" s="1292"/>
      <c r="X85" s="1292"/>
      <c r="Y85" s="1292"/>
      <c r="Z85" s="1292"/>
      <c r="AA85" s="1292"/>
      <c r="AB85" s="1292"/>
      <c r="AC85" s="1292"/>
    </row>
    <row r="86" s="1164" customFormat="1" ht="15.15" spans="1:29">
      <c r="A86" s="1471"/>
      <c r="B86" s="1451" t="s">
        <v>1564</v>
      </c>
      <c r="C86" s="1459"/>
      <c r="D86" s="1459"/>
      <c r="E86" s="1459"/>
      <c r="F86" s="1459"/>
      <c r="G86" s="1459"/>
      <c r="H86" s="1459"/>
      <c r="I86" s="1459"/>
      <c r="J86" s="1459"/>
      <c r="K86" s="1459"/>
      <c r="L86" s="1654"/>
      <c r="M86" s="1655"/>
      <c r="N86" s="1491"/>
      <c r="O86" s="1491"/>
      <c r="P86" s="1821"/>
      <c r="Q86" s="1419"/>
      <c r="R86" s="1541"/>
      <c r="S86" s="1541"/>
      <c r="T86" s="1541"/>
      <c r="U86" s="1541"/>
      <c r="V86" s="1541"/>
      <c r="W86" s="1541"/>
      <c r="X86" s="1541"/>
      <c r="Y86" s="1541"/>
      <c r="Z86" s="1541"/>
      <c r="AA86" s="1541"/>
      <c r="AB86" s="1541"/>
      <c r="AC86" s="1541"/>
    </row>
    <row r="87" s="1164" customFormat="1" ht="14.55" spans="1:29">
      <c r="A87" s="1471"/>
      <c r="B87" s="1453"/>
      <c r="C87" s="1472">
        <v>100</v>
      </c>
      <c r="D87" s="1454">
        <f t="shared" ref="D87:M87" si="20">C87-$K25</f>
        <v>100</v>
      </c>
      <c r="E87" s="1454">
        <f t="shared" si="20"/>
        <v>100</v>
      </c>
      <c r="F87" s="1454">
        <f t="shared" si="20"/>
        <v>100</v>
      </c>
      <c r="G87" s="1454">
        <f t="shared" si="20"/>
        <v>100</v>
      </c>
      <c r="H87" s="1454">
        <f t="shared" si="20"/>
        <v>100</v>
      </c>
      <c r="I87" s="1454">
        <f t="shared" si="20"/>
        <v>100</v>
      </c>
      <c r="J87" s="1454">
        <f t="shared" si="20"/>
        <v>100</v>
      </c>
      <c r="K87" s="1454">
        <f t="shared" si="20"/>
        <v>100</v>
      </c>
      <c r="L87" s="1454">
        <f t="shared" si="20"/>
        <v>100</v>
      </c>
      <c r="M87" s="1454">
        <f t="shared" si="20"/>
        <v>100</v>
      </c>
      <c r="N87" s="1500"/>
      <c r="O87" s="1500"/>
      <c r="P87" s="1821"/>
      <c r="Q87" s="1419"/>
      <c r="R87" s="1541"/>
      <c r="S87" s="1541"/>
      <c r="T87" s="1541"/>
      <c r="U87" s="1541"/>
      <c r="V87" s="1541"/>
      <c r="W87" s="1541"/>
      <c r="X87" s="1541"/>
      <c r="Y87" s="1541"/>
      <c r="Z87" s="1541"/>
      <c r="AA87" s="1541"/>
      <c r="AB87" s="1541"/>
      <c r="AC87" s="1541"/>
    </row>
    <row r="88" s="1164" customFormat="1" ht="15.15" spans="1:29">
      <c r="A88" s="1471"/>
      <c r="B88" s="1451" t="str">
        <f>B26</f>
        <v>平面位置/可视性</v>
      </c>
      <c r="C88" s="1459"/>
      <c r="D88" s="1459"/>
      <c r="E88" s="1459"/>
      <c r="F88" s="1800"/>
      <c r="G88" s="1459"/>
      <c r="H88" s="1459"/>
      <c r="I88" s="1459"/>
      <c r="J88" s="1459"/>
      <c r="K88" s="1459"/>
      <c r="L88" s="1459"/>
      <c r="M88" s="1655"/>
      <c r="N88" s="1491"/>
      <c r="O88" s="1491"/>
      <c r="P88" s="1821"/>
      <c r="Q88" s="1419"/>
      <c r="R88" s="1541"/>
      <c r="S88" s="1541"/>
      <c r="T88" s="1541"/>
      <c r="U88" s="1541"/>
      <c r="V88" s="1541"/>
      <c r="W88" s="1541"/>
      <c r="X88" s="1541"/>
      <c r="Y88" s="1541"/>
      <c r="Z88" s="1541"/>
      <c r="AA88" s="1541"/>
      <c r="AB88" s="1541"/>
      <c r="AC88" s="1541"/>
    </row>
    <row r="89" s="1164" customFormat="1" ht="14.55" spans="1:29">
      <c r="A89" s="1471"/>
      <c r="B89" s="1453"/>
      <c r="C89" s="1461"/>
      <c r="D89" s="1450"/>
      <c r="E89" s="1450"/>
      <c r="F89" s="1450"/>
      <c r="G89" s="1450"/>
      <c r="H89" s="1450"/>
      <c r="I89" s="1450"/>
      <c r="J89" s="1450"/>
      <c r="K89" s="1450"/>
      <c r="L89" s="1450"/>
      <c r="M89" s="1450"/>
      <c r="N89" s="1500"/>
      <c r="O89" s="1500"/>
      <c r="P89" s="1821"/>
      <c r="Q89" s="1419"/>
      <c r="R89" s="1541"/>
      <c r="S89" s="1541"/>
      <c r="T89" s="1541"/>
      <c r="U89" s="1541"/>
      <c r="V89" s="1541"/>
      <c r="W89" s="1541"/>
      <c r="X89" s="1541"/>
      <c r="Y89" s="1541"/>
      <c r="Z89" s="1541"/>
      <c r="AA89" s="1541"/>
      <c r="AB89" s="1541"/>
      <c r="AC89" s="1541"/>
    </row>
    <row r="90" s="1166" customFormat="1" ht="15.15" spans="1:29">
      <c r="A90" s="1458"/>
      <c r="B90" s="1451" t="str">
        <f>B27</f>
        <v>人流量</v>
      </c>
      <c r="C90" s="1459"/>
      <c r="D90" s="1459"/>
      <c r="E90" s="1459"/>
      <c r="F90" s="1459"/>
      <c r="G90" s="1459"/>
      <c r="H90" s="1460"/>
      <c r="I90" s="1460"/>
      <c r="J90" s="1460"/>
      <c r="K90" s="1460"/>
      <c r="L90" s="1508"/>
      <c r="M90" s="1509"/>
      <c r="N90" s="1510"/>
      <c r="O90" s="1510"/>
      <c r="P90" s="1826"/>
      <c r="Q90" s="1542"/>
      <c r="R90" s="1543"/>
      <c r="S90" s="1543"/>
      <c r="T90" s="1543"/>
      <c r="U90" s="1543"/>
      <c r="V90" s="1543"/>
      <c r="W90" s="1543"/>
      <c r="X90" s="1543"/>
      <c r="Y90" s="1543"/>
      <c r="Z90" s="1543"/>
      <c r="AA90" s="1543"/>
      <c r="AB90" s="1543"/>
      <c r="AC90" s="1543"/>
    </row>
    <row r="91" s="1166" customFormat="1" ht="14.55" spans="1:29">
      <c r="A91" s="1458"/>
      <c r="B91" s="1453"/>
      <c r="C91" s="1472">
        <v>100</v>
      </c>
      <c r="D91" s="1454">
        <f>C91-$K27</f>
        <v>100</v>
      </c>
      <c r="E91" s="1454">
        <f t="shared" ref="E91:M91" si="21">D91-$K27</f>
        <v>100</v>
      </c>
      <c r="F91" s="1454">
        <f t="shared" si="21"/>
        <v>100</v>
      </c>
      <c r="G91" s="1454">
        <f t="shared" si="21"/>
        <v>100</v>
      </c>
      <c r="H91" s="1454">
        <f t="shared" si="21"/>
        <v>100</v>
      </c>
      <c r="I91" s="1454">
        <f t="shared" si="21"/>
        <v>100</v>
      </c>
      <c r="J91" s="1454">
        <f t="shared" si="21"/>
        <v>100</v>
      </c>
      <c r="K91" s="1454">
        <f t="shared" si="21"/>
        <v>100</v>
      </c>
      <c r="L91" s="1454">
        <f t="shared" si="21"/>
        <v>100</v>
      </c>
      <c r="M91" s="1454">
        <f t="shared" si="21"/>
        <v>100</v>
      </c>
      <c r="N91" s="1510"/>
      <c r="O91" s="1510"/>
      <c r="P91" s="1826"/>
      <c r="Q91" s="1542"/>
      <c r="R91" s="1543"/>
      <c r="S91" s="1543"/>
      <c r="T91" s="1543"/>
      <c r="U91" s="1543"/>
      <c r="V91" s="1543"/>
      <c r="W91" s="1543"/>
      <c r="X91" s="1543"/>
      <c r="Y91" s="1543"/>
      <c r="Z91" s="1543"/>
      <c r="AA91" s="1543"/>
      <c r="AB91" s="1543"/>
      <c r="AC91" s="1543"/>
    </row>
    <row r="92" ht="15.15" spans="1:29">
      <c r="A92" s="1448"/>
      <c r="B92" s="1451" t="str">
        <f>B28</f>
        <v>楼层</v>
      </c>
      <c r="C92" s="1459"/>
      <c r="D92" s="1459"/>
      <c r="E92" s="1459"/>
      <c r="F92" s="1459"/>
      <c r="G92" s="1459"/>
      <c r="H92" s="1459"/>
      <c r="I92" s="1459"/>
      <c r="J92" s="1459"/>
      <c r="K92" s="1459"/>
      <c r="L92" s="1654"/>
      <c r="M92" s="1655"/>
      <c r="N92" s="1497"/>
      <c r="O92" s="1497"/>
      <c r="P92" s="1821"/>
      <c r="Q92" s="1419"/>
      <c r="R92" s="1292"/>
      <c r="S92" s="1292"/>
      <c r="T92" s="1292"/>
      <c r="U92" s="1292"/>
      <c r="V92" s="1292"/>
      <c r="W92" s="1292"/>
      <c r="X92" s="1292"/>
      <c r="Y92" s="1292"/>
      <c r="Z92" s="1292"/>
      <c r="AA92" s="1292"/>
      <c r="AB92" s="1292"/>
      <c r="AC92" s="1292"/>
    </row>
    <row r="93" ht="14.55" spans="1:29">
      <c r="A93" s="1448"/>
      <c r="B93" s="1453"/>
      <c r="C93" s="1450"/>
      <c r="D93" s="1450"/>
      <c r="E93" s="1450"/>
      <c r="F93" s="1450"/>
      <c r="G93" s="1450"/>
      <c r="H93" s="1450"/>
      <c r="I93" s="1450"/>
      <c r="J93" s="1450"/>
      <c r="K93" s="1450"/>
      <c r="L93" s="1450"/>
      <c r="M93" s="1499"/>
      <c r="N93" s="1500"/>
      <c r="O93" s="1500"/>
      <c r="P93" s="1821"/>
      <c r="Q93" s="1419"/>
      <c r="R93" s="1292"/>
      <c r="S93" s="1292"/>
      <c r="T93" s="1292"/>
      <c r="U93" s="1292"/>
      <c r="V93" s="1292"/>
      <c r="W93" s="1292"/>
      <c r="X93" s="1292"/>
      <c r="Y93" s="1292"/>
      <c r="Z93" s="1292"/>
      <c r="AA93" s="1292"/>
      <c r="AB93" s="1292"/>
      <c r="AC93" s="1292"/>
    </row>
    <row r="94" ht="14.55" spans="1:29">
      <c r="A94" s="1448"/>
      <c r="B94" s="1451">
        <f>B29</f>
        <v>111</v>
      </c>
      <c r="C94" s="1459"/>
      <c r="D94" s="1459"/>
      <c r="E94" s="1459"/>
      <c r="F94" s="1459"/>
      <c r="G94" s="1476"/>
      <c r="H94" s="1476"/>
      <c r="I94" s="1476"/>
      <c r="J94" s="1476"/>
      <c r="K94" s="1527"/>
      <c r="L94" s="1528"/>
      <c r="M94" s="1529"/>
      <c r="N94" s="1497"/>
      <c r="O94" s="1497"/>
      <c r="P94" s="1821"/>
      <c r="Q94" s="1419"/>
      <c r="R94" s="1292"/>
      <c r="S94" s="1292"/>
      <c r="T94" s="1292"/>
      <c r="U94" s="1292"/>
      <c r="V94" s="1292"/>
      <c r="W94" s="1292"/>
      <c r="X94" s="1292"/>
      <c r="Y94" s="1292"/>
      <c r="Z94" s="1292"/>
      <c r="AA94" s="1292"/>
      <c r="AB94" s="1292"/>
      <c r="AC94" s="1292"/>
    </row>
    <row r="95" ht="14.55" spans="1:29">
      <c r="A95" s="1448"/>
      <c r="B95" s="1453"/>
      <c r="C95" s="1461"/>
      <c r="D95" s="1450"/>
      <c r="E95" s="1450"/>
      <c r="F95" s="1450"/>
      <c r="G95" s="1450"/>
      <c r="H95" s="1450"/>
      <c r="I95" s="1450"/>
      <c r="J95" s="1450"/>
      <c r="K95" s="1450"/>
      <c r="L95" s="1450"/>
      <c r="M95" s="1499"/>
      <c r="N95" s="1500"/>
      <c r="O95" s="1500"/>
      <c r="P95" s="1821"/>
      <c r="Q95" s="1419"/>
      <c r="R95" s="1292"/>
      <c r="S95" s="1292"/>
      <c r="T95" s="1292"/>
      <c r="U95" s="1292"/>
      <c r="V95" s="1292"/>
      <c r="W95" s="1292"/>
      <c r="X95" s="1292"/>
      <c r="Y95" s="1292"/>
      <c r="Z95" s="1292"/>
      <c r="AA95" s="1292"/>
      <c r="AB95" s="1292"/>
      <c r="AC95" s="1292"/>
    </row>
    <row r="96" ht="14.55" spans="1:29">
      <c r="A96" s="1448"/>
      <c r="B96" s="1451">
        <f>B30</f>
        <v>111</v>
      </c>
      <c r="C96" s="1459"/>
      <c r="D96" s="1459"/>
      <c r="E96" s="1459"/>
      <c r="F96" s="1459"/>
      <c r="G96" s="1476"/>
      <c r="H96" s="1476"/>
      <c r="I96" s="1476"/>
      <c r="J96" s="1476"/>
      <c r="K96" s="1527"/>
      <c r="L96" s="1528"/>
      <c r="M96" s="1529"/>
      <c r="N96" s="1497"/>
      <c r="O96" s="1497"/>
      <c r="P96" s="1821"/>
      <c r="Q96" s="1419"/>
      <c r="R96" s="1292"/>
      <c r="S96" s="1292"/>
      <c r="T96" s="1292"/>
      <c r="U96" s="1292"/>
      <c r="V96" s="1292"/>
      <c r="W96" s="1292"/>
      <c r="X96" s="1292"/>
      <c r="Y96" s="1292"/>
      <c r="Z96" s="1292"/>
      <c r="AA96" s="1292"/>
      <c r="AB96" s="1292"/>
      <c r="AC96" s="1292"/>
    </row>
    <row r="97" ht="14.55" spans="1:29">
      <c r="A97" s="1448"/>
      <c r="B97" s="1453"/>
      <c r="C97" s="1461"/>
      <c r="D97" s="1450"/>
      <c r="E97" s="1450"/>
      <c r="F97" s="1450"/>
      <c r="G97" s="1450"/>
      <c r="H97" s="1450"/>
      <c r="I97" s="1450"/>
      <c r="J97" s="1450"/>
      <c r="K97" s="1450"/>
      <c r="L97" s="1450"/>
      <c r="M97" s="1499"/>
      <c r="N97" s="1500"/>
      <c r="O97" s="1500"/>
      <c r="P97" s="1821"/>
      <c r="Q97" s="1419"/>
      <c r="R97" s="1292"/>
      <c r="S97" s="1292"/>
      <c r="T97" s="1292"/>
      <c r="U97" s="1292"/>
      <c r="V97" s="1292"/>
      <c r="W97" s="1292"/>
      <c r="X97" s="1292"/>
      <c r="Y97" s="1292"/>
      <c r="Z97" s="1292"/>
      <c r="AA97" s="1292"/>
      <c r="AB97" s="1292"/>
      <c r="AC97" s="1292"/>
    </row>
    <row r="98" ht="14.55" spans="1:29">
      <c r="A98" s="1448"/>
      <c r="B98" s="1455">
        <f>B31</f>
        <v>111</v>
      </c>
      <c r="C98" s="1459"/>
      <c r="D98" s="1459"/>
      <c r="E98" s="1459"/>
      <c r="F98" s="1459"/>
      <c r="G98" s="1477"/>
      <c r="H98" s="1477"/>
      <c r="I98" s="1477"/>
      <c r="J98" s="1477"/>
      <c r="K98" s="1530"/>
      <c r="L98" s="1531"/>
      <c r="M98" s="1532"/>
      <c r="N98" s="1497"/>
      <c r="O98" s="1497"/>
      <c r="P98" s="1821"/>
      <c r="Q98" s="1419"/>
      <c r="R98" s="1292"/>
      <c r="S98" s="1292"/>
      <c r="T98" s="1292"/>
      <c r="U98" s="1292"/>
      <c r="V98" s="1292"/>
      <c r="W98" s="1292"/>
      <c r="X98" s="1292"/>
      <c r="Y98" s="1292"/>
      <c r="Z98" s="1292"/>
      <c r="AA98" s="1292"/>
      <c r="AB98" s="1292"/>
      <c r="AC98" s="1292"/>
    </row>
    <row r="99" ht="14.55" spans="1:29">
      <c r="A99" s="1757"/>
      <c r="B99" s="1465"/>
      <c r="C99" s="1466"/>
      <c r="D99" s="1466"/>
      <c r="E99" s="1466"/>
      <c r="F99" s="1466"/>
      <c r="G99" s="1478"/>
      <c r="H99" s="1478"/>
      <c r="I99" s="1478"/>
      <c r="J99" s="1478"/>
      <c r="K99" s="1478"/>
      <c r="L99" s="1478"/>
      <c r="M99" s="1533"/>
      <c r="N99" s="1500"/>
      <c r="O99" s="1500"/>
      <c r="P99" s="1821"/>
      <c r="Q99" s="1419"/>
      <c r="R99" s="1292"/>
      <c r="S99" s="1292"/>
      <c r="T99" s="1292"/>
      <c r="U99" s="1292"/>
      <c r="V99" s="1292"/>
      <c r="W99" s="1292"/>
      <c r="X99" s="1292"/>
      <c r="Y99" s="1292"/>
      <c r="Z99" s="1292"/>
      <c r="AA99" s="1292"/>
      <c r="AB99" s="1292"/>
      <c r="AC99" s="1292"/>
    </row>
    <row r="100" ht="14.4" spans="1:29">
      <c r="A100" s="1446" t="s">
        <v>1508</v>
      </c>
      <c r="B100" s="1447" t="s">
        <v>1568</v>
      </c>
      <c r="C100" s="1374"/>
      <c r="D100" s="1374"/>
      <c r="E100" s="1374"/>
      <c r="F100" s="1374"/>
      <c r="G100" s="1374"/>
      <c r="H100" s="1374"/>
      <c r="I100" s="1374"/>
      <c r="J100" s="1374"/>
      <c r="K100" s="1494"/>
      <c r="L100" s="1495"/>
      <c r="M100" s="1496"/>
      <c r="N100" s="1497"/>
      <c r="O100" s="1497"/>
      <c r="P100" s="1821"/>
      <c r="Q100" s="1419"/>
      <c r="R100" s="1292"/>
      <c r="S100" s="1292"/>
      <c r="T100" s="1292"/>
      <c r="U100" s="1292"/>
      <c r="V100" s="1292"/>
      <c r="W100" s="1292"/>
      <c r="X100" s="1292"/>
      <c r="Y100" s="1292"/>
      <c r="Z100" s="1292"/>
      <c r="AA100" s="1292"/>
      <c r="AB100" s="1292"/>
      <c r="AC100" s="1292"/>
    </row>
    <row r="101" ht="14.55" spans="1:29">
      <c r="A101" s="1448"/>
      <c r="B101" s="1453"/>
      <c r="C101" s="1454">
        <v>100</v>
      </c>
      <c r="D101" s="1454">
        <f t="shared" ref="D101:M101" si="22">C101-$K32</f>
        <v>100</v>
      </c>
      <c r="E101" s="1454">
        <f t="shared" si="22"/>
        <v>100</v>
      </c>
      <c r="F101" s="1454">
        <f t="shared" si="22"/>
        <v>100</v>
      </c>
      <c r="G101" s="1454">
        <f t="shared" si="22"/>
        <v>100</v>
      </c>
      <c r="H101" s="1454">
        <f t="shared" si="22"/>
        <v>100</v>
      </c>
      <c r="I101" s="1454">
        <f t="shared" si="22"/>
        <v>100</v>
      </c>
      <c r="J101" s="1454">
        <f t="shared" si="22"/>
        <v>100</v>
      </c>
      <c r="K101" s="1454">
        <f t="shared" si="22"/>
        <v>100</v>
      </c>
      <c r="L101" s="1454">
        <f t="shared" si="22"/>
        <v>100</v>
      </c>
      <c r="M101" s="1504">
        <f t="shared" si="22"/>
        <v>100</v>
      </c>
      <c r="N101" s="1500"/>
      <c r="O101" s="1500"/>
      <c r="P101" s="1821"/>
      <c r="Q101" s="1419"/>
      <c r="R101" s="1292"/>
      <c r="S101" s="1292"/>
      <c r="T101" s="1292"/>
      <c r="U101" s="1292"/>
      <c r="V101" s="1292"/>
      <c r="W101" s="1292"/>
      <c r="X101" s="1292"/>
      <c r="Y101" s="1292"/>
      <c r="Z101" s="1292"/>
      <c r="AA101" s="1292"/>
      <c r="AB101" s="1292"/>
      <c r="AC101" s="1292"/>
    </row>
    <row r="102" ht="15.15" spans="1:29">
      <c r="A102" s="1448"/>
      <c r="B102" s="1451" t="s">
        <v>1511</v>
      </c>
      <c r="C102" s="1470" t="str">
        <f>C103&amp;"(含)"&amp;"-"&amp;D103</f>
        <v>(含)-</v>
      </c>
      <c r="D102" s="1470" t="str">
        <f t="shared" ref="D102:L102" si="23">D103&amp;"(含)"&amp;"-"&amp;E103</f>
        <v>(含)-</v>
      </c>
      <c r="E102" s="1470" t="str">
        <f t="shared" si="23"/>
        <v>(含)-</v>
      </c>
      <c r="F102" s="1470" t="str">
        <f t="shared" si="23"/>
        <v>(含)-</v>
      </c>
      <c r="G102" s="1470" t="str">
        <f t="shared" si="23"/>
        <v>(含)-</v>
      </c>
      <c r="H102" s="1470" t="str">
        <f t="shared" si="23"/>
        <v>(含)-</v>
      </c>
      <c r="I102" s="1470" t="str">
        <f t="shared" si="23"/>
        <v>(含)-</v>
      </c>
      <c r="J102" s="1470" t="str">
        <f t="shared" si="23"/>
        <v>(含)-</v>
      </c>
      <c r="K102" s="1470" t="str">
        <f t="shared" si="23"/>
        <v>(含)-</v>
      </c>
      <c r="L102" s="1470" t="str">
        <f t="shared" si="23"/>
        <v>(含)-</v>
      </c>
      <c r="M102" s="1522" t="str">
        <f>M103&amp;"(含)"&amp;"-"&amp;P103</f>
        <v>(含)-</v>
      </c>
      <c r="N102" s="1491"/>
      <c r="O102" s="1491"/>
      <c r="P102" s="1821"/>
      <c r="Q102" s="1419"/>
      <c r="R102" s="1292"/>
      <c r="S102" s="1292"/>
      <c r="T102" s="1292"/>
      <c r="U102" s="1292"/>
      <c r="V102" s="1292"/>
      <c r="W102" s="1292"/>
      <c r="X102" s="1292"/>
      <c r="Y102" s="1292"/>
      <c r="Z102" s="1292"/>
      <c r="AA102" s="1292"/>
      <c r="AB102" s="1292"/>
      <c r="AC102" s="1292"/>
    </row>
    <row r="103" s="1166" customFormat="1" spans="1:29">
      <c r="A103" s="1479"/>
      <c r="B103" s="1480"/>
      <c r="C103" s="1435"/>
      <c r="D103" s="1435"/>
      <c r="E103" s="1435"/>
      <c r="F103" s="1435"/>
      <c r="G103" s="1435"/>
      <c r="H103" s="1435"/>
      <c r="I103" s="1435"/>
      <c r="J103" s="1534"/>
      <c r="K103" s="1534"/>
      <c r="L103" s="1535"/>
      <c r="M103" s="1536"/>
      <c r="N103" s="1510"/>
      <c r="O103" s="1510"/>
      <c r="P103" s="1826"/>
      <c r="Q103" s="1542"/>
      <c r="R103" s="1543"/>
      <c r="S103" s="1543"/>
      <c r="T103" s="1543"/>
      <c r="U103" s="1543"/>
      <c r="V103" s="1543"/>
      <c r="W103" s="1543"/>
      <c r="X103" s="1543"/>
      <c r="Y103" s="1543"/>
      <c r="Z103" s="1543"/>
      <c r="AA103" s="1543"/>
      <c r="AB103" s="1543"/>
      <c r="AC103" s="1543"/>
    </row>
    <row r="104" s="1166" customFormat="1" ht="14.55" spans="1:29">
      <c r="A104" s="1458"/>
      <c r="B104" s="1453"/>
      <c r="C104" s="1461"/>
      <c r="D104" s="1450"/>
      <c r="E104" s="1450"/>
      <c r="F104" s="1450"/>
      <c r="G104" s="1450"/>
      <c r="H104" s="1450"/>
      <c r="I104" s="1450"/>
      <c r="J104" s="1450"/>
      <c r="K104" s="1450"/>
      <c r="L104" s="1450"/>
      <c r="M104" s="1499"/>
      <c r="N104" s="1500"/>
      <c r="O104" s="1500"/>
      <c r="P104" s="1826"/>
      <c r="Q104" s="1542"/>
      <c r="R104" s="1543"/>
      <c r="S104" s="1543"/>
      <c r="T104" s="1543"/>
      <c r="U104" s="1543"/>
      <c r="V104" s="1543"/>
      <c r="W104" s="1543"/>
      <c r="X104" s="1543"/>
      <c r="Y104" s="1543"/>
      <c r="Z104" s="1543"/>
      <c r="AA104" s="1543"/>
      <c r="AB104" s="1543"/>
      <c r="AC104" s="1543"/>
    </row>
    <row r="105" ht="15.15" spans="1:29">
      <c r="A105" s="1482"/>
      <c r="B105" s="1451" t="s">
        <v>1512</v>
      </c>
      <c r="C105" s="1459"/>
      <c r="D105" s="1459"/>
      <c r="E105" s="1476"/>
      <c r="F105" s="1476"/>
      <c r="G105" s="1476"/>
      <c r="H105" s="1476"/>
      <c r="I105" s="1476"/>
      <c r="J105" s="1476"/>
      <c r="K105" s="1527"/>
      <c r="L105" s="1528"/>
      <c r="M105" s="1529"/>
      <c r="N105" s="1497"/>
      <c r="O105" s="1497"/>
      <c r="P105" s="1821"/>
      <c r="Q105" s="1419"/>
      <c r="R105" s="1292"/>
      <c r="S105" s="1292"/>
      <c r="T105" s="1292"/>
      <c r="U105" s="1292"/>
      <c r="V105" s="1292"/>
      <c r="W105" s="1292"/>
      <c r="X105" s="1292"/>
      <c r="Y105" s="1292"/>
      <c r="Z105" s="1292"/>
      <c r="AA105" s="1292"/>
      <c r="AB105" s="1292"/>
      <c r="AC105" s="1292"/>
    </row>
    <row r="106" ht="14.55" spans="1:29">
      <c r="A106" s="1448"/>
      <c r="B106" s="1453"/>
      <c r="C106" s="1454">
        <v>100</v>
      </c>
      <c r="D106" s="1454">
        <f t="shared" ref="D106:M106" si="24">C106-$K34</f>
        <v>100</v>
      </c>
      <c r="E106" s="1454">
        <f t="shared" si="24"/>
        <v>100</v>
      </c>
      <c r="F106" s="1454">
        <f t="shared" si="24"/>
        <v>100</v>
      </c>
      <c r="G106" s="1454">
        <f t="shared" si="24"/>
        <v>100</v>
      </c>
      <c r="H106" s="1454">
        <f t="shared" si="24"/>
        <v>100</v>
      </c>
      <c r="I106" s="1454">
        <f t="shared" si="24"/>
        <v>100</v>
      </c>
      <c r="J106" s="1454">
        <f t="shared" si="24"/>
        <v>100</v>
      </c>
      <c r="K106" s="1454">
        <f t="shared" si="24"/>
        <v>100</v>
      </c>
      <c r="L106" s="1454">
        <f t="shared" si="24"/>
        <v>100</v>
      </c>
      <c r="M106" s="1504">
        <f t="shared" si="24"/>
        <v>100</v>
      </c>
      <c r="N106" s="1500"/>
      <c r="O106" s="1500"/>
      <c r="P106" s="1821"/>
      <c r="Q106" s="1419"/>
      <c r="R106" s="1292"/>
      <c r="S106" s="1292"/>
      <c r="T106" s="1292"/>
      <c r="U106" s="1292"/>
      <c r="V106" s="1292"/>
      <c r="W106" s="1292"/>
      <c r="X106" s="1292"/>
      <c r="Y106" s="1292"/>
      <c r="Z106" s="1292"/>
      <c r="AA106" s="1292"/>
      <c r="AB106" s="1292"/>
      <c r="AC106" s="1292"/>
    </row>
    <row r="107" ht="15.15" spans="1:29">
      <c r="A107" s="1482"/>
      <c r="B107" s="1451" t="s">
        <v>1514</v>
      </c>
      <c r="C107" s="1459"/>
      <c r="D107" s="1459"/>
      <c r="E107" s="1459"/>
      <c r="F107" s="1476"/>
      <c r="G107" s="1476"/>
      <c r="H107" s="1476"/>
      <c r="I107" s="1476"/>
      <c r="J107" s="1476"/>
      <c r="K107" s="1527"/>
      <c r="L107" s="1528"/>
      <c r="M107" s="1529"/>
      <c r="N107" s="1497"/>
      <c r="O107" s="1497"/>
      <c r="P107" s="1821"/>
      <c r="Q107" s="1419"/>
      <c r="R107" s="1292"/>
      <c r="S107" s="1292"/>
      <c r="T107" s="1292"/>
      <c r="U107" s="1292"/>
      <c r="V107" s="1292"/>
      <c r="W107" s="1292"/>
      <c r="X107" s="1292"/>
      <c r="Y107" s="1292"/>
      <c r="Z107" s="1292"/>
      <c r="AA107" s="1292"/>
      <c r="AB107" s="1292"/>
      <c r="AC107" s="1292"/>
    </row>
    <row r="108" ht="14.55" spans="1:29">
      <c r="A108" s="1448"/>
      <c r="B108" s="1453"/>
      <c r="C108" s="1454">
        <v>100</v>
      </c>
      <c r="D108" s="1454">
        <f t="shared" ref="D108:M108" si="25">C108-$K35</f>
        <v>100</v>
      </c>
      <c r="E108" s="1454">
        <f t="shared" si="25"/>
        <v>100</v>
      </c>
      <c r="F108" s="1454">
        <f t="shared" si="25"/>
        <v>100</v>
      </c>
      <c r="G108" s="1454">
        <f t="shared" si="25"/>
        <v>100</v>
      </c>
      <c r="H108" s="1454">
        <f t="shared" si="25"/>
        <v>100</v>
      </c>
      <c r="I108" s="1454">
        <f t="shared" si="25"/>
        <v>100</v>
      </c>
      <c r="J108" s="1454">
        <f t="shared" si="25"/>
        <v>100</v>
      </c>
      <c r="K108" s="1454">
        <f t="shared" si="25"/>
        <v>100</v>
      </c>
      <c r="L108" s="1454">
        <f t="shared" si="25"/>
        <v>100</v>
      </c>
      <c r="M108" s="1504">
        <f t="shared" si="25"/>
        <v>100</v>
      </c>
      <c r="N108" s="1500"/>
      <c r="O108" s="1500"/>
      <c r="P108" s="1821"/>
      <c r="Q108" s="1419"/>
      <c r="R108" s="1292"/>
      <c r="S108" s="1292"/>
      <c r="T108" s="1292"/>
      <c r="U108" s="1292"/>
      <c r="V108" s="1292"/>
      <c r="W108" s="1292"/>
      <c r="X108" s="1292"/>
      <c r="Y108" s="1292"/>
      <c r="Z108" s="1292"/>
      <c r="AA108" s="1292"/>
      <c r="AB108" s="1292"/>
      <c r="AC108" s="1292"/>
    </row>
    <row r="109" ht="15.15" spans="1:29">
      <c r="A109" s="1482"/>
      <c r="B109" s="1451" t="s">
        <v>636</v>
      </c>
      <c r="C109" s="1470" t="str">
        <f>C110&amp;"(含)"&amp;"-"&amp;D110</f>
        <v>0.5(含)-0.6</v>
      </c>
      <c r="D109" s="1470" t="str">
        <f>D110&amp;"(含)"&amp;"-"&amp;E110</f>
        <v>0.6(含)-0.7</v>
      </c>
      <c r="E109" s="1470" t="str">
        <f>E110&amp;"(含)"&amp;"-"&amp;F110</f>
        <v>0.7(含)-0.8</v>
      </c>
      <c r="F109" s="1470" t="str">
        <f>F110&amp;"(含)"&amp;"-"&amp;G110</f>
        <v>0.8(含)-0.9</v>
      </c>
      <c r="G109" s="1470" t="str">
        <f>G110&amp;"(含)"&amp;"-"&amp;ROUND(H110,0)&amp;"(含)"</f>
        <v>0.9(含)-1(含)</v>
      </c>
      <c r="H109" s="1470"/>
      <c r="I109" s="1476"/>
      <c r="J109" s="1476"/>
      <c r="K109" s="1527"/>
      <c r="L109" s="1528"/>
      <c r="M109" s="1529"/>
      <c r="N109" s="1497"/>
      <c r="O109" s="1497"/>
      <c r="P109" s="1821"/>
      <c r="Q109" s="1419"/>
      <c r="R109" s="1292"/>
      <c r="S109" s="1292"/>
      <c r="T109" s="1292"/>
      <c r="U109" s="1292"/>
      <c r="V109" s="1292"/>
      <c r="W109" s="1292"/>
      <c r="X109" s="1292"/>
      <c r="Y109" s="1292"/>
      <c r="Z109" s="1292"/>
      <c r="AA109" s="1292"/>
      <c r="AB109" s="1292"/>
      <c r="AC109" s="1292"/>
    </row>
    <row r="110" spans="1:29">
      <c r="A110" s="1482"/>
      <c r="B110" s="1455"/>
      <c r="C110" s="928">
        <v>0.5</v>
      </c>
      <c r="D110" s="928">
        <v>0.6</v>
      </c>
      <c r="E110" s="928">
        <v>0.7</v>
      </c>
      <c r="F110" s="928">
        <v>0.8</v>
      </c>
      <c r="G110" s="928">
        <v>0.9</v>
      </c>
      <c r="H110" s="928">
        <v>1.0001</v>
      </c>
      <c r="I110" s="1715"/>
      <c r="J110" s="1715"/>
      <c r="K110" s="1716"/>
      <c r="L110" s="1717"/>
      <c r="M110" s="1718"/>
      <c r="N110" s="1497"/>
      <c r="O110" s="1497"/>
      <c r="P110" s="1821"/>
      <c r="Q110" s="1419"/>
      <c r="R110" s="1292"/>
      <c r="S110" s="1292"/>
      <c r="T110" s="1292"/>
      <c r="U110" s="1292"/>
      <c r="V110" s="1292"/>
      <c r="W110" s="1292"/>
      <c r="X110" s="1292"/>
      <c r="Y110" s="1292"/>
      <c r="Z110" s="1292"/>
      <c r="AA110" s="1292"/>
      <c r="AB110" s="1292"/>
      <c r="AC110" s="1292"/>
    </row>
    <row r="111" ht="14.55" spans="1:29">
      <c r="A111" s="1448"/>
      <c r="B111" s="1453"/>
      <c r="C111" s="1472">
        <v>100</v>
      </c>
      <c r="D111" s="1454">
        <f>C111+$K36</f>
        <v>100</v>
      </c>
      <c r="E111" s="1454">
        <f t="shared" ref="E111:M111" si="26">D111+$K36</f>
        <v>100</v>
      </c>
      <c r="F111" s="1454">
        <f t="shared" si="26"/>
        <v>100</v>
      </c>
      <c r="G111" s="1454">
        <f t="shared" si="26"/>
        <v>100</v>
      </c>
      <c r="H111" s="1454">
        <f t="shared" si="26"/>
        <v>100</v>
      </c>
      <c r="I111" s="1454">
        <f t="shared" si="26"/>
        <v>100</v>
      </c>
      <c r="J111" s="1454">
        <f t="shared" si="26"/>
        <v>100</v>
      </c>
      <c r="K111" s="1454">
        <f t="shared" si="26"/>
        <v>100</v>
      </c>
      <c r="L111" s="1454">
        <f t="shared" si="26"/>
        <v>100</v>
      </c>
      <c r="M111" s="1454">
        <f t="shared" si="26"/>
        <v>100</v>
      </c>
      <c r="N111" s="1500"/>
      <c r="O111" s="1500"/>
      <c r="P111" s="1821"/>
      <c r="Q111" s="1419"/>
      <c r="R111" s="1292"/>
      <c r="S111" s="1292"/>
      <c r="T111" s="1292"/>
      <c r="U111" s="1292"/>
      <c r="V111" s="1292"/>
      <c r="W111" s="1292"/>
      <c r="X111" s="1292"/>
      <c r="Y111" s="1292"/>
      <c r="Z111" s="1292"/>
      <c r="AA111" s="1292"/>
      <c r="AB111" s="1292"/>
      <c r="AC111" s="1292"/>
    </row>
    <row r="112" s="1166" customFormat="1" ht="15.15" spans="1:29">
      <c r="A112" s="1479"/>
      <c r="B112" s="1451" t="s">
        <v>1516</v>
      </c>
      <c r="C112" s="1459"/>
      <c r="D112" s="1459"/>
      <c r="E112" s="1459"/>
      <c r="F112" s="1459"/>
      <c r="G112" s="1459"/>
      <c r="H112" s="1476"/>
      <c r="I112" s="1476"/>
      <c r="J112" s="1476"/>
      <c r="K112" s="1527"/>
      <c r="L112" s="1528"/>
      <c r="M112" s="1529"/>
      <c r="N112" s="1510"/>
      <c r="O112" s="1510"/>
      <c r="P112" s="1826"/>
      <c r="Q112" s="1542"/>
      <c r="R112" s="1543"/>
      <c r="S112" s="1543"/>
      <c r="T112" s="1543"/>
      <c r="U112" s="1543"/>
      <c r="V112" s="1543"/>
      <c r="W112" s="1543"/>
      <c r="X112" s="1543"/>
      <c r="Y112" s="1543"/>
      <c r="Z112" s="1543"/>
      <c r="AA112" s="1543"/>
      <c r="AB112" s="1543"/>
      <c r="AC112" s="1543"/>
    </row>
    <row r="113" s="1166" customFormat="1" ht="14.55" spans="1:29">
      <c r="A113" s="1458"/>
      <c r="B113" s="1453"/>
      <c r="C113" s="1454">
        <v>100</v>
      </c>
      <c r="D113" s="1454">
        <f>C113-$K37</f>
        <v>100</v>
      </c>
      <c r="E113" s="1454">
        <f t="shared" ref="E113:M113" si="27">D113-$K37</f>
        <v>100</v>
      </c>
      <c r="F113" s="1454">
        <f t="shared" si="27"/>
        <v>100</v>
      </c>
      <c r="G113" s="1454">
        <f t="shared" si="27"/>
        <v>100</v>
      </c>
      <c r="H113" s="1454">
        <f t="shared" si="27"/>
        <v>100</v>
      </c>
      <c r="I113" s="1454">
        <f t="shared" si="27"/>
        <v>100</v>
      </c>
      <c r="J113" s="1454">
        <f t="shared" si="27"/>
        <v>100</v>
      </c>
      <c r="K113" s="1454">
        <f t="shared" si="27"/>
        <v>100</v>
      </c>
      <c r="L113" s="1454">
        <f t="shared" si="27"/>
        <v>100</v>
      </c>
      <c r="M113" s="1454">
        <f t="shared" si="27"/>
        <v>100</v>
      </c>
      <c r="N113" s="1510"/>
      <c r="O113" s="1510"/>
      <c r="P113" s="1826"/>
      <c r="Q113" s="1542"/>
      <c r="R113" s="1543"/>
      <c r="S113" s="1543"/>
      <c r="T113" s="1543"/>
      <c r="U113" s="1543"/>
      <c r="V113" s="1543"/>
      <c r="W113" s="1543"/>
      <c r="X113" s="1543"/>
      <c r="Y113" s="1543"/>
      <c r="Z113" s="1543"/>
      <c r="AA113" s="1543"/>
      <c r="AB113" s="1543"/>
      <c r="AC113" s="1543"/>
    </row>
    <row r="114" ht="15.15" spans="1:29">
      <c r="A114" s="1482"/>
      <c r="B114" s="1451" t="s">
        <v>1569</v>
      </c>
      <c r="C114" s="1459"/>
      <c r="D114" s="1459"/>
      <c r="E114" s="1476"/>
      <c r="F114" s="1476"/>
      <c r="G114" s="1476"/>
      <c r="H114" s="1476"/>
      <c r="I114" s="1476"/>
      <c r="J114" s="1476"/>
      <c r="K114" s="1527"/>
      <c r="L114" s="1528"/>
      <c r="M114" s="1529"/>
      <c r="N114" s="1497"/>
      <c r="O114" s="1497"/>
      <c r="P114" s="1821"/>
      <c r="Q114" s="1419"/>
      <c r="R114" s="1292"/>
      <c r="S114" s="1292"/>
      <c r="T114" s="1292"/>
      <c r="U114" s="1292"/>
      <c r="V114" s="1292"/>
      <c r="W114" s="1292"/>
      <c r="X114" s="1292"/>
      <c r="Y114" s="1292"/>
      <c r="Z114" s="1292"/>
      <c r="AA114" s="1292"/>
      <c r="AB114" s="1292"/>
      <c r="AC114" s="1292"/>
    </row>
    <row r="115" ht="14.55" spans="1:29">
      <c r="A115" s="1448"/>
      <c r="B115" s="1453"/>
      <c r="C115" s="1454">
        <v>100</v>
      </c>
      <c r="D115" s="1454">
        <f t="shared" ref="D115:M115" si="28">C115-$K38</f>
        <v>100</v>
      </c>
      <c r="E115" s="1454">
        <f t="shared" si="28"/>
        <v>100</v>
      </c>
      <c r="F115" s="1454">
        <f t="shared" si="28"/>
        <v>100</v>
      </c>
      <c r="G115" s="1454">
        <f t="shared" si="28"/>
        <v>100</v>
      </c>
      <c r="H115" s="1454">
        <f t="shared" si="28"/>
        <v>100</v>
      </c>
      <c r="I115" s="1454">
        <f t="shared" si="28"/>
        <v>100</v>
      </c>
      <c r="J115" s="1454">
        <f t="shared" si="28"/>
        <v>100</v>
      </c>
      <c r="K115" s="1454">
        <f t="shared" si="28"/>
        <v>100</v>
      </c>
      <c r="L115" s="1454">
        <f t="shared" si="28"/>
        <v>100</v>
      </c>
      <c r="M115" s="1504">
        <f t="shared" si="28"/>
        <v>100</v>
      </c>
      <c r="N115" s="1500"/>
      <c r="O115" s="1500"/>
      <c r="P115" s="1821"/>
      <c r="Q115" s="1419"/>
      <c r="R115" s="1292"/>
      <c r="S115" s="1292"/>
      <c r="T115" s="1292"/>
      <c r="U115" s="1292"/>
      <c r="V115" s="1292"/>
      <c r="W115" s="1292"/>
      <c r="X115" s="1292"/>
      <c r="Y115" s="1292"/>
      <c r="Z115" s="1292"/>
      <c r="AA115" s="1292"/>
      <c r="AB115" s="1292"/>
      <c r="AC115" s="1292"/>
    </row>
    <row r="116" ht="15.15" spans="1:29">
      <c r="A116" s="1482"/>
      <c r="B116" s="1451" t="s">
        <v>1570</v>
      </c>
      <c r="C116" s="1459"/>
      <c r="D116" s="1459"/>
      <c r="E116" s="1459"/>
      <c r="F116" s="1459"/>
      <c r="G116" s="1459"/>
      <c r="H116" s="1476"/>
      <c r="I116" s="1476"/>
      <c r="J116" s="1476"/>
      <c r="K116" s="1527"/>
      <c r="L116" s="1528"/>
      <c r="M116" s="1529"/>
      <c r="N116" s="1497"/>
      <c r="O116" s="1497"/>
      <c r="P116" s="1821"/>
      <c r="Q116" s="1419"/>
      <c r="R116" s="1292"/>
      <c r="S116" s="1292"/>
      <c r="T116" s="1292"/>
      <c r="U116" s="1292"/>
      <c r="V116" s="1292"/>
      <c r="W116" s="1292"/>
      <c r="X116" s="1292"/>
      <c r="Y116" s="1292"/>
      <c r="Z116" s="1292"/>
      <c r="AA116" s="1292"/>
      <c r="AB116" s="1292"/>
      <c r="AC116" s="1292"/>
    </row>
    <row r="117" ht="14.55" spans="1:29">
      <c r="A117" s="1448"/>
      <c r="B117" s="1453"/>
      <c r="C117" s="1454">
        <v>100</v>
      </c>
      <c r="D117" s="1454">
        <f>C117-$K39</f>
        <v>100</v>
      </c>
      <c r="E117" s="1454">
        <f>D117-$K39</f>
        <v>100</v>
      </c>
      <c r="F117" s="1454">
        <f>E117-$K39</f>
        <v>100</v>
      </c>
      <c r="G117" s="1454">
        <f>F117-$K39</f>
        <v>100</v>
      </c>
      <c r="H117" s="1454"/>
      <c r="I117" s="1454"/>
      <c r="J117" s="1454"/>
      <c r="K117" s="1454"/>
      <c r="L117" s="1454"/>
      <c r="M117" s="1504"/>
      <c r="N117" s="1500"/>
      <c r="O117" s="1500"/>
      <c r="P117" s="1821"/>
      <c r="Q117" s="1419"/>
      <c r="R117" s="1292"/>
      <c r="S117" s="1292"/>
      <c r="T117" s="1292"/>
      <c r="U117" s="1292"/>
      <c r="V117" s="1292"/>
      <c r="W117" s="1292"/>
      <c r="X117" s="1292"/>
      <c r="Y117" s="1292"/>
      <c r="Z117" s="1292"/>
      <c r="AA117" s="1292"/>
      <c r="AB117" s="1292"/>
      <c r="AC117" s="1292"/>
    </row>
    <row r="118" ht="15.15" spans="1:29">
      <c r="A118" s="1482"/>
      <c r="B118" s="1451" t="s">
        <v>1571</v>
      </c>
      <c r="C118" s="1825"/>
      <c r="D118" s="1825"/>
      <c r="E118" s="1825"/>
      <c r="F118" s="1825"/>
      <c r="G118" s="1825"/>
      <c r="H118" s="1460"/>
      <c r="I118" s="1460"/>
      <c r="J118" s="1460"/>
      <c r="K118" s="1460"/>
      <c r="L118" s="1508"/>
      <c r="M118" s="1509"/>
      <c r="N118" s="1497"/>
      <c r="O118" s="1497"/>
      <c r="P118" s="1821"/>
      <c r="Q118" s="1419"/>
      <c r="R118" s="1292"/>
      <c r="S118" s="1292"/>
      <c r="T118" s="1292"/>
      <c r="U118" s="1292"/>
      <c r="V118" s="1292"/>
      <c r="W118" s="1292"/>
      <c r="X118" s="1292"/>
      <c r="Y118" s="1292"/>
      <c r="Z118" s="1292"/>
      <c r="AA118" s="1292"/>
      <c r="AB118" s="1292"/>
      <c r="AC118" s="1292"/>
    </row>
    <row r="119" ht="14.55" spans="1:29">
      <c r="A119" s="1448"/>
      <c r="B119" s="1453"/>
      <c r="C119" s="1461"/>
      <c r="D119" s="1450"/>
      <c r="E119" s="1450"/>
      <c r="F119" s="1450"/>
      <c r="G119" s="1450"/>
      <c r="H119" s="1450"/>
      <c r="I119" s="1450"/>
      <c r="J119" s="1450"/>
      <c r="K119" s="1450"/>
      <c r="L119" s="1450"/>
      <c r="M119" s="1499"/>
      <c r="N119" s="1500"/>
      <c r="O119" s="1500"/>
      <c r="P119" s="1821"/>
      <c r="Q119" s="1419"/>
      <c r="R119" s="1292"/>
      <c r="S119" s="1292"/>
      <c r="T119" s="1292"/>
      <c r="U119" s="1292"/>
      <c r="V119" s="1292"/>
      <c r="W119" s="1292"/>
      <c r="X119" s="1292"/>
      <c r="Y119" s="1292"/>
      <c r="Z119" s="1292"/>
      <c r="AA119" s="1292"/>
      <c r="AB119" s="1292"/>
      <c r="AC119" s="1292"/>
    </row>
    <row r="120" s="1166" customFormat="1" ht="15.15" spans="1:29">
      <c r="A120" s="1479"/>
      <c r="B120" s="1451" t="s">
        <v>1573</v>
      </c>
      <c r="C120" s="1476"/>
      <c r="D120" s="1476"/>
      <c r="E120" s="1476"/>
      <c r="F120" s="1476"/>
      <c r="G120" s="1460"/>
      <c r="H120" s="1460"/>
      <c r="I120" s="1460"/>
      <c r="J120" s="1460"/>
      <c r="K120" s="1460"/>
      <c r="L120" s="1508"/>
      <c r="M120" s="1509"/>
      <c r="N120" s="1510"/>
      <c r="O120" s="1510"/>
      <c r="P120" s="1826"/>
      <c r="Q120" s="1542"/>
      <c r="R120" s="1543"/>
      <c r="S120" s="1543"/>
      <c r="T120" s="1543"/>
      <c r="U120" s="1543"/>
      <c r="V120" s="1543"/>
      <c r="W120" s="1543"/>
      <c r="X120" s="1543"/>
      <c r="Y120" s="1543"/>
      <c r="Z120" s="1543"/>
      <c r="AA120" s="1543"/>
      <c r="AB120" s="1543"/>
      <c r="AC120" s="1543"/>
    </row>
    <row r="121" s="1166" customFormat="1" ht="14.55" spans="1:29">
      <c r="A121" s="1458"/>
      <c r="B121" s="1449"/>
      <c r="C121" s="1472">
        <v>100</v>
      </c>
      <c r="D121" s="1454">
        <f>C121-$K41</f>
        <v>100</v>
      </c>
      <c r="E121" s="1454">
        <f t="shared" ref="E121:M121" si="29">D121-$K41</f>
        <v>100</v>
      </c>
      <c r="F121" s="1454">
        <f t="shared" si="29"/>
        <v>100</v>
      </c>
      <c r="G121" s="1454">
        <f t="shared" si="29"/>
        <v>100</v>
      </c>
      <c r="H121" s="1454">
        <f t="shared" si="29"/>
        <v>100</v>
      </c>
      <c r="I121" s="1454">
        <f t="shared" si="29"/>
        <v>100</v>
      </c>
      <c r="J121" s="1454">
        <f t="shared" si="29"/>
        <v>100</v>
      </c>
      <c r="K121" s="1454">
        <f t="shared" si="29"/>
        <v>100</v>
      </c>
      <c r="L121" s="1454">
        <f t="shared" si="29"/>
        <v>100</v>
      </c>
      <c r="M121" s="1504">
        <f t="shared" si="29"/>
        <v>100</v>
      </c>
      <c r="N121" s="1510"/>
      <c r="O121" s="1510"/>
      <c r="P121" s="1826"/>
      <c r="Q121" s="1542"/>
      <c r="R121" s="1543"/>
      <c r="S121" s="1543"/>
      <c r="T121" s="1543"/>
      <c r="U121" s="1543"/>
      <c r="V121" s="1543"/>
      <c r="W121" s="1543"/>
      <c r="X121" s="1543"/>
      <c r="Y121" s="1543"/>
      <c r="Z121" s="1543"/>
      <c r="AA121" s="1543"/>
      <c r="AB121" s="1543"/>
      <c r="AC121" s="1543"/>
    </row>
    <row r="122" ht="15.15" spans="1:29">
      <c r="A122" s="1482"/>
      <c r="B122" s="1451" t="s">
        <v>1519</v>
      </c>
      <c r="C122" s="1459"/>
      <c r="D122" s="1459"/>
      <c r="E122" s="1459"/>
      <c r="F122" s="1476"/>
      <c r="G122" s="1476"/>
      <c r="H122" s="1476"/>
      <c r="I122" s="1476"/>
      <c r="J122" s="1476"/>
      <c r="K122" s="1527"/>
      <c r="L122" s="1528"/>
      <c r="M122" s="1529"/>
      <c r="N122" s="1497"/>
      <c r="O122" s="1497"/>
      <c r="P122" s="1821"/>
      <c r="Q122" s="1419"/>
      <c r="R122" s="1292"/>
      <c r="S122" s="1292"/>
      <c r="T122" s="1292"/>
      <c r="U122" s="1292"/>
      <c r="V122" s="1292"/>
      <c r="W122" s="1292"/>
      <c r="X122" s="1292"/>
      <c r="Y122" s="1292"/>
      <c r="Z122" s="1292"/>
      <c r="AA122" s="1292"/>
      <c r="AB122" s="1292"/>
      <c r="AC122" s="1292"/>
    </row>
    <row r="123" ht="14.55" spans="1:29">
      <c r="A123" s="1448"/>
      <c r="B123" s="1453"/>
      <c r="C123" s="1454">
        <v>100</v>
      </c>
      <c r="D123" s="1454">
        <f t="shared" ref="D123:M123" si="30">C123-$K42</f>
        <v>100</v>
      </c>
      <c r="E123" s="1454">
        <f t="shared" si="30"/>
        <v>100</v>
      </c>
      <c r="F123" s="1454">
        <f t="shared" si="30"/>
        <v>100</v>
      </c>
      <c r="G123" s="1454">
        <f t="shared" si="30"/>
        <v>100</v>
      </c>
      <c r="H123" s="1454">
        <f t="shared" si="30"/>
        <v>100</v>
      </c>
      <c r="I123" s="1454">
        <f t="shared" si="30"/>
        <v>100</v>
      </c>
      <c r="J123" s="1454">
        <f t="shared" si="30"/>
        <v>100</v>
      </c>
      <c r="K123" s="1454">
        <f t="shared" si="30"/>
        <v>100</v>
      </c>
      <c r="L123" s="1454">
        <f t="shared" si="30"/>
        <v>100</v>
      </c>
      <c r="M123" s="1504">
        <f t="shared" si="30"/>
        <v>100</v>
      </c>
      <c r="N123" s="1500"/>
      <c r="O123" s="1500"/>
      <c r="P123" s="1821"/>
      <c r="Q123" s="1419"/>
      <c r="R123" s="1292"/>
      <c r="S123" s="1292"/>
      <c r="T123" s="1292"/>
      <c r="U123" s="1292"/>
      <c r="V123" s="1292"/>
      <c r="W123" s="1292"/>
      <c r="X123" s="1292"/>
      <c r="Y123" s="1292"/>
      <c r="Z123" s="1292"/>
      <c r="AA123" s="1292"/>
      <c r="AB123" s="1292"/>
      <c r="AC123" s="1292"/>
    </row>
    <row r="124" ht="29.55" spans="1:29">
      <c r="A124" s="1482"/>
      <c r="B124" s="1451" t="s">
        <v>1520</v>
      </c>
      <c r="C124" s="1470" t="s">
        <v>1532</v>
      </c>
      <c r="D124" s="1470" t="s">
        <v>1533</v>
      </c>
      <c r="E124" s="1470" t="s">
        <v>1534</v>
      </c>
      <c r="F124" s="1470" t="s">
        <v>1535</v>
      </c>
      <c r="G124" s="1470" t="s">
        <v>1536</v>
      </c>
      <c r="H124" s="1452"/>
      <c r="I124" s="1452"/>
      <c r="J124" s="1452"/>
      <c r="K124" s="1501"/>
      <c r="L124" s="1502"/>
      <c r="M124" s="1503"/>
      <c r="N124" s="1497"/>
      <c r="O124" s="1497"/>
      <c r="P124" s="1826"/>
      <c r="Q124" s="1419"/>
      <c r="R124" s="1292"/>
      <c r="S124" s="1292"/>
      <c r="T124" s="1292"/>
      <c r="U124" s="1292"/>
      <c r="V124" s="1292"/>
      <c r="W124" s="1292"/>
      <c r="X124" s="1292"/>
      <c r="Y124" s="1292"/>
      <c r="Z124" s="1292"/>
      <c r="AA124" s="1292"/>
      <c r="AB124" s="1292"/>
      <c r="AC124" s="1292"/>
    </row>
    <row r="125" ht="14.55" spans="1:29">
      <c r="A125" s="1448"/>
      <c r="B125" s="1453"/>
      <c r="C125" s="1454">
        <v>100</v>
      </c>
      <c r="D125" s="1454">
        <f>C125-$K43</f>
        <v>100</v>
      </c>
      <c r="E125" s="1454">
        <f>D125-$K43</f>
        <v>100</v>
      </c>
      <c r="F125" s="1454">
        <f>E125-$K43</f>
        <v>100</v>
      </c>
      <c r="G125" s="1454">
        <f>F125-$K43</f>
        <v>100</v>
      </c>
      <c r="H125" s="1454"/>
      <c r="I125" s="1454"/>
      <c r="J125" s="1454"/>
      <c r="K125" s="1454"/>
      <c r="L125" s="1454"/>
      <c r="M125" s="1504"/>
      <c r="N125" s="1500"/>
      <c r="O125" s="1500"/>
      <c r="P125" s="1821"/>
      <c r="Q125" s="1419"/>
      <c r="R125" s="1292"/>
      <c r="S125" s="1292"/>
      <c r="T125" s="1292"/>
      <c r="U125" s="1292"/>
      <c r="V125" s="1292"/>
      <c r="W125" s="1292"/>
      <c r="X125" s="1292"/>
      <c r="Y125" s="1292"/>
      <c r="Z125" s="1292"/>
      <c r="AA125" s="1292"/>
      <c r="AB125" s="1292"/>
      <c r="AC125" s="1292"/>
    </row>
    <row r="126" s="1166" customFormat="1" ht="14.55" spans="1:29">
      <c r="A126" s="1479"/>
      <c r="B126" s="1451">
        <f>B44</f>
        <v>111</v>
      </c>
      <c r="C126" s="1459"/>
      <c r="D126" s="1459"/>
      <c r="E126" s="1459"/>
      <c r="F126" s="1459"/>
      <c r="G126" s="1459"/>
      <c r="H126" s="1460"/>
      <c r="I126" s="1460"/>
      <c r="J126" s="1460"/>
      <c r="K126" s="1460"/>
      <c r="L126" s="1508"/>
      <c r="M126" s="1509"/>
      <c r="N126" s="1510"/>
      <c r="O126" s="1510"/>
      <c r="P126" s="1826"/>
      <c r="Q126" s="1542"/>
      <c r="R126" s="1543"/>
      <c r="S126" s="1543"/>
      <c r="T126" s="1543"/>
      <c r="U126" s="1543"/>
      <c r="V126" s="1543"/>
      <c r="W126" s="1543"/>
      <c r="X126" s="1543"/>
      <c r="Y126" s="1543"/>
      <c r="Z126" s="1543"/>
      <c r="AA126" s="1543"/>
      <c r="AB126" s="1543"/>
      <c r="AC126" s="1543"/>
    </row>
    <row r="127" s="1166" customFormat="1" ht="14.55" spans="1:29">
      <c r="A127" s="1458"/>
      <c r="B127" s="1453"/>
      <c r="C127" s="1461"/>
      <c r="D127" s="1450"/>
      <c r="E127" s="1450"/>
      <c r="F127" s="1450"/>
      <c r="G127" s="1461"/>
      <c r="H127" s="1462"/>
      <c r="I127" s="1462"/>
      <c r="J127" s="1462"/>
      <c r="K127" s="1462"/>
      <c r="L127" s="1462"/>
      <c r="M127" s="1512"/>
      <c r="N127" s="1510"/>
      <c r="O127" s="1510"/>
      <c r="P127" s="1826"/>
      <c r="Q127" s="1542"/>
      <c r="R127" s="1543"/>
      <c r="S127" s="1543"/>
      <c r="T127" s="1543"/>
      <c r="U127" s="1543"/>
      <c r="V127" s="1543"/>
      <c r="W127" s="1543"/>
      <c r="X127" s="1543"/>
      <c r="Y127" s="1543"/>
      <c r="Z127" s="1543"/>
      <c r="AA127" s="1543"/>
      <c r="AB127" s="1543"/>
      <c r="AC127" s="1543"/>
    </row>
    <row r="128" ht="14.55" spans="1:29">
      <c r="A128" s="1482"/>
      <c r="B128" s="1451">
        <f>B45</f>
        <v>111</v>
      </c>
      <c r="C128" s="1459"/>
      <c r="D128" s="1459"/>
      <c r="E128" s="1459"/>
      <c r="F128" s="1459"/>
      <c r="G128" s="1476"/>
      <c r="H128" s="1476"/>
      <c r="I128" s="1476"/>
      <c r="J128" s="1476"/>
      <c r="K128" s="1527"/>
      <c r="L128" s="1528"/>
      <c r="M128" s="1529"/>
      <c r="N128" s="1497"/>
      <c r="O128" s="1497"/>
      <c r="P128" s="1821"/>
      <c r="Q128" s="1419"/>
      <c r="R128" s="1292"/>
      <c r="S128" s="1292"/>
      <c r="T128" s="1292"/>
      <c r="U128" s="1292"/>
      <c r="V128" s="1292"/>
      <c r="W128" s="1292"/>
      <c r="X128" s="1292"/>
      <c r="Y128" s="1292"/>
      <c r="Z128" s="1292"/>
      <c r="AA128" s="1292"/>
      <c r="AB128" s="1292"/>
      <c r="AC128" s="1292"/>
    </row>
    <row r="129" ht="14.55" spans="1:29">
      <c r="A129" s="1448"/>
      <c r="B129" s="1453"/>
      <c r="C129" s="1461"/>
      <c r="D129" s="1450"/>
      <c r="E129" s="1450"/>
      <c r="F129" s="1450"/>
      <c r="G129" s="1450"/>
      <c r="H129" s="1450"/>
      <c r="I129" s="1450"/>
      <c r="J129" s="1450"/>
      <c r="K129" s="1450"/>
      <c r="L129" s="1450"/>
      <c r="M129" s="1499"/>
      <c r="N129" s="1500"/>
      <c r="O129" s="1500"/>
      <c r="P129" s="1821"/>
      <c r="Q129" s="1419"/>
      <c r="R129" s="1292"/>
      <c r="S129" s="1292"/>
      <c r="T129" s="1292"/>
      <c r="U129" s="1292"/>
      <c r="V129" s="1292"/>
      <c r="W129" s="1292"/>
      <c r="X129" s="1292"/>
      <c r="Y129" s="1292"/>
      <c r="Z129" s="1292"/>
      <c r="AA129" s="1292"/>
      <c r="AB129" s="1292"/>
      <c r="AC129" s="1292"/>
    </row>
    <row r="130" ht="14.55" spans="1:29">
      <c r="A130" s="1482"/>
      <c r="B130" s="1455">
        <f>B46</f>
        <v>111</v>
      </c>
      <c r="C130" s="1459"/>
      <c r="D130" s="1459"/>
      <c r="E130" s="1459"/>
      <c r="F130" s="1459"/>
      <c r="G130" s="1477"/>
      <c r="H130" s="1477"/>
      <c r="I130" s="1477"/>
      <c r="J130" s="1477"/>
      <c r="K130" s="1443"/>
      <c r="L130" s="1489"/>
      <c r="M130" s="1532"/>
      <c r="N130" s="1497"/>
      <c r="O130" s="1497"/>
      <c r="P130" s="1821"/>
      <c r="Q130" s="1419"/>
      <c r="R130" s="1292"/>
      <c r="S130" s="1292"/>
      <c r="T130" s="1292"/>
      <c r="U130" s="1292"/>
      <c r="V130" s="1292"/>
      <c r="W130" s="1292"/>
      <c r="X130" s="1292"/>
      <c r="Y130" s="1292"/>
      <c r="Z130" s="1292"/>
      <c r="AA130" s="1292"/>
      <c r="AB130" s="1292"/>
      <c r="AC130" s="1292"/>
    </row>
    <row r="131" ht="14.55" spans="1:29">
      <c r="A131" s="1757"/>
      <c r="B131" s="1465"/>
      <c r="C131" s="1466"/>
      <c r="D131" s="1466"/>
      <c r="E131" s="1466"/>
      <c r="F131" s="1466"/>
      <c r="G131" s="1478"/>
      <c r="H131" s="1478"/>
      <c r="I131" s="1478"/>
      <c r="J131" s="1478"/>
      <c r="K131" s="1478"/>
      <c r="L131" s="1478"/>
      <c r="M131" s="1533"/>
      <c r="N131" s="1500"/>
      <c r="O131" s="1500"/>
      <c r="P131" s="1821"/>
      <c r="Q131" s="1419"/>
      <c r="R131" s="1292"/>
      <c r="S131" s="1292"/>
      <c r="T131" s="1292"/>
      <c r="U131" s="1292"/>
      <c r="V131" s="1292"/>
      <c r="W131" s="1292"/>
      <c r="X131" s="1292"/>
      <c r="Y131" s="1292"/>
      <c r="Z131" s="1292"/>
      <c r="AA131" s="1292"/>
      <c r="AB131" s="1292"/>
      <c r="AC131" s="12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7" workbookViewId="0">
      <selection activeCell="K16" sqref="K16"/>
    </sheetView>
  </sheetViews>
  <sheetFormatPr defaultColWidth="9" defaultRowHeight="13.8"/>
  <cols>
    <col min="1" max="1" width="10.4444444444444" style="1170" customWidth="1"/>
    <col min="2" max="2" width="15.7777777777778" style="1170" customWidth="1"/>
    <col min="3" max="3" width="15.6666666666667" style="1170" customWidth="1"/>
    <col min="4" max="4" width="12.2222222222222" style="1170" customWidth="1"/>
    <col min="5" max="5" width="14.3333333333333" style="1170" customWidth="1"/>
    <col min="6" max="6" width="12.2222222222222" style="1170" customWidth="1"/>
    <col min="7" max="7" width="14.4444444444444" style="1170" customWidth="1"/>
    <col min="8" max="8" width="12.2222222222222" style="1170" customWidth="1"/>
    <col min="9" max="9" width="14.4444444444444" style="1170" customWidth="1"/>
    <col min="10" max="10" width="12.2222222222222" style="1170" customWidth="1"/>
    <col min="11" max="11" width="12.2222222222222" style="1171" customWidth="1"/>
    <col min="12" max="12" width="12.2222222222222" style="1172" customWidth="1"/>
    <col min="13" max="15" width="12.2222222222222" style="1170" customWidth="1"/>
    <col min="16" max="16" width="4.77777777777778" style="1663" customWidth="1"/>
    <col min="17" max="17" width="19.4444444444444" style="1170" customWidth="1"/>
    <col min="18" max="22" width="6.11111111111111" style="1170" customWidth="1"/>
    <col min="23" max="23" width="5.77777777777778" style="1170" customWidth="1"/>
    <col min="24" max="24" width="4.22222222222222" style="1170" customWidth="1"/>
    <col min="25" max="25" width="3.44444444444444" style="1170" customWidth="1"/>
    <col min="26" max="26" width="19.7777777777778" style="1170" customWidth="1"/>
    <col min="27" max="28" width="9.33333333333333" style="1170" customWidth="1"/>
    <col min="29" max="16384" width="9" style="1170"/>
  </cols>
  <sheetData>
    <row r="1" s="1582" customFormat="1" ht="28.5" customHeight="1" spans="1:29">
      <c r="A1" s="1583" t="s">
        <v>1470</v>
      </c>
      <c r="B1" s="1720" t="s">
        <v>1574</v>
      </c>
      <c r="C1" s="1585" t="s">
        <v>1472</v>
      </c>
      <c r="D1" s="1586" t="s">
        <v>549</v>
      </c>
      <c r="E1" s="1587" t="s">
        <v>1575</v>
      </c>
      <c r="F1" s="1588" t="s">
        <v>1576</v>
      </c>
      <c r="G1" s="1589" t="s">
        <v>1473</v>
      </c>
      <c r="H1" s="1590"/>
      <c r="I1" s="1590"/>
      <c r="J1" s="1590"/>
      <c r="K1" s="1641"/>
      <c r="L1" s="1642"/>
      <c r="M1" s="1643"/>
      <c r="N1" s="1643"/>
      <c r="O1" s="1643"/>
      <c r="P1" s="1585"/>
      <c r="Q1" s="1585"/>
      <c r="R1" s="1585"/>
      <c r="S1" s="1585"/>
      <c r="T1" s="1585"/>
      <c r="U1" s="1585"/>
      <c r="V1" s="1585"/>
      <c r="W1" s="1585"/>
      <c r="X1" s="1585"/>
      <c r="Y1" s="1585"/>
      <c r="Z1" s="1585"/>
      <c r="AA1" s="1585"/>
      <c r="AB1" s="1585"/>
      <c r="AC1" s="1650"/>
    </row>
    <row r="2" s="1163" customFormat="1" ht="28.5" customHeight="1" spans="1:29">
      <c r="A2" s="1591" t="s">
        <v>989</v>
      </c>
      <c r="B2" s="1592">
        <f ca="1">IF(E1="项目模式",IF(C2="——",ROUND(C50*D3/10000,0),ROUND(C50*D3/10000,0)-D2),IF(E1="单套模式",IF(C2="——",ROUND(C50*D3/10000,4),ROUND(C50*D3/10000,4)-D2)))</f>
        <v>40174</v>
      </c>
      <c r="C2" s="1593" t="s">
        <v>124</v>
      </c>
      <c r="D2" s="1764" t="e">
        <f ca="1">IF(E1="项目模式",SUMIF(INDIRECT("'"&amp;F2&amp;"'"&amp;"!A:A"),"承租人权益价值",INDIRECT("'"&amp;F2&amp;"'"&amp;"!c:c")),SUMIF(INDIRECT("'"&amp;F2&amp;"'"&amp;"!A:A"),"承租人权益价值（单套）",INDIRECT("'"&amp;F2&amp;"'"&amp;"!c:c")))</f>
        <v>#REF!</v>
      </c>
      <c r="E2" s="1594" t="s">
        <v>990</v>
      </c>
      <c r="F2" s="1595"/>
      <c r="G2" s="1179"/>
      <c r="H2" s="1179"/>
      <c r="I2" s="1179"/>
      <c r="J2" s="1179"/>
      <c r="K2" s="1179"/>
      <c r="L2" s="1341"/>
      <c r="M2" s="1342"/>
      <c r="N2" s="1342"/>
      <c r="O2" s="1342"/>
      <c r="P2" s="1339"/>
      <c r="Q2" s="1339"/>
      <c r="R2" s="1339"/>
      <c r="S2" s="1339"/>
      <c r="T2" s="1339"/>
      <c r="U2" s="1339"/>
      <c r="V2" s="1339"/>
      <c r="W2" s="1339"/>
      <c r="X2" s="1339"/>
      <c r="Y2" s="1339"/>
      <c r="Z2" s="1339"/>
      <c r="AA2" s="1339"/>
      <c r="AB2" s="1339"/>
      <c r="AC2" s="1420"/>
    </row>
    <row r="3" s="1163" customFormat="1" ht="28.5" customHeight="1" spans="1:29">
      <c r="A3" s="397" t="s">
        <v>991</v>
      </c>
      <c r="B3" s="1181">
        <f ca="1">IF(C2="——",C50,ROUND(B2*10000/D3,0))</f>
        <v>39740</v>
      </c>
      <c r="C3" s="1596" t="s">
        <v>1474</v>
      </c>
      <c r="D3" s="1597">
        <f>IF(D1="",'数据-汇总表'!E3,SUMIF('数据-汇总表'!$C19:$C33,D1,'数据-汇总表'!$E19:$E33))</f>
        <v>10109.15</v>
      </c>
      <c r="E3" s="1765"/>
      <c r="F3" s="1180"/>
      <c r="G3" s="1179"/>
      <c r="H3" s="1179"/>
      <c r="I3" s="1179"/>
      <c r="J3" s="1179"/>
      <c r="K3" s="1340"/>
      <c r="L3" s="1341"/>
      <c r="M3" s="1342"/>
      <c r="N3" s="1342"/>
      <c r="O3" s="1342"/>
      <c r="P3" s="1339"/>
      <c r="Q3" s="1339"/>
      <c r="R3" s="1339"/>
      <c r="S3" s="1339"/>
      <c r="T3" s="1339"/>
      <c r="U3" s="1339"/>
      <c r="V3" s="1339"/>
      <c r="W3" s="1339"/>
      <c r="X3" s="1339"/>
      <c r="Y3" s="1339"/>
      <c r="Z3" s="1339"/>
      <c r="AA3" s="1339"/>
      <c r="AB3" s="1339"/>
      <c r="AC3" s="1420"/>
    </row>
    <row r="4" ht="14.4" spans="1:29">
      <c r="A4" s="1183" t="s">
        <v>1475</v>
      </c>
      <c r="B4" s="1184"/>
      <c r="C4" s="1185" t="s">
        <v>1476</v>
      </c>
      <c r="D4" s="1186"/>
      <c r="E4" s="1187" t="s">
        <v>1477</v>
      </c>
      <c r="F4" s="1188"/>
      <c r="G4" s="1185" t="s">
        <v>1478</v>
      </c>
      <c r="H4" s="1186"/>
      <c r="I4" s="1185" t="s">
        <v>1479</v>
      </c>
      <c r="J4" s="1186"/>
      <c r="K4" s="1343" t="s">
        <v>1480</v>
      </c>
      <c r="L4" s="1344"/>
      <c r="M4" s="1345"/>
      <c r="N4" s="1345"/>
      <c r="O4" s="1345"/>
      <c r="P4" s="1776" t="s">
        <v>1481</v>
      </c>
      <c r="Q4" s="1787"/>
      <c r="R4" s="1788" t="s">
        <v>1477</v>
      </c>
      <c r="S4" s="1789"/>
      <c r="T4" s="1788" t="s">
        <v>1478</v>
      </c>
      <c r="U4" s="1789"/>
      <c r="V4" s="1305" t="s">
        <v>1479</v>
      </c>
      <c r="W4" s="1305"/>
      <c r="X4" s="1790"/>
      <c r="Y4" s="1788" t="s">
        <v>1481</v>
      </c>
      <c r="Z4" s="1789"/>
      <c r="AA4" s="1790" t="s">
        <v>1477</v>
      </c>
      <c r="AB4" s="1790" t="s">
        <v>1478</v>
      </c>
      <c r="AC4" s="1794" t="s">
        <v>1479</v>
      </c>
    </row>
    <row r="5" ht="14.4" spans="1:29">
      <c r="A5" s="1189"/>
      <c r="B5" s="1190"/>
      <c r="C5" s="1191" t="s">
        <v>1482</v>
      </c>
      <c r="D5" s="1192"/>
      <c r="E5" s="1193" t="str">
        <f>大宗案例!B12</f>
        <v>大悦时代广场T2楼</v>
      </c>
      <c r="F5" s="1194"/>
      <c r="G5" s="1191" t="str">
        <f>大宗案例!B14</f>
        <v>金茂广场1#楼</v>
      </c>
      <c r="H5" s="1192"/>
      <c r="I5" s="1191" t="str">
        <f>大宗案例!B16</f>
        <v>诺德中心</v>
      </c>
      <c r="J5" s="1192"/>
      <c r="K5" s="1343"/>
      <c r="L5" s="1777" t="s">
        <v>1577</v>
      </c>
      <c r="M5" s="1345"/>
      <c r="N5" s="1345"/>
      <c r="O5" s="1345"/>
      <c r="P5" s="1778"/>
      <c r="Q5" s="1399"/>
      <c r="R5" s="1400"/>
      <c r="S5" s="1401"/>
      <c r="T5" s="1400"/>
      <c r="U5" s="1401"/>
      <c r="V5" s="1385"/>
      <c r="W5" s="1385"/>
      <c r="X5" s="1398"/>
      <c r="Y5" s="1400"/>
      <c r="Z5" s="1401"/>
      <c r="AA5" s="1398"/>
      <c r="AB5" s="1398"/>
      <c r="AC5" s="1676"/>
    </row>
    <row r="6" ht="15.15" spans="1:29">
      <c r="A6" s="1195"/>
      <c r="B6" s="1196"/>
      <c r="C6" s="1546" t="s">
        <v>1486</v>
      </c>
      <c r="D6" s="1547"/>
      <c r="E6" s="1548" t="s">
        <v>1486</v>
      </c>
      <c r="F6" s="1549"/>
      <c r="G6" s="1546" t="s">
        <v>1486</v>
      </c>
      <c r="H6" s="1547"/>
      <c r="I6" s="1546" t="s">
        <v>1486</v>
      </c>
      <c r="J6" s="1547"/>
      <c r="K6" s="1343" t="s">
        <v>1487</v>
      </c>
      <c r="L6" s="1344"/>
      <c r="M6" s="1345"/>
      <c r="N6" s="1345"/>
      <c r="O6" s="1345"/>
      <c r="P6" s="1779"/>
      <c r="Q6" s="1402"/>
      <c r="R6" s="1400"/>
      <c r="S6" s="1401"/>
      <c r="T6" s="1403"/>
      <c r="U6" s="1404"/>
      <c r="V6" s="1385"/>
      <c r="W6" s="1385"/>
      <c r="X6" s="1398"/>
      <c r="Y6" s="1403"/>
      <c r="Z6" s="1404"/>
      <c r="AA6" s="1424"/>
      <c r="AB6" s="1424"/>
      <c r="AC6" s="1795"/>
    </row>
    <row r="7" s="1164" customFormat="1" ht="15.15" spans="1:29">
      <c r="A7" s="1201" t="s">
        <v>1488</v>
      </c>
      <c r="B7" s="1202"/>
      <c r="C7" s="1203">
        <f>'数据-取费表'!B2</f>
        <v>45022</v>
      </c>
      <c r="D7" s="1204">
        <v>100</v>
      </c>
      <c r="E7" s="1205">
        <v>44685</v>
      </c>
      <c r="F7" s="1206">
        <f>SUMIF(59:59,YEAR(E7)&amp;"-"&amp;MONTH(E7),60:60)</f>
        <v>100</v>
      </c>
      <c r="G7" s="1205">
        <v>44791</v>
      </c>
      <c r="H7" s="1204">
        <f>SUMIF(59:59,YEAR(G7)&amp;"-"&amp;MONTH(G7),60:60)</f>
        <v>100</v>
      </c>
      <c r="I7" s="1205">
        <v>44677</v>
      </c>
      <c r="J7" s="1204">
        <f>SUMIF(59:59,YEAR(I7)&amp;"-"&amp;MONTH(I7),60:60)</f>
        <v>100</v>
      </c>
      <c r="K7" s="1349"/>
      <c r="L7" s="1350"/>
      <c r="M7" s="1351"/>
      <c r="N7" s="1351"/>
      <c r="O7" s="1351"/>
      <c r="P7" s="1780" t="s">
        <v>1489</v>
      </c>
      <c r="Q7" s="1405"/>
      <c r="R7" s="1406" t="s">
        <v>1490</v>
      </c>
      <c r="S7" s="1407">
        <f t="shared" ref="S7:S15" si="0">F7</f>
        <v>100</v>
      </c>
      <c r="T7" s="1406" t="s">
        <v>1490</v>
      </c>
      <c r="U7" s="1407">
        <f t="shared" ref="U7:U15" si="1">H7</f>
        <v>100</v>
      </c>
      <c r="V7" s="1406" t="s">
        <v>1490</v>
      </c>
      <c r="W7" s="1407">
        <f t="shared" ref="W7:W15" si="2">J7</f>
        <v>100</v>
      </c>
      <c r="X7" s="1408"/>
      <c r="Y7" s="1352" t="s">
        <v>1489</v>
      </c>
      <c r="Z7" s="1409"/>
      <c r="AA7" s="1425">
        <f>D7/F7</f>
        <v>1</v>
      </c>
      <c r="AB7" s="1425">
        <f>D7/H7</f>
        <v>1</v>
      </c>
      <c r="AC7" s="1796">
        <f>D7/J7</f>
        <v>1</v>
      </c>
    </row>
    <row r="8" s="1164" customFormat="1" ht="15.15" spans="1:29">
      <c r="A8" s="1201" t="s">
        <v>1491</v>
      </c>
      <c r="B8" s="1202"/>
      <c r="C8" s="1208" t="s">
        <v>1578</v>
      </c>
      <c r="D8" s="1204">
        <v>100</v>
      </c>
      <c r="E8" s="1208" t="s">
        <v>1578</v>
      </c>
      <c r="F8" s="1206">
        <f>SUMIF(62:62,E8,63:63)-SUMIF(62:62,C8,63:63)+100</f>
        <v>100</v>
      </c>
      <c r="G8" s="1208" t="s">
        <v>1578</v>
      </c>
      <c r="H8" s="1204">
        <f>SUMIF(62:62,G8,63:63)-SUMIF(62:62,C8,63:63)+100</f>
        <v>100</v>
      </c>
      <c r="I8" s="1208" t="s">
        <v>1578</v>
      </c>
      <c r="J8" s="1204">
        <f>SUMIF(62:62,I8,63:63)-SUMIF(62:62,C8,63:63)+100</f>
        <v>100</v>
      </c>
      <c r="K8" s="1349"/>
      <c r="L8" s="1350"/>
      <c r="M8" s="1351"/>
      <c r="N8" s="1351"/>
      <c r="O8" s="1351"/>
      <c r="P8" s="1780" t="s">
        <v>1492</v>
      </c>
      <c r="Q8" s="1409"/>
      <c r="R8" s="1406" t="s">
        <v>1490</v>
      </c>
      <c r="S8" s="1407">
        <f t="shared" si="0"/>
        <v>100</v>
      </c>
      <c r="T8" s="1406" t="s">
        <v>1490</v>
      </c>
      <c r="U8" s="1407">
        <f t="shared" si="1"/>
        <v>100</v>
      </c>
      <c r="V8" s="1406" t="s">
        <v>1490</v>
      </c>
      <c r="W8" s="1407">
        <f t="shared" si="2"/>
        <v>100</v>
      </c>
      <c r="X8" s="1408"/>
      <c r="Y8" s="1352" t="s">
        <v>1492</v>
      </c>
      <c r="Z8" s="1409"/>
      <c r="AA8" s="1425">
        <f t="shared" ref="AA8:AA47" si="3">D8/F8</f>
        <v>1</v>
      </c>
      <c r="AB8" s="1425">
        <f t="shared" ref="AB8:AB47" si="4">D8/H8</f>
        <v>1</v>
      </c>
      <c r="AC8" s="1796">
        <f t="shared" ref="AC8:AC47" si="5">D8/J8</f>
        <v>1</v>
      </c>
    </row>
    <row r="9" s="1164" customFormat="1" ht="14.4" spans="1:29">
      <c r="A9" s="1209" t="s">
        <v>1493</v>
      </c>
      <c r="B9" s="1210" t="s">
        <v>1494</v>
      </c>
      <c r="C9" s="1766" t="s">
        <v>549</v>
      </c>
      <c r="D9" s="1212">
        <v>100</v>
      </c>
      <c r="E9" s="1599" t="s">
        <v>549</v>
      </c>
      <c r="F9" s="1212">
        <f>SUMIF(64:64,E9,65:65)-SUMIF(64:64,C9,65:65)+100</f>
        <v>100</v>
      </c>
      <c r="G9" s="1668" t="s">
        <v>549</v>
      </c>
      <c r="H9" s="1212">
        <f>SUMIF(64:64,G9,65:65)-SUMIF(64:64,C9,65:65)+100</f>
        <v>100</v>
      </c>
      <c r="I9" s="1668" t="s">
        <v>549</v>
      </c>
      <c r="J9" s="1212">
        <f>SUMIF(64:64,I9,65:65)-SUMIF(64:64,C9,65:65)+100</f>
        <v>100</v>
      </c>
      <c r="K9" s="1349"/>
      <c r="L9" s="1350"/>
      <c r="M9" s="1351"/>
      <c r="N9" s="1351"/>
      <c r="O9" s="1351"/>
      <c r="P9" s="1312" t="s">
        <v>1495</v>
      </c>
      <c r="Q9" s="1410" t="str">
        <f t="shared" ref="Q9:Q15" si="6">B9</f>
        <v>用途</v>
      </c>
      <c r="R9" s="1406" t="s">
        <v>1490</v>
      </c>
      <c r="S9" s="1407">
        <f t="shared" si="0"/>
        <v>100</v>
      </c>
      <c r="T9" s="1406" t="s">
        <v>1490</v>
      </c>
      <c r="U9" s="1407">
        <f t="shared" si="1"/>
        <v>100</v>
      </c>
      <c r="V9" s="1406" t="s">
        <v>1490</v>
      </c>
      <c r="W9" s="1407">
        <f t="shared" si="2"/>
        <v>100</v>
      </c>
      <c r="X9" s="1408"/>
      <c r="Y9" s="1410" t="s">
        <v>1496</v>
      </c>
      <c r="Z9" s="1426" t="str">
        <f t="shared" ref="Z9:Z15" si="7">Q9</f>
        <v>用途</v>
      </c>
      <c r="AA9" s="1425">
        <f t="shared" si="3"/>
        <v>1</v>
      </c>
      <c r="AB9" s="1425">
        <f t="shared" si="4"/>
        <v>1</v>
      </c>
      <c r="AC9" s="1796">
        <f t="shared" si="5"/>
        <v>1</v>
      </c>
    </row>
    <row r="10" s="1165" customFormat="1" ht="28.8" spans="1:29">
      <c r="A10" s="1213"/>
      <c r="B10" s="1214" t="s">
        <v>1497</v>
      </c>
      <c r="C10" s="1601" t="s">
        <v>1579</v>
      </c>
      <c r="D10" s="1216">
        <v>100</v>
      </c>
      <c r="E10" s="1601" t="s">
        <v>1580</v>
      </c>
      <c r="F10" s="1216">
        <f>SUMIF(66:66,E10,67:67)-SUMIF(66:66,C10,67:67)+100</f>
        <v>108</v>
      </c>
      <c r="G10" s="1671" t="s">
        <v>1580</v>
      </c>
      <c r="H10" s="1216">
        <f>SUMIF(66:66,G10,67:67)-SUMIF(66:66,C10,67:67)+100</f>
        <v>108</v>
      </c>
      <c r="I10" s="1601" t="s">
        <v>1581</v>
      </c>
      <c r="J10" s="1216">
        <f>SUMIF(66:66,I10,67:67)-SUMIF(66:66,C10,67:67)+100</f>
        <v>106</v>
      </c>
      <c r="K10" s="1349"/>
      <c r="L10" s="1355"/>
      <c r="M10" s="1356"/>
      <c r="N10" s="1356"/>
      <c r="O10" s="1356"/>
      <c r="P10" s="1312"/>
      <c r="Q10" s="1410" t="str">
        <f t="shared" si="6"/>
        <v>土地使用年限（年）</v>
      </c>
      <c r="R10" s="1406" t="s">
        <v>1490</v>
      </c>
      <c r="S10" s="1407">
        <f t="shared" si="0"/>
        <v>108</v>
      </c>
      <c r="T10" s="1406" t="s">
        <v>1490</v>
      </c>
      <c r="U10" s="1407">
        <f t="shared" si="1"/>
        <v>108</v>
      </c>
      <c r="V10" s="1406" t="s">
        <v>1490</v>
      </c>
      <c r="W10" s="1407">
        <f t="shared" si="2"/>
        <v>106</v>
      </c>
      <c r="X10" s="1408"/>
      <c r="Y10" s="1410"/>
      <c r="Z10" s="1426" t="str">
        <f t="shared" si="7"/>
        <v>土地使用年限（年）</v>
      </c>
      <c r="AA10" s="1425">
        <f t="shared" si="3"/>
        <v>0.925925925925926</v>
      </c>
      <c r="AB10" s="1425">
        <f t="shared" si="4"/>
        <v>0.925925925925926</v>
      </c>
      <c r="AC10" s="1796">
        <f t="shared" si="5"/>
        <v>0.943396226415094</v>
      </c>
    </row>
    <row r="11" ht="15" spans="1:29">
      <c r="A11" s="1217"/>
      <c r="B11" s="1214" t="s">
        <v>1498</v>
      </c>
      <c r="C11" s="1218"/>
      <c r="D11" s="1216">
        <v>100</v>
      </c>
      <c r="E11" s="1218"/>
      <c r="F11" s="1216">
        <f>LOOKUP(E11,69:69,70:70)-LOOKUP(C11,69:69,70:70)+100</f>
        <v>100</v>
      </c>
      <c r="G11" s="1219"/>
      <c r="H11" s="1216">
        <f>LOOKUP(G11,69:69,70:70)-LOOKUP(C11,69:69,70:70)+100</f>
        <v>100</v>
      </c>
      <c r="I11" s="1218"/>
      <c r="J11" s="1216">
        <f>LOOKUP(I11,69:69,70:70)-LOOKUP(C11,69:69,70:70)+100</f>
        <v>100</v>
      </c>
      <c r="K11" s="1369"/>
      <c r="L11" s="1359"/>
      <c r="M11" s="1345"/>
      <c r="N11" s="1345"/>
      <c r="O11" s="1345"/>
      <c r="P11" s="1312"/>
      <c r="Q11" s="1410" t="str">
        <f t="shared" si="6"/>
        <v>容积率</v>
      </c>
      <c r="R11" s="1406" t="s">
        <v>1490</v>
      </c>
      <c r="S11" s="1407">
        <f t="shared" si="0"/>
        <v>100</v>
      </c>
      <c r="T11" s="1406" t="s">
        <v>1490</v>
      </c>
      <c r="U11" s="1407">
        <f t="shared" si="1"/>
        <v>100</v>
      </c>
      <c r="V11" s="1406" t="s">
        <v>1490</v>
      </c>
      <c r="W11" s="1407">
        <f t="shared" si="2"/>
        <v>100</v>
      </c>
      <c r="X11" s="1408"/>
      <c r="Y11" s="1410"/>
      <c r="Z11" s="1426" t="str">
        <f t="shared" si="7"/>
        <v>容积率</v>
      </c>
      <c r="AA11" s="1425">
        <f t="shared" si="3"/>
        <v>1</v>
      </c>
      <c r="AB11" s="1425">
        <f t="shared" si="4"/>
        <v>1</v>
      </c>
      <c r="AC11" s="1796">
        <f t="shared" si="5"/>
        <v>1</v>
      </c>
    </row>
    <row r="12" s="1164" customFormat="1" ht="15" spans="1:29">
      <c r="A12" s="1220"/>
      <c r="B12" s="1221">
        <v>111</v>
      </c>
      <c r="C12" s="1215"/>
      <c r="D12" s="1222">
        <v>100</v>
      </c>
      <c r="E12" s="1215"/>
      <c r="F12" s="1216">
        <f>SUMIF(71:71,E12,72:72)-SUMIF(71:71,C12,72:72)+100</f>
        <v>100</v>
      </c>
      <c r="G12" s="1767"/>
      <c r="H12" s="1216">
        <f>SUMIF(71:71,G12,72:72)-SUMIF(71:71,C12,72:72)+100</f>
        <v>100</v>
      </c>
      <c r="I12" s="1215"/>
      <c r="J12" s="1216">
        <f>SUMIF(71:71,I12,72:72)-SUMIF(71:71,C12,72:72)+100</f>
        <v>100</v>
      </c>
      <c r="K12" s="1368"/>
      <c r="L12" s="1350"/>
      <c r="M12" s="1351"/>
      <c r="N12" s="1351"/>
      <c r="O12" s="1351"/>
      <c r="P12" s="1312"/>
      <c r="Q12" s="1410">
        <f t="shared" si="6"/>
        <v>111</v>
      </c>
      <c r="R12" s="1406" t="s">
        <v>1490</v>
      </c>
      <c r="S12" s="1407">
        <f t="shared" si="0"/>
        <v>100</v>
      </c>
      <c r="T12" s="1406" t="s">
        <v>1490</v>
      </c>
      <c r="U12" s="1407">
        <f t="shared" si="1"/>
        <v>100</v>
      </c>
      <c r="V12" s="1406" t="s">
        <v>1490</v>
      </c>
      <c r="W12" s="1407">
        <f t="shared" si="2"/>
        <v>100</v>
      </c>
      <c r="X12" s="1408"/>
      <c r="Y12" s="1410"/>
      <c r="Z12" s="1426">
        <f t="shared" si="7"/>
        <v>111</v>
      </c>
      <c r="AA12" s="1425">
        <f t="shared" si="3"/>
        <v>1</v>
      </c>
      <c r="AB12" s="1425">
        <f t="shared" si="4"/>
        <v>1</v>
      </c>
      <c r="AC12" s="1796">
        <f t="shared" si="5"/>
        <v>1</v>
      </c>
    </row>
    <row r="13" ht="15" spans="1:29">
      <c r="A13" s="1217"/>
      <c r="B13" s="1221">
        <v>111</v>
      </c>
      <c r="C13" s="1225"/>
      <c r="D13" s="1226">
        <v>100</v>
      </c>
      <c r="E13" s="1215"/>
      <c r="F13" s="1216">
        <f>SUMIF(73:73,E13,74:74)-SUMIF(73:73,C13,74:74)+100</f>
        <v>100</v>
      </c>
      <c r="G13" s="1767"/>
      <c r="H13" s="1226">
        <f>SUMIF(73:73,G13,74:74)-SUMIF(73:73,C13,74:74)+100</f>
        <v>100</v>
      </c>
      <c r="I13" s="1215"/>
      <c r="J13" s="1226">
        <f>SUMIF(73:73,I13,74:74)-SUMIF(73:73,C13,74:74)+100</f>
        <v>100</v>
      </c>
      <c r="K13" s="1368"/>
      <c r="L13" s="1361"/>
      <c r="M13" s="1345"/>
      <c r="N13" s="1345"/>
      <c r="O13" s="1345"/>
      <c r="P13" s="1312"/>
      <c r="Q13" s="1410">
        <f t="shared" si="6"/>
        <v>111</v>
      </c>
      <c r="R13" s="1406" t="s">
        <v>1490</v>
      </c>
      <c r="S13" s="1407">
        <f t="shared" si="0"/>
        <v>100</v>
      </c>
      <c r="T13" s="1406" t="s">
        <v>1490</v>
      </c>
      <c r="U13" s="1407">
        <f t="shared" si="1"/>
        <v>100</v>
      </c>
      <c r="V13" s="1406" t="s">
        <v>1490</v>
      </c>
      <c r="W13" s="1407">
        <f t="shared" si="2"/>
        <v>100</v>
      </c>
      <c r="X13" s="1408"/>
      <c r="Y13" s="1410"/>
      <c r="Z13" s="1426">
        <f t="shared" si="7"/>
        <v>111</v>
      </c>
      <c r="AA13" s="1425">
        <f t="shared" si="3"/>
        <v>1</v>
      </c>
      <c r="AB13" s="1425">
        <f t="shared" si="4"/>
        <v>1</v>
      </c>
      <c r="AC13" s="1796">
        <f t="shared" si="5"/>
        <v>1</v>
      </c>
    </row>
    <row r="14" ht="15.75" spans="1:29">
      <c r="A14" s="1227"/>
      <c r="B14" s="1228">
        <v>111</v>
      </c>
      <c r="C14" s="1229"/>
      <c r="D14" s="1230">
        <v>100</v>
      </c>
      <c r="E14" s="1680"/>
      <c r="F14" s="1230">
        <f>SUMIF(75:75,E14,76:76)-SUMIF(75:75,C14,76:76)+100</f>
        <v>100</v>
      </c>
      <c r="G14" s="1767"/>
      <c r="H14" s="1230">
        <f>SUMIF(75:75,G14,76:76)-SUMIF(75:75,C14,76:76)+100</f>
        <v>100</v>
      </c>
      <c r="I14" s="1215"/>
      <c r="J14" s="1230">
        <f>SUMIF(75:75,I14,76:76)-SUMIF(75:75,C14,76:76)+100</f>
        <v>100</v>
      </c>
      <c r="K14" s="1368"/>
      <c r="L14" s="1361"/>
      <c r="M14" s="1345"/>
      <c r="N14" s="1345"/>
      <c r="O14" s="1345"/>
      <c r="P14" s="1312"/>
      <c r="Q14" s="1410">
        <f t="shared" si="6"/>
        <v>111</v>
      </c>
      <c r="R14" s="1406" t="s">
        <v>1490</v>
      </c>
      <c r="S14" s="1407">
        <f t="shared" si="0"/>
        <v>100</v>
      </c>
      <c r="T14" s="1406" t="s">
        <v>1490</v>
      </c>
      <c r="U14" s="1407">
        <f t="shared" si="1"/>
        <v>100</v>
      </c>
      <c r="V14" s="1406" t="s">
        <v>1490</v>
      </c>
      <c r="W14" s="1407">
        <f t="shared" si="2"/>
        <v>100</v>
      </c>
      <c r="X14" s="1408"/>
      <c r="Y14" s="1410"/>
      <c r="Z14" s="1426">
        <f t="shared" si="7"/>
        <v>111</v>
      </c>
      <c r="AA14" s="1425">
        <f t="shared" si="3"/>
        <v>1</v>
      </c>
      <c r="AB14" s="1425">
        <f t="shared" si="4"/>
        <v>1</v>
      </c>
      <c r="AC14" s="1796">
        <f t="shared" si="5"/>
        <v>1</v>
      </c>
    </row>
    <row r="15" ht="72" spans="1:29">
      <c r="A15" s="1231" t="s">
        <v>1499</v>
      </c>
      <c r="B15" s="1232" t="s">
        <v>1582</v>
      </c>
      <c r="C15" s="1768" t="str">
        <f>估价对象房地状况!C5</f>
        <v>估价对象位于XX商圈，周边办公楼项目较多，入驻率高，办公集聚程度较好</v>
      </c>
      <c r="D15" s="1234">
        <v>100</v>
      </c>
      <c r="E15" s="1362"/>
      <c r="F15" s="1234">
        <f>SUMIF(77:77,E16,78:78)-SUMIF(77:77,C16,78:78)+100</f>
        <v>105</v>
      </c>
      <c r="G15" s="1235"/>
      <c r="H15" s="1234">
        <f>SUMIF(77:77,G16,78:78)-SUMIF(77:77,C16,78:78)+100</f>
        <v>105</v>
      </c>
      <c r="I15" s="1235"/>
      <c r="J15" s="1234">
        <f>SUMIF(77:77,I16,78:78)-SUMIF(77:77,C16,78:78)+100</f>
        <v>105</v>
      </c>
      <c r="K15" s="1644">
        <v>5</v>
      </c>
      <c r="L15" s="1361"/>
      <c r="M15" s="1345"/>
      <c r="N15" s="1345"/>
      <c r="O15" s="1345"/>
      <c r="P15" s="1781" t="s">
        <v>1501</v>
      </c>
      <c r="Q15" s="749" t="str">
        <f t="shared" si="6"/>
        <v>办公集聚程度</v>
      </c>
      <c r="R15" s="1411" t="s">
        <v>1490</v>
      </c>
      <c r="S15" s="1412">
        <f t="shared" si="0"/>
        <v>105</v>
      </c>
      <c r="T15" s="1411" t="s">
        <v>1490</v>
      </c>
      <c r="U15" s="1412">
        <f t="shared" si="1"/>
        <v>105</v>
      </c>
      <c r="V15" s="1411" t="s">
        <v>1490</v>
      </c>
      <c r="W15" s="1412">
        <f t="shared" si="2"/>
        <v>105</v>
      </c>
      <c r="X15" s="1398"/>
      <c r="Y15" s="1363" t="s">
        <v>1501</v>
      </c>
      <c r="Z15" s="1385" t="str">
        <f t="shared" si="7"/>
        <v>办公集聚程度</v>
      </c>
      <c r="AA15" s="1427">
        <f t="shared" si="3"/>
        <v>0.952380952380952</v>
      </c>
      <c r="AB15" s="1427">
        <f t="shared" si="4"/>
        <v>0.952380952380952</v>
      </c>
      <c r="AC15" s="1797">
        <f t="shared" si="5"/>
        <v>0.952380952380952</v>
      </c>
    </row>
    <row r="16" ht="15" spans="1:29">
      <c r="A16" s="1217"/>
      <c r="B16" s="1236"/>
      <c r="C16" s="1239" t="s">
        <v>1583</v>
      </c>
      <c r="D16" s="1238"/>
      <c r="E16" s="1237" t="s">
        <v>1584</v>
      </c>
      <c r="F16" s="1238"/>
      <c r="G16" s="1237" t="s">
        <v>1584</v>
      </c>
      <c r="H16" s="1240"/>
      <c r="I16" s="1237" t="s">
        <v>1584</v>
      </c>
      <c r="J16" s="1238"/>
      <c r="K16" s="1645"/>
      <c r="L16" s="1361"/>
      <c r="M16" s="1345"/>
      <c r="N16" s="1345"/>
      <c r="O16" s="1345"/>
      <c r="P16" s="1782"/>
      <c r="Q16" s="749"/>
      <c r="R16" s="1411"/>
      <c r="S16" s="1412"/>
      <c r="T16" s="1411"/>
      <c r="U16" s="1412"/>
      <c r="V16" s="1411"/>
      <c r="W16" s="1412"/>
      <c r="X16" s="1398"/>
      <c r="Y16" s="1364"/>
      <c r="Z16" s="1385"/>
      <c r="AA16" s="1427">
        <v>1</v>
      </c>
      <c r="AB16" s="1427">
        <v>1</v>
      </c>
      <c r="AC16" s="1797">
        <v>1</v>
      </c>
    </row>
    <row r="17" ht="86.4" spans="1:29">
      <c r="A17" s="1217"/>
      <c r="B17" s="1241" t="s">
        <v>1502</v>
      </c>
      <c r="C17" s="1769" t="str">
        <f>估价对象房地状况!C6</f>
        <v>估价对象周边道路状况、公共交通通达情况、停车便捷程度，综合评价交通便捷度较好</v>
      </c>
      <c r="D17" s="1240">
        <v>100</v>
      </c>
      <c r="E17" s="1365"/>
      <c r="F17" s="1240">
        <f>SUMIF(79:79,E18,80:80)-SUMIF(79:79,C18,80:80)+100</f>
        <v>100</v>
      </c>
      <c r="G17" s="1243"/>
      <c r="H17" s="1244">
        <f>SUMIF(79:79,G18,80:80)-SUMIF(79:79,C18,80:80)+100</f>
        <v>100</v>
      </c>
      <c r="I17" s="1243"/>
      <c r="J17" s="1244">
        <f>SUMIF(79:79,I18,80:80)-SUMIF(79:79,C18,80:80)+100</f>
        <v>100</v>
      </c>
      <c r="K17" s="1644">
        <v>2</v>
      </c>
      <c r="L17" s="1361"/>
      <c r="M17" s="1345"/>
      <c r="N17" s="1345"/>
      <c r="O17" s="1345"/>
      <c r="P17" s="1782"/>
      <c r="Q17" s="749" t="str">
        <f>B17</f>
        <v>交通便捷度</v>
      </c>
      <c r="R17" s="1411" t="s">
        <v>1490</v>
      </c>
      <c r="S17" s="1412">
        <f>F17</f>
        <v>100</v>
      </c>
      <c r="T17" s="1411" t="s">
        <v>1490</v>
      </c>
      <c r="U17" s="1412">
        <f>H17</f>
        <v>100</v>
      </c>
      <c r="V17" s="1411" t="s">
        <v>1490</v>
      </c>
      <c r="W17" s="1412">
        <f>J17</f>
        <v>100</v>
      </c>
      <c r="X17" s="1398"/>
      <c r="Y17" s="1364"/>
      <c r="Z17" s="1385" t="str">
        <f>Q17</f>
        <v>交通便捷度</v>
      </c>
      <c r="AA17" s="1427">
        <f t="shared" si="3"/>
        <v>1</v>
      </c>
      <c r="AB17" s="1427">
        <f t="shared" si="4"/>
        <v>1</v>
      </c>
      <c r="AC17" s="1797">
        <f t="shared" si="5"/>
        <v>1</v>
      </c>
    </row>
    <row r="18" ht="15" spans="1:29">
      <c r="A18" s="1217"/>
      <c r="B18" s="1245"/>
      <c r="C18" s="1770" t="s">
        <v>1583</v>
      </c>
      <c r="D18" s="1240"/>
      <c r="E18" s="1770" t="s">
        <v>1583</v>
      </c>
      <c r="F18" s="1240"/>
      <c r="G18" s="1770" t="s">
        <v>1583</v>
      </c>
      <c r="H18" s="1238"/>
      <c r="I18" s="1770" t="s">
        <v>1583</v>
      </c>
      <c r="J18" s="1238"/>
      <c r="K18" s="1645"/>
      <c r="L18" s="1361"/>
      <c r="M18" s="1345"/>
      <c r="N18" s="1345"/>
      <c r="O18" s="1345"/>
      <c r="P18" s="1782"/>
      <c r="Q18" s="749"/>
      <c r="R18" s="1411"/>
      <c r="S18" s="1412"/>
      <c r="T18" s="1411"/>
      <c r="U18" s="1412"/>
      <c r="V18" s="1411"/>
      <c r="W18" s="1412"/>
      <c r="X18" s="1398"/>
      <c r="Y18" s="1364"/>
      <c r="Z18" s="1385"/>
      <c r="AA18" s="1427">
        <v>1</v>
      </c>
      <c r="AB18" s="1427">
        <v>1</v>
      </c>
      <c r="AC18" s="1797">
        <v>1</v>
      </c>
    </row>
    <row r="19" ht="43.2" spans="1:29">
      <c r="A19" s="1217"/>
      <c r="B19" s="1241" t="s">
        <v>1503</v>
      </c>
      <c r="C19" s="1769" t="str">
        <f>估价对象房地状况!C7</f>
        <v>估价对象所在区域公共配套设施齐备情况</v>
      </c>
      <c r="D19" s="1244">
        <v>100</v>
      </c>
      <c r="E19" s="1566"/>
      <c r="F19" s="1244">
        <f>SUMIF(81:81,E20,82:82)-SUMIF(81:81,C20,82:82)+100</f>
        <v>100</v>
      </c>
      <c r="G19" s="1558"/>
      <c r="H19" s="1240">
        <f>SUMIF(81:81,G20,82:82)-SUMIF(81:81,C20,82:82)+100</f>
        <v>100</v>
      </c>
      <c r="I19" s="1558"/>
      <c r="J19" s="1240">
        <f>SUMIF(81:81,I20,82:82)-SUMIF(81:81,C20,82:82)+100</f>
        <v>100</v>
      </c>
      <c r="K19" s="1644">
        <v>2</v>
      </c>
      <c r="L19" s="1361"/>
      <c r="M19" s="1345"/>
      <c r="N19" s="1345"/>
      <c r="O19" s="1345"/>
      <c r="P19" s="1782"/>
      <c r="Q19" s="749" t="str">
        <f>B19</f>
        <v>公共配套设施</v>
      </c>
      <c r="R19" s="1411" t="s">
        <v>1490</v>
      </c>
      <c r="S19" s="1412">
        <f>F19</f>
        <v>100</v>
      </c>
      <c r="T19" s="1411" t="s">
        <v>1490</v>
      </c>
      <c r="U19" s="1412">
        <f>H19</f>
        <v>100</v>
      </c>
      <c r="V19" s="1411" t="s">
        <v>1490</v>
      </c>
      <c r="W19" s="1412">
        <f>J19</f>
        <v>100</v>
      </c>
      <c r="X19" s="1398"/>
      <c r="Y19" s="1364"/>
      <c r="Z19" s="1385" t="str">
        <f>Q19</f>
        <v>公共配套设施</v>
      </c>
      <c r="AA19" s="1427">
        <f t="shared" si="3"/>
        <v>1</v>
      </c>
      <c r="AB19" s="1427">
        <f t="shared" si="4"/>
        <v>1</v>
      </c>
      <c r="AC19" s="1797">
        <f t="shared" si="5"/>
        <v>1</v>
      </c>
    </row>
    <row r="20" ht="15" spans="1:29">
      <c r="A20" s="1217"/>
      <c r="B20" s="1245"/>
      <c r="C20" s="1770" t="s">
        <v>1583</v>
      </c>
      <c r="D20" s="1238"/>
      <c r="E20" s="1770" t="s">
        <v>1583</v>
      </c>
      <c r="F20" s="1238"/>
      <c r="G20" s="1770" t="s">
        <v>1583</v>
      </c>
      <c r="H20" s="1238"/>
      <c r="I20" s="1770" t="s">
        <v>1583</v>
      </c>
      <c r="J20" s="1238"/>
      <c r="K20" s="1645"/>
      <c r="L20" s="1361"/>
      <c r="M20" s="1345"/>
      <c r="N20" s="1345"/>
      <c r="O20" s="1345"/>
      <c r="P20" s="1782"/>
      <c r="Q20" s="749"/>
      <c r="R20" s="1411"/>
      <c r="S20" s="1412"/>
      <c r="T20" s="1411"/>
      <c r="U20" s="1412"/>
      <c r="V20" s="1411"/>
      <c r="W20" s="1412"/>
      <c r="X20" s="1398"/>
      <c r="Y20" s="1364"/>
      <c r="Z20" s="1385"/>
      <c r="AA20" s="1427">
        <v>1</v>
      </c>
      <c r="AB20" s="1427">
        <v>1</v>
      </c>
      <c r="AC20" s="1797">
        <v>1</v>
      </c>
    </row>
    <row r="21" ht="28.8" spans="1:29">
      <c r="A21" s="1217"/>
      <c r="B21" s="1248" t="s">
        <v>1504</v>
      </c>
      <c r="C21" s="1769" t="str">
        <f>估价对象房地状况!C8</f>
        <v>估价对象所在区域基础设施水平</v>
      </c>
      <c r="D21" s="1240">
        <v>100</v>
      </c>
      <c r="E21" s="1566"/>
      <c r="F21" s="1244">
        <f>SUMIF(83:83,E22,84:84)-SUMIF(83:83,C22,84:84)+100</f>
        <v>100</v>
      </c>
      <c r="G21" s="1558"/>
      <c r="H21" s="1240">
        <f>SUMIF(83:83,G22,84:84)-SUMIF(83:83,C22,84:84)+100</f>
        <v>100</v>
      </c>
      <c r="I21" s="1558"/>
      <c r="J21" s="1240">
        <f>SUMIF(83:83,I22,84:84)-SUMIF(83:83,C22,84:84)+100</f>
        <v>100</v>
      </c>
      <c r="K21" s="1644">
        <v>2</v>
      </c>
      <c r="L21" s="1361"/>
      <c r="M21" s="1345"/>
      <c r="N21" s="1345"/>
      <c r="O21" s="1345"/>
      <c r="P21" s="1782"/>
      <c r="Q21" s="749" t="str">
        <f>B21</f>
        <v>基础设施水平</v>
      </c>
      <c r="R21" s="1411" t="s">
        <v>1490</v>
      </c>
      <c r="S21" s="1412">
        <f>F21</f>
        <v>100</v>
      </c>
      <c r="T21" s="1411" t="s">
        <v>1490</v>
      </c>
      <c r="U21" s="1412">
        <f>H21</f>
        <v>100</v>
      </c>
      <c r="V21" s="1411" t="s">
        <v>1490</v>
      </c>
      <c r="W21" s="1412">
        <f>J21</f>
        <v>100</v>
      </c>
      <c r="X21" s="1398"/>
      <c r="Y21" s="1364"/>
      <c r="Z21" s="1385" t="str">
        <f>Q21</f>
        <v>基础设施水平</v>
      </c>
      <c r="AA21" s="1427">
        <f t="shared" ref="AA21" si="8">D21/F21</f>
        <v>1</v>
      </c>
      <c r="AB21" s="1427">
        <f t="shared" ref="AB21" si="9">D21/H21</f>
        <v>1</v>
      </c>
      <c r="AC21" s="1797">
        <f t="shared" ref="AC21" si="10">D21/J21</f>
        <v>1</v>
      </c>
    </row>
    <row r="22" ht="15" spans="1:29">
      <c r="A22" s="1217"/>
      <c r="B22" s="1248"/>
      <c r="C22" s="1770" t="s">
        <v>236</v>
      </c>
      <c r="D22" s="1238"/>
      <c r="E22" s="1770" t="s">
        <v>236</v>
      </c>
      <c r="F22" s="1238"/>
      <c r="G22" s="1770" t="s">
        <v>236</v>
      </c>
      <c r="H22" s="1238"/>
      <c r="I22" s="1770" t="s">
        <v>236</v>
      </c>
      <c r="J22" s="1238"/>
      <c r="K22" s="1646"/>
      <c r="L22" s="1361"/>
      <c r="M22" s="1345"/>
      <c r="N22" s="1345"/>
      <c r="O22" s="1345"/>
      <c r="P22" s="1782"/>
      <c r="Q22" s="749"/>
      <c r="R22" s="1411"/>
      <c r="S22" s="1412"/>
      <c r="T22" s="1411"/>
      <c r="U22" s="1412"/>
      <c r="V22" s="1411"/>
      <c r="W22" s="1412"/>
      <c r="X22" s="1398"/>
      <c r="Y22" s="1364"/>
      <c r="Z22" s="1385"/>
      <c r="AA22" s="1427">
        <v>1</v>
      </c>
      <c r="AB22" s="1427">
        <v>1</v>
      </c>
      <c r="AC22" s="1797">
        <v>1</v>
      </c>
    </row>
    <row r="23" ht="57.6" spans="1:29">
      <c r="A23" s="1217"/>
      <c r="B23" s="1241" t="s">
        <v>1585</v>
      </c>
      <c r="C23" s="1769" t="str">
        <f>估价对象房地状况!C9</f>
        <v>区域自然环境：；人文环境；综合评价环境状况一般</v>
      </c>
      <c r="D23" s="1240">
        <v>100</v>
      </c>
      <c r="E23" s="1365"/>
      <c r="F23" s="1240">
        <f>SUMIF(85:85,E24,86:86)-SUMIF(85:85,C24,86:86)+100</f>
        <v>100</v>
      </c>
      <c r="G23" s="1243"/>
      <c r="H23" s="1240">
        <f>SUMIF(85:85,G24,86:86)-SUMIF(85:85,C24,86:86)+100</f>
        <v>100</v>
      </c>
      <c r="I23" s="1243"/>
      <c r="J23" s="1240">
        <f>SUMIF(85:85,I24,86:86)-SUMIF(85:85,C24,86:86)+100</f>
        <v>100</v>
      </c>
      <c r="K23" s="1644">
        <v>2</v>
      </c>
      <c r="L23" s="1361"/>
      <c r="M23" s="1345"/>
      <c r="N23" s="1345"/>
      <c r="O23" s="1345"/>
      <c r="P23" s="1782"/>
      <c r="Q23" s="749" t="str">
        <f>B23</f>
        <v>环境质量</v>
      </c>
      <c r="R23" s="1411" t="s">
        <v>1490</v>
      </c>
      <c r="S23" s="1412">
        <f>F23</f>
        <v>100</v>
      </c>
      <c r="T23" s="1411" t="s">
        <v>1490</v>
      </c>
      <c r="U23" s="1412">
        <f>H23</f>
        <v>100</v>
      </c>
      <c r="V23" s="1411" t="s">
        <v>1490</v>
      </c>
      <c r="W23" s="1412">
        <f>J23</f>
        <v>100</v>
      </c>
      <c r="X23" s="1398"/>
      <c r="Y23" s="1364"/>
      <c r="Z23" s="1385" t="str">
        <f>Q23</f>
        <v>环境质量</v>
      </c>
      <c r="AA23" s="1427">
        <f t="shared" si="3"/>
        <v>1</v>
      </c>
      <c r="AB23" s="1427">
        <f t="shared" si="4"/>
        <v>1</v>
      </c>
      <c r="AC23" s="1797">
        <f t="shared" si="5"/>
        <v>1</v>
      </c>
    </row>
    <row r="24" ht="15" spans="1:29">
      <c r="A24" s="1217"/>
      <c r="B24" s="1248"/>
      <c r="C24" s="1770" t="s">
        <v>1583</v>
      </c>
      <c r="D24" s="1238"/>
      <c r="E24" s="1770" t="s">
        <v>1583</v>
      </c>
      <c r="F24" s="1238"/>
      <c r="G24" s="1770" t="s">
        <v>1583</v>
      </c>
      <c r="H24" s="1238"/>
      <c r="I24" s="1770" t="s">
        <v>1583</v>
      </c>
      <c r="J24" s="1238"/>
      <c r="K24" s="1645"/>
      <c r="L24" s="1361"/>
      <c r="M24" s="1345"/>
      <c r="N24" s="1345"/>
      <c r="O24" s="1345"/>
      <c r="P24" s="1782"/>
      <c r="Q24" s="749"/>
      <c r="R24" s="1411"/>
      <c r="S24" s="1412"/>
      <c r="T24" s="1411"/>
      <c r="U24" s="1412"/>
      <c r="V24" s="1411"/>
      <c r="W24" s="1412"/>
      <c r="X24" s="1398"/>
      <c r="Y24" s="1364"/>
      <c r="Z24" s="1385"/>
      <c r="AA24" s="1427">
        <v>1</v>
      </c>
      <c r="AB24" s="1427">
        <v>1</v>
      </c>
      <c r="AC24" s="1797">
        <v>1</v>
      </c>
    </row>
    <row r="25" ht="28.8" spans="1:29">
      <c r="A25" s="1189"/>
      <c r="B25" s="1241" t="s">
        <v>1586</v>
      </c>
      <c r="C25" s="1771"/>
      <c r="D25" s="1226">
        <v>100</v>
      </c>
      <c r="E25" s="1225"/>
      <c r="F25" s="1226">
        <f>SUMIF(87:87,E26,88:88)-SUMIF(87:87,C26,88:88)+100</f>
        <v>100</v>
      </c>
      <c r="G25" s="1771"/>
      <c r="H25" s="1226">
        <f>SUMIF(87:87,G26,88:88)-SUMIF(87:87,C26,88:88)+100</f>
        <v>100</v>
      </c>
      <c r="I25" s="1225"/>
      <c r="J25" s="1226">
        <f>SUMIF(87:87,I26,88:88)-SUMIF(87:87,C26,88:88)+100</f>
        <v>100</v>
      </c>
      <c r="K25" s="1644"/>
      <c r="L25" s="1361"/>
      <c r="M25" s="1345"/>
      <c r="N25" s="1345"/>
      <c r="O25" s="1345"/>
      <c r="P25" s="1782"/>
      <c r="Q25" s="749" t="str">
        <f>B25</f>
        <v>毗邻道路的类型与等级</v>
      </c>
      <c r="R25" s="1411" t="s">
        <v>1490</v>
      </c>
      <c r="S25" s="1412">
        <f>F25</f>
        <v>100</v>
      </c>
      <c r="T25" s="1411" t="s">
        <v>1490</v>
      </c>
      <c r="U25" s="1412">
        <f>H25</f>
        <v>100</v>
      </c>
      <c r="V25" s="1411" t="s">
        <v>1490</v>
      </c>
      <c r="W25" s="1412">
        <f>J25</f>
        <v>100</v>
      </c>
      <c r="X25" s="1398"/>
      <c r="Y25" s="1364"/>
      <c r="Z25" s="1385" t="str">
        <f>Q25</f>
        <v>毗邻道路的类型与等级</v>
      </c>
      <c r="AA25" s="1427">
        <f t="shared" si="3"/>
        <v>1</v>
      </c>
      <c r="AB25" s="1427">
        <f t="shared" si="4"/>
        <v>1</v>
      </c>
      <c r="AC25" s="1797">
        <f t="shared" si="5"/>
        <v>1</v>
      </c>
    </row>
    <row r="26" ht="15" spans="1:29">
      <c r="A26" s="1189"/>
      <c r="B26" s="1245"/>
      <c r="C26" s="1252"/>
      <c r="D26" s="1226"/>
      <c r="E26" s="1251"/>
      <c r="F26" s="1226"/>
      <c r="G26" s="1252"/>
      <c r="H26" s="1226"/>
      <c r="I26" s="1251"/>
      <c r="J26" s="1226"/>
      <c r="K26" s="1645"/>
      <c r="L26" s="1361"/>
      <c r="M26" s="1345"/>
      <c r="N26" s="1345"/>
      <c r="O26" s="1345"/>
      <c r="P26" s="1782"/>
      <c r="Q26" s="749"/>
      <c r="R26" s="1411"/>
      <c r="S26" s="1412"/>
      <c r="T26" s="1411"/>
      <c r="U26" s="1412"/>
      <c r="V26" s="1411"/>
      <c r="W26" s="1412"/>
      <c r="X26" s="1398"/>
      <c r="Y26" s="1364"/>
      <c r="Z26" s="1385"/>
      <c r="AA26" s="1427">
        <v>1</v>
      </c>
      <c r="AB26" s="1427">
        <v>1</v>
      </c>
      <c r="AC26" s="1797">
        <v>1</v>
      </c>
    </row>
    <row r="27" ht="15" spans="1:29">
      <c r="A27" s="1217"/>
      <c r="B27" s="1245" t="s">
        <v>1567</v>
      </c>
      <c r="C27" s="1252" t="s">
        <v>1587</v>
      </c>
      <c r="D27" s="1226">
        <v>100</v>
      </c>
      <c r="E27" s="1251" t="s">
        <v>1587</v>
      </c>
      <c r="F27" s="1226">
        <f>SUMIF(89:89,E27,90:90)-SUMIF(89:89,C27,90:90)+100</f>
        <v>100</v>
      </c>
      <c r="G27" s="1252" t="s">
        <v>1588</v>
      </c>
      <c r="H27" s="1226">
        <f>SUMIF(89:89,G27,90:90)-SUMIF(89:89,C27,90:90)+100</f>
        <v>105</v>
      </c>
      <c r="I27" s="1251" t="s">
        <v>1587</v>
      </c>
      <c r="J27" s="1226">
        <f>SUMIF(89:89,I27,90:90)-SUMIF(89:89,C27,90:90)+100</f>
        <v>100</v>
      </c>
      <c r="K27" s="1369">
        <v>5</v>
      </c>
      <c r="L27" s="1361"/>
      <c r="M27" s="1345"/>
      <c r="N27" s="1345"/>
      <c r="O27" s="1345"/>
      <c r="P27" s="1782"/>
      <c r="Q27" s="749" t="str">
        <f t="shared" ref="Q27:Q47" si="11">B27</f>
        <v>楼层</v>
      </c>
      <c r="R27" s="1411" t="s">
        <v>1490</v>
      </c>
      <c r="S27" s="1412">
        <f>F27</f>
        <v>100</v>
      </c>
      <c r="T27" s="1411" t="s">
        <v>1490</v>
      </c>
      <c r="U27" s="1412">
        <f>H27</f>
        <v>105</v>
      </c>
      <c r="V27" s="1411" t="s">
        <v>1490</v>
      </c>
      <c r="W27" s="1412">
        <f>J27</f>
        <v>100</v>
      </c>
      <c r="X27" s="1398"/>
      <c r="Y27" s="1364"/>
      <c r="Z27" s="1385" t="str">
        <f>Q27</f>
        <v>楼层</v>
      </c>
      <c r="AA27" s="1427">
        <f t="shared" si="3"/>
        <v>1</v>
      </c>
      <c r="AB27" s="1427">
        <f t="shared" si="4"/>
        <v>0.952380952380952</v>
      </c>
      <c r="AC27" s="1797">
        <f t="shared" si="5"/>
        <v>1</v>
      </c>
    </row>
    <row r="28" s="1164" customFormat="1" ht="15" spans="1:29">
      <c r="A28" s="1220"/>
      <c r="B28" s="1241" t="s">
        <v>1507</v>
      </c>
      <c r="C28" s="1772"/>
      <c r="D28" s="1722">
        <v>100</v>
      </c>
      <c r="E28" s="1773"/>
      <c r="F28" s="1722">
        <f>SUMIF(91:91,E28,92:92)-SUMIF(91:91,C28,92:92)+100</f>
        <v>100</v>
      </c>
      <c r="G28" s="1772"/>
      <c r="H28" s="1722">
        <f>SUMIF(91:91,G28,92:92)-SUMIF(91:91,C28,92:92)+100</f>
        <v>100</v>
      </c>
      <c r="I28" s="1773"/>
      <c r="J28" s="1722">
        <f>SUMIF(91:91,I28,92:92)-SUMIF(91:91,C28,92:92)+100</f>
        <v>100</v>
      </c>
      <c r="K28" s="1369"/>
      <c r="L28" s="1350"/>
      <c r="M28" s="1351"/>
      <c r="N28" s="1351"/>
      <c r="O28" s="1351"/>
      <c r="P28" s="1782"/>
      <c r="Q28" s="1410" t="str">
        <f t="shared" si="11"/>
        <v>朝向</v>
      </c>
      <c r="R28" s="1406" t="s">
        <v>1490</v>
      </c>
      <c r="S28" s="1407">
        <f>F28</f>
        <v>100</v>
      </c>
      <c r="T28" s="1406" t="s">
        <v>1490</v>
      </c>
      <c r="U28" s="1407">
        <f>H28</f>
        <v>100</v>
      </c>
      <c r="V28" s="1406" t="s">
        <v>1490</v>
      </c>
      <c r="W28" s="1407">
        <f>J28</f>
        <v>100</v>
      </c>
      <c r="X28" s="1408"/>
      <c r="Y28" s="1364"/>
      <c r="Z28" s="1426" t="str">
        <f>Q28</f>
        <v>朝向</v>
      </c>
      <c r="AA28" s="1427">
        <f t="shared" si="3"/>
        <v>1</v>
      </c>
      <c r="AB28" s="1427">
        <f t="shared" si="4"/>
        <v>1</v>
      </c>
      <c r="AC28" s="1797">
        <f t="shared" si="5"/>
        <v>1</v>
      </c>
    </row>
    <row r="29" ht="15" spans="1:29">
      <c r="A29" s="1217"/>
      <c r="B29" s="1256">
        <v>111</v>
      </c>
      <c r="C29" s="1771"/>
      <c r="D29" s="1226">
        <v>100</v>
      </c>
      <c r="E29" s="1215"/>
      <c r="F29" s="1226">
        <f>SUMIF(93:93,E29,94:94)-SUMIF(93:93,C29,94:94)+100</f>
        <v>100</v>
      </c>
      <c r="G29" s="1767"/>
      <c r="H29" s="1226">
        <f>SUMIF(93:93,G29,94:94)-SUMIF(93:93,C29,94:94)+100</f>
        <v>100</v>
      </c>
      <c r="I29" s="1215"/>
      <c r="J29" s="1226">
        <f>SUMIF(93:93,I29,94:94)-SUMIF(93:93,C29,94:94)+100</f>
        <v>100</v>
      </c>
      <c r="K29" s="1368"/>
      <c r="L29" s="1361"/>
      <c r="M29" s="1345"/>
      <c r="N29" s="1345"/>
      <c r="O29" s="1345"/>
      <c r="P29" s="1782"/>
      <c r="Q29" s="749">
        <f t="shared" si="11"/>
        <v>111</v>
      </c>
      <c r="R29" s="1411" t="s">
        <v>1490</v>
      </c>
      <c r="S29" s="1412">
        <f t="shared" ref="S29:S47" si="12">F29</f>
        <v>100</v>
      </c>
      <c r="T29" s="1411" t="s">
        <v>1490</v>
      </c>
      <c r="U29" s="1412">
        <f t="shared" ref="U29:U47" si="13">H29</f>
        <v>100</v>
      </c>
      <c r="V29" s="1411" t="s">
        <v>1490</v>
      </c>
      <c r="W29" s="1412">
        <f t="shared" ref="W29:W47" si="14">J29</f>
        <v>100</v>
      </c>
      <c r="X29" s="1398"/>
      <c r="Y29" s="1364"/>
      <c r="Z29" s="1385">
        <f t="shared" ref="Z29:Z47" si="15">Q29</f>
        <v>111</v>
      </c>
      <c r="AA29" s="1427">
        <f t="shared" si="3"/>
        <v>1</v>
      </c>
      <c r="AB29" s="1427">
        <f t="shared" si="4"/>
        <v>1</v>
      </c>
      <c r="AC29" s="1797">
        <f t="shared" si="5"/>
        <v>1</v>
      </c>
    </row>
    <row r="30" ht="15" spans="1:29">
      <c r="A30" s="1217"/>
      <c r="B30" s="1256">
        <v>111</v>
      </c>
      <c r="C30" s="1771"/>
      <c r="D30" s="1226">
        <v>100</v>
      </c>
      <c r="E30" s="1215"/>
      <c r="F30" s="1226">
        <f>SUMIF(95:95,E30,96:96)-SUMIF(95:95,C30,96:96)+100</f>
        <v>100</v>
      </c>
      <c r="G30" s="1767"/>
      <c r="H30" s="1226">
        <f>SUMIF(95:95,G30,96:96)-SUMIF(95:95,C30,96:96)+100</f>
        <v>100</v>
      </c>
      <c r="I30" s="1215"/>
      <c r="J30" s="1226">
        <f>SUMIF(95:95,I30,96:96)-SUMIF(95:95,C30,96:96)+100</f>
        <v>100</v>
      </c>
      <c r="K30" s="1368"/>
      <c r="L30" s="1361"/>
      <c r="M30" s="1345"/>
      <c r="N30" s="1345"/>
      <c r="O30" s="1345"/>
      <c r="P30" s="1782"/>
      <c r="Q30" s="749">
        <f t="shared" si="11"/>
        <v>111</v>
      </c>
      <c r="R30" s="1411" t="s">
        <v>1490</v>
      </c>
      <c r="S30" s="1412">
        <f t="shared" si="12"/>
        <v>100</v>
      </c>
      <c r="T30" s="1411" t="s">
        <v>1490</v>
      </c>
      <c r="U30" s="1412">
        <f t="shared" si="13"/>
        <v>100</v>
      </c>
      <c r="V30" s="1411" t="s">
        <v>1490</v>
      </c>
      <c r="W30" s="1412">
        <f t="shared" si="14"/>
        <v>100</v>
      </c>
      <c r="X30" s="1398"/>
      <c r="Y30" s="1364"/>
      <c r="Z30" s="1385">
        <f t="shared" si="15"/>
        <v>111</v>
      </c>
      <c r="AA30" s="1427">
        <f t="shared" si="3"/>
        <v>1</v>
      </c>
      <c r="AB30" s="1427">
        <f t="shared" si="4"/>
        <v>1</v>
      </c>
      <c r="AC30" s="1797">
        <f t="shared" si="5"/>
        <v>1</v>
      </c>
    </row>
    <row r="31" ht="15" spans="1:29">
      <c r="A31" s="1217"/>
      <c r="B31" s="1256">
        <v>111</v>
      </c>
      <c r="C31" s="1771"/>
      <c r="D31" s="1226">
        <v>100</v>
      </c>
      <c r="E31" s="1215"/>
      <c r="F31" s="1226">
        <f>SUMIF(97:97,E31,98:98)-SUMIF(97:97,C31,98:98)+100</f>
        <v>100</v>
      </c>
      <c r="G31" s="1767"/>
      <c r="H31" s="1226">
        <f>SUMIF(97:97,G31,98:98)-SUMIF(97:97,C31,98:98)+100</f>
        <v>100</v>
      </c>
      <c r="I31" s="1215"/>
      <c r="J31" s="1226">
        <f>SUMIF(97:97,I31,98:98)-SUMIF(97:97,C31,98:98)+100</f>
        <v>100</v>
      </c>
      <c r="K31" s="1368"/>
      <c r="L31" s="1361"/>
      <c r="M31" s="1345"/>
      <c r="N31" s="1345"/>
      <c r="O31" s="1345"/>
      <c r="P31" s="1782"/>
      <c r="Q31" s="749">
        <f t="shared" si="11"/>
        <v>111</v>
      </c>
      <c r="R31" s="1411" t="s">
        <v>1490</v>
      </c>
      <c r="S31" s="1412">
        <f t="shared" si="12"/>
        <v>100</v>
      </c>
      <c r="T31" s="1411" t="s">
        <v>1490</v>
      </c>
      <c r="U31" s="1412">
        <f t="shared" si="13"/>
        <v>100</v>
      </c>
      <c r="V31" s="1411" t="s">
        <v>1490</v>
      </c>
      <c r="W31" s="1412">
        <f t="shared" si="14"/>
        <v>100</v>
      </c>
      <c r="X31" s="1398"/>
      <c r="Y31" s="1364"/>
      <c r="Z31" s="1385">
        <f t="shared" si="15"/>
        <v>111</v>
      </c>
      <c r="AA31" s="1427">
        <f t="shared" si="3"/>
        <v>1</v>
      </c>
      <c r="AB31" s="1427">
        <f t="shared" si="4"/>
        <v>1</v>
      </c>
      <c r="AC31" s="1797">
        <f t="shared" si="5"/>
        <v>1</v>
      </c>
    </row>
    <row r="32" ht="15.75" spans="1:29">
      <c r="A32" s="1227"/>
      <c r="B32" s="1678">
        <v>111</v>
      </c>
      <c r="C32" s="1774"/>
      <c r="D32" s="1230">
        <v>100</v>
      </c>
      <c r="E32" s="1680"/>
      <c r="F32" s="1230">
        <f>SUMIF(99:99,E32,100:100)-SUMIF(99:99,C32,100:100)+100</f>
        <v>100</v>
      </c>
      <c r="G32" s="1767"/>
      <c r="H32" s="1230">
        <f>SUMIF(99:99,G32,100:100)-SUMIF(99:99,C32,100:100)+100</f>
        <v>100</v>
      </c>
      <c r="I32" s="1215"/>
      <c r="J32" s="1230">
        <f>SUMIF(99:99,I32,100:100)-SUMIF(99:99,C32,100:100)+100</f>
        <v>100</v>
      </c>
      <c r="K32" s="1368"/>
      <c r="L32" s="1361"/>
      <c r="M32" s="1345"/>
      <c r="N32" s="1345"/>
      <c r="O32" s="1345"/>
      <c r="P32" s="1782"/>
      <c r="Q32" s="749">
        <f t="shared" si="11"/>
        <v>111</v>
      </c>
      <c r="R32" s="1411" t="s">
        <v>1490</v>
      </c>
      <c r="S32" s="1412">
        <f t="shared" si="12"/>
        <v>100</v>
      </c>
      <c r="T32" s="1411" t="s">
        <v>1490</v>
      </c>
      <c r="U32" s="1412">
        <f t="shared" si="13"/>
        <v>100</v>
      </c>
      <c r="V32" s="1411" t="s">
        <v>1490</v>
      </c>
      <c r="W32" s="1412">
        <f t="shared" si="14"/>
        <v>100</v>
      </c>
      <c r="X32" s="1398"/>
      <c r="Y32" s="1364"/>
      <c r="Z32" s="1385">
        <f t="shared" si="15"/>
        <v>111</v>
      </c>
      <c r="AA32" s="1427">
        <f t="shared" si="3"/>
        <v>1</v>
      </c>
      <c r="AB32" s="1427">
        <f t="shared" si="4"/>
        <v>1</v>
      </c>
      <c r="AC32" s="1797">
        <f t="shared" si="5"/>
        <v>1</v>
      </c>
    </row>
    <row r="33" ht="15" spans="1:29">
      <c r="A33" s="1231" t="s">
        <v>1508</v>
      </c>
      <c r="B33" s="1210" t="s">
        <v>1509</v>
      </c>
      <c r="C33" s="1614" t="s">
        <v>1589</v>
      </c>
      <c r="D33" s="1267">
        <v>100</v>
      </c>
      <c r="E33" s="1614" t="s">
        <v>1590</v>
      </c>
      <c r="F33" s="1609">
        <f>SUMIF(101:101,E33,102:102)-SUMIF(101:101,C33,102:102)+100</f>
        <v>103</v>
      </c>
      <c r="G33" s="1614" t="s">
        <v>1590</v>
      </c>
      <c r="H33" s="1226">
        <f>SUMIF(101:101,G33,102:102)-SUMIF(101:101,C33,102:102)+100</f>
        <v>103</v>
      </c>
      <c r="I33" s="1614" t="s">
        <v>1590</v>
      </c>
      <c r="J33" s="1267">
        <f>SUMIF(101:101,I33,102:102)-SUMIF(101:101,C33,102:102)+100</f>
        <v>103</v>
      </c>
      <c r="K33" s="1369">
        <v>3</v>
      </c>
      <c r="L33" s="1361"/>
      <c r="M33" s="1345"/>
      <c r="N33" s="1345"/>
      <c r="O33" s="1345"/>
      <c r="P33" s="1783" t="s">
        <v>1510</v>
      </c>
      <c r="Q33" s="749" t="str">
        <f t="shared" si="11"/>
        <v>建筑类型</v>
      </c>
      <c r="R33" s="1411" t="s">
        <v>1490</v>
      </c>
      <c r="S33" s="1412">
        <f t="shared" si="12"/>
        <v>103</v>
      </c>
      <c r="T33" s="1411" t="s">
        <v>1490</v>
      </c>
      <c r="U33" s="1412">
        <f t="shared" si="13"/>
        <v>103</v>
      </c>
      <c r="V33" s="1411" t="s">
        <v>1490</v>
      </c>
      <c r="W33" s="1412">
        <f t="shared" si="14"/>
        <v>103</v>
      </c>
      <c r="X33" s="1398"/>
      <c r="Y33" s="1373" t="s">
        <v>1510</v>
      </c>
      <c r="Z33" s="1385" t="str">
        <f t="shared" si="15"/>
        <v>建筑类型</v>
      </c>
      <c r="AA33" s="1427">
        <f t="shared" si="3"/>
        <v>0.970873786407767</v>
      </c>
      <c r="AB33" s="1427">
        <f t="shared" si="4"/>
        <v>0.970873786407767</v>
      </c>
      <c r="AC33" s="1797">
        <f t="shared" si="5"/>
        <v>0.970873786407767</v>
      </c>
    </row>
    <row r="34" s="1166" customFormat="1" ht="15" spans="1:29">
      <c r="A34" s="1273"/>
      <c r="B34" s="1214" t="s">
        <v>1511</v>
      </c>
      <c r="C34" s="1603">
        <f>'数据-汇总表'!E31</f>
        <v>10109.15</v>
      </c>
      <c r="D34" s="1216">
        <v>100</v>
      </c>
      <c r="E34" s="1219">
        <f>大宗案例!F12</f>
        <v>12500</v>
      </c>
      <c r="F34" s="1602">
        <f>LOOKUP(E34,104:104,105:105)-LOOKUP(C34,104:104,105:105)+100</f>
        <v>100</v>
      </c>
      <c r="G34" s="1218">
        <f>大宗案例!F14</f>
        <v>7618</v>
      </c>
      <c r="H34" s="1216">
        <f>LOOKUP(G34,104:104,105:105)-LOOKUP(C34,104:104,105:105)+100</f>
        <v>102</v>
      </c>
      <c r="I34" s="1218">
        <f>大宗案例!F16</f>
        <v>6461</v>
      </c>
      <c r="J34" s="1216">
        <f>LOOKUP(I34,104:104,105:105)-LOOKUP(C34,104:104,105:105)+100</f>
        <v>102</v>
      </c>
      <c r="K34" s="1368"/>
      <c r="L34" s="1359"/>
      <c r="M34" s="1371"/>
      <c r="N34" s="1371"/>
      <c r="O34" s="1371"/>
      <c r="P34" s="1784"/>
      <c r="Q34" s="1648" t="str">
        <f t="shared" si="11"/>
        <v>项目建筑规模</v>
      </c>
      <c r="R34" s="1413" t="s">
        <v>1490</v>
      </c>
      <c r="S34" s="1414">
        <f t="shared" si="12"/>
        <v>100</v>
      </c>
      <c r="T34" s="1413" t="s">
        <v>1490</v>
      </c>
      <c r="U34" s="1414">
        <f t="shared" si="13"/>
        <v>102</v>
      </c>
      <c r="V34" s="1413" t="s">
        <v>1490</v>
      </c>
      <c r="W34" s="1414">
        <f t="shared" si="14"/>
        <v>102</v>
      </c>
      <c r="X34" s="1415"/>
      <c r="Y34" s="1373"/>
      <c r="Z34" s="1428" t="str">
        <f t="shared" si="15"/>
        <v>项目建筑规模</v>
      </c>
      <c r="AA34" s="1427">
        <f t="shared" si="3"/>
        <v>1</v>
      </c>
      <c r="AB34" s="1427">
        <f t="shared" si="4"/>
        <v>0.980392156862745</v>
      </c>
      <c r="AC34" s="1797">
        <f t="shared" si="5"/>
        <v>0.980392156862745</v>
      </c>
    </row>
    <row r="35" ht="15" spans="1:29">
      <c r="A35" s="1268"/>
      <c r="B35" s="1214" t="s">
        <v>1512</v>
      </c>
      <c r="C35" s="1619" t="s">
        <v>1591</v>
      </c>
      <c r="D35" s="1226">
        <v>100</v>
      </c>
      <c r="E35" s="1619" t="s">
        <v>1592</v>
      </c>
      <c r="F35" s="1609">
        <f>SUMIF(106:106,E35,107:107)-SUMIF(106:106,C35,107:107)+100</f>
        <v>102</v>
      </c>
      <c r="G35" s="1619" t="s">
        <v>1592</v>
      </c>
      <c r="H35" s="1226">
        <f>SUMIF(106:106,G35,107:107)-SUMIF(106:106,C35,107:107)+100</f>
        <v>102</v>
      </c>
      <c r="I35" s="1619" t="s">
        <v>1592</v>
      </c>
      <c r="J35" s="1226">
        <f>SUMIF(106:106,I35,107:107)-SUMIF(106:106,C35,107:107)+100</f>
        <v>102</v>
      </c>
      <c r="K35" s="1369">
        <v>2</v>
      </c>
      <c r="L35" s="1361"/>
      <c r="M35" s="1345"/>
      <c r="N35" s="1345"/>
      <c r="O35" s="1345"/>
      <c r="P35" s="1784"/>
      <c r="Q35" s="749" t="str">
        <f t="shared" si="11"/>
        <v>建筑结构</v>
      </c>
      <c r="R35" s="1411" t="s">
        <v>1490</v>
      </c>
      <c r="S35" s="1412">
        <f t="shared" si="12"/>
        <v>102</v>
      </c>
      <c r="T35" s="1411" t="s">
        <v>1490</v>
      </c>
      <c r="U35" s="1412">
        <f t="shared" si="13"/>
        <v>102</v>
      </c>
      <c r="V35" s="1411" t="s">
        <v>1490</v>
      </c>
      <c r="W35" s="1412">
        <f t="shared" si="14"/>
        <v>102</v>
      </c>
      <c r="X35" s="1398"/>
      <c r="Y35" s="1373"/>
      <c r="Z35" s="1385" t="str">
        <f t="shared" si="15"/>
        <v>建筑结构</v>
      </c>
      <c r="AA35" s="1427">
        <f t="shared" si="3"/>
        <v>0.980392156862745</v>
      </c>
      <c r="AB35" s="1427">
        <f t="shared" si="4"/>
        <v>0.980392156862745</v>
      </c>
      <c r="AC35" s="1797">
        <f t="shared" si="5"/>
        <v>0.980392156862745</v>
      </c>
    </row>
    <row r="36" ht="15" spans="1:29">
      <c r="A36" s="1268"/>
      <c r="B36" s="1214" t="s">
        <v>1514</v>
      </c>
      <c r="C36" s="1619"/>
      <c r="D36" s="1226">
        <v>100</v>
      </c>
      <c r="E36" s="1619"/>
      <c r="F36" s="1609">
        <f>SUMIF(108:108,E36,109:109)-SUMIF(108:108,C36,109:109)+100</f>
        <v>100</v>
      </c>
      <c r="G36" s="1619"/>
      <c r="H36" s="1226">
        <f>SUMIF(108:108,G36,109:109)-SUMIF(108:108,C36,109:109)+100</f>
        <v>100</v>
      </c>
      <c r="I36" s="1619"/>
      <c r="J36" s="1226">
        <f>SUMIF(108:108,I36,109:109)-SUMIF(108:108,C36,109:109)+100</f>
        <v>100</v>
      </c>
      <c r="K36" s="1369"/>
      <c r="L36" s="1361"/>
      <c r="M36" s="1345"/>
      <c r="N36" s="1345"/>
      <c r="O36" s="1345"/>
      <c r="P36" s="1784"/>
      <c r="Q36" s="749" t="str">
        <f t="shared" si="11"/>
        <v>公共部分装修</v>
      </c>
      <c r="R36" s="1411" t="s">
        <v>1490</v>
      </c>
      <c r="S36" s="1412">
        <f t="shared" si="12"/>
        <v>100</v>
      </c>
      <c r="T36" s="1411" t="s">
        <v>1490</v>
      </c>
      <c r="U36" s="1412">
        <f t="shared" si="13"/>
        <v>100</v>
      </c>
      <c r="V36" s="1411" t="s">
        <v>1490</v>
      </c>
      <c r="W36" s="1412">
        <f t="shared" si="14"/>
        <v>100</v>
      </c>
      <c r="X36" s="1398"/>
      <c r="Y36" s="1373"/>
      <c r="Z36" s="1385" t="str">
        <f t="shared" si="15"/>
        <v>公共部分装修</v>
      </c>
      <c r="AA36" s="1427">
        <f t="shared" si="3"/>
        <v>1</v>
      </c>
      <c r="AB36" s="1427">
        <f t="shared" si="4"/>
        <v>1</v>
      </c>
      <c r="AC36" s="1797">
        <f t="shared" si="5"/>
        <v>1</v>
      </c>
    </row>
    <row r="37" ht="15" spans="1:29">
      <c r="A37" s="1268"/>
      <c r="B37" s="1214" t="s">
        <v>636</v>
      </c>
      <c r="C37" s="1616">
        <v>0.8</v>
      </c>
      <c r="D37" s="1226">
        <v>100</v>
      </c>
      <c r="E37" s="1616">
        <f>56/60</f>
        <v>0.933333333333333</v>
      </c>
      <c r="F37" s="1609">
        <f>LOOKUP(E37,111:111,112:112)-LOOKUP(C37,111:111,112:112)+100</f>
        <v>102</v>
      </c>
      <c r="G37" s="1616">
        <v>0.93</v>
      </c>
      <c r="H37" s="1609">
        <f>LOOKUP(G37,111:111,112:112)-LOOKUP(C37,111:111,112:112)+100</f>
        <v>102</v>
      </c>
      <c r="I37" s="1616">
        <v>0.88</v>
      </c>
      <c r="J37" s="1226">
        <f>LOOKUP(I37,111:111,112:112)-LOOKUP(C37,111:111,112:112)+100</f>
        <v>100</v>
      </c>
      <c r="K37" s="1369">
        <v>2</v>
      </c>
      <c r="L37" s="1361"/>
      <c r="M37" s="1345"/>
      <c r="N37" s="1345"/>
      <c r="O37" s="1345"/>
      <c r="P37" s="1784"/>
      <c r="Q37" s="749" t="str">
        <f t="shared" si="11"/>
        <v>成新度</v>
      </c>
      <c r="R37" s="1411" t="s">
        <v>1490</v>
      </c>
      <c r="S37" s="1412">
        <f t="shared" si="12"/>
        <v>102</v>
      </c>
      <c r="T37" s="1411" t="s">
        <v>1490</v>
      </c>
      <c r="U37" s="1412">
        <f t="shared" si="13"/>
        <v>102</v>
      </c>
      <c r="V37" s="1411" t="s">
        <v>1490</v>
      </c>
      <c r="W37" s="1412">
        <f t="shared" si="14"/>
        <v>100</v>
      </c>
      <c r="X37" s="1398"/>
      <c r="Y37" s="1373"/>
      <c r="Z37" s="1385" t="str">
        <f t="shared" si="15"/>
        <v>成新度</v>
      </c>
      <c r="AA37" s="1427">
        <f t="shared" si="3"/>
        <v>0.980392156862745</v>
      </c>
      <c r="AB37" s="1427">
        <f t="shared" si="4"/>
        <v>0.980392156862745</v>
      </c>
      <c r="AC37" s="1797">
        <f t="shared" si="5"/>
        <v>1</v>
      </c>
    </row>
    <row r="38" s="1164" customFormat="1" ht="15" spans="1:29">
      <c r="A38" s="1270"/>
      <c r="B38" s="1214" t="s">
        <v>1593</v>
      </c>
      <c r="C38" s="1619"/>
      <c r="D38" s="1216">
        <v>100</v>
      </c>
      <c r="E38" s="1619"/>
      <c r="F38" s="1609">
        <f>SUMIF(113:113,E38,114:114)-SUMIF(113:113,C38,114:114)+100</f>
        <v>100</v>
      </c>
      <c r="G38" s="1619"/>
      <c r="H38" s="1226">
        <f>SUMIF(113:113,G38,114:114)-SUMIF(113:113,C38,114:114)+100</f>
        <v>100</v>
      </c>
      <c r="I38" s="1619"/>
      <c r="J38" s="1226">
        <f>SUMIF(113:113,I38,114:114)-SUMIF(113:113,C38,114:114)+100</f>
        <v>100</v>
      </c>
      <c r="K38" s="1369"/>
      <c r="L38" s="1350"/>
      <c r="M38" s="1351"/>
      <c r="N38" s="1351"/>
      <c r="O38" s="1351"/>
      <c r="P38" s="1784"/>
      <c r="Q38" s="1410" t="str">
        <f t="shared" si="11"/>
        <v>写字楼等级</v>
      </c>
      <c r="R38" s="1406" t="s">
        <v>1490</v>
      </c>
      <c r="S38" s="1407">
        <f t="shared" si="12"/>
        <v>100</v>
      </c>
      <c r="T38" s="1406" t="s">
        <v>1490</v>
      </c>
      <c r="U38" s="1407">
        <f t="shared" si="13"/>
        <v>100</v>
      </c>
      <c r="V38" s="1406" t="s">
        <v>1490</v>
      </c>
      <c r="W38" s="1407">
        <f t="shared" si="14"/>
        <v>100</v>
      </c>
      <c r="X38" s="1408"/>
      <c r="Y38" s="1373"/>
      <c r="Z38" s="1426" t="str">
        <f t="shared" si="15"/>
        <v>写字楼等级</v>
      </c>
      <c r="AA38" s="1425">
        <f t="shared" si="3"/>
        <v>1</v>
      </c>
      <c r="AB38" s="1425">
        <f t="shared" si="4"/>
        <v>1</v>
      </c>
      <c r="AC38" s="1796">
        <f t="shared" si="5"/>
        <v>1</v>
      </c>
    </row>
    <row r="39" ht="15" spans="1:29">
      <c r="A39" s="1268"/>
      <c r="B39" s="1214" t="s">
        <v>1515</v>
      </c>
      <c r="C39" s="1619" t="s">
        <v>1594</v>
      </c>
      <c r="D39" s="1226">
        <v>100</v>
      </c>
      <c r="E39" s="1619" t="s">
        <v>1595</v>
      </c>
      <c r="F39" s="1609">
        <f>SUMIF(115:115,E39,116:116)-SUMIF(115:115,C39,116:116)+100</f>
        <v>102</v>
      </c>
      <c r="G39" s="1619" t="s">
        <v>1595</v>
      </c>
      <c r="H39" s="1226">
        <f>SUMIF(115:115,G39,116:116)-SUMIF(115:115,C39,116:116)+100</f>
        <v>102</v>
      </c>
      <c r="I39" s="1619" t="s">
        <v>1595</v>
      </c>
      <c r="J39" s="1226">
        <f>SUMIF(115:115,I39,116:116)-SUMIF(115:115,C39,116:116)+100</f>
        <v>102</v>
      </c>
      <c r="K39" s="1369">
        <v>2</v>
      </c>
      <c r="L39" s="1361"/>
      <c r="M39" s="1345"/>
      <c r="N39" s="1345"/>
      <c r="O39" s="1345"/>
      <c r="P39" s="1784" t="s">
        <v>1510</v>
      </c>
      <c r="Q39" s="749" t="str">
        <f t="shared" si="11"/>
        <v>物业管理</v>
      </c>
      <c r="R39" s="1411" t="s">
        <v>1490</v>
      </c>
      <c r="S39" s="1412">
        <f t="shared" si="12"/>
        <v>102</v>
      </c>
      <c r="T39" s="1411" t="s">
        <v>1490</v>
      </c>
      <c r="U39" s="1412">
        <f t="shared" si="13"/>
        <v>102</v>
      </c>
      <c r="V39" s="1411" t="s">
        <v>1490</v>
      </c>
      <c r="W39" s="1412">
        <f t="shared" si="14"/>
        <v>102</v>
      </c>
      <c r="X39" s="1398"/>
      <c r="Y39" s="1373" t="s">
        <v>1510</v>
      </c>
      <c r="Z39" s="1385" t="str">
        <f t="shared" si="15"/>
        <v>物业管理</v>
      </c>
      <c r="AA39" s="1427">
        <f t="shared" si="3"/>
        <v>0.980392156862745</v>
      </c>
      <c r="AB39" s="1427">
        <f t="shared" si="4"/>
        <v>0.980392156862745</v>
      </c>
      <c r="AC39" s="1797">
        <f t="shared" si="5"/>
        <v>0.980392156862745</v>
      </c>
    </row>
    <row r="40" ht="15" spans="1:29">
      <c r="A40" s="1268"/>
      <c r="B40" s="1214" t="s">
        <v>1516</v>
      </c>
      <c r="C40" s="1619"/>
      <c r="D40" s="1226">
        <v>100</v>
      </c>
      <c r="E40" s="1619"/>
      <c r="F40" s="1609">
        <f>SUMIF(117:117,E40,118:118)-SUMIF(117:117,C40,118:118)+100</f>
        <v>100</v>
      </c>
      <c r="G40" s="1619"/>
      <c r="H40" s="1226">
        <f>SUMIF(117:117,G40,118:118)-SUMIF(117:117,C40,118:118)+100</f>
        <v>100</v>
      </c>
      <c r="I40" s="1619"/>
      <c r="J40" s="1226">
        <f>SUMIF(117:117,I40,118:118)-SUMIF(117:117,C40,118:118)+100</f>
        <v>100</v>
      </c>
      <c r="K40" s="1369"/>
      <c r="L40" s="1361"/>
      <c r="M40" s="1345"/>
      <c r="N40" s="1345"/>
      <c r="O40" s="1345"/>
      <c r="P40" s="1784"/>
      <c r="Q40" s="749" t="str">
        <f t="shared" si="11"/>
        <v>市政基础设施</v>
      </c>
      <c r="R40" s="1411" t="s">
        <v>1490</v>
      </c>
      <c r="S40" s="1412">
        <f t="shared" si="12"/>
        <v>100</v>
      </c>
      <c r="T40" s="1411" t="s">
        <v>1490</v>
      </c>
      <c r="U40" s="1412">
        <f t="shared" si="13"/>
        <v>100</v>
      </c>
      <c r="V40" s="1411" t="s">
        <v>1490</v>
      </c>
      <c r="W40" s="1412">
        <f t="shared" si="14"/>
        <v>100</v>
      </c>
      <c r="X40" s="1398"/>
      <c r="Y40" s="1373"/>
      <c r="Z40" s="1385" t="str">
        <f t="shared" si="15"/>
        <v>市政基础设施</v>
      </c>
      <c r="AA40" s="1427">
        <f t="shared" si="3"/>
        <v>1</v>
      </c>
      <c r="AB40" s="1427">
        <f t="shared" si="4"/>
        <v>1</v>
      </c>
      <c r="AC40" s="1797">
        <f t="shared" si="5"/>
        <v>1</v>
      </c>
    </row>
    <row r="41" ht="15" spans="1:29">
      <c r="A41" s="1268"/>
      <c r="B41" s="1214" t="s">
        <v>1570</v>
      </c>
      <c r="C41" s="1251" t="s">
        <v>1596</v>
      </c>
      <c r="D41" s="1226">
        <v>100</v>
      </c>
      <c r="E41" s="1251" t="s">
        <v>1596</v>
      </c>
      <c r="F41" s="1609">
        <f>SUMIF(119:119,E41,120:120)-SUMIF(119:119,C41,120:120)+100</f>
        <v>100</v>
      </c>
      <c r="G41" s="1251" t="s">
        <v>1596</v>
      </c>
      <c r="H41" s="1226">
        <f>SUMIF(119:119,G41,120:120)-SUMIF(119:119,C41,120:120)+100</f>
        <v>100</v>
      </c>
      <c r="I41" s="1251" t="s">
        <v>1596</v>
      </c>
      <c r="J41" s="1226">
        <f>SUMIF(119:119,I41,120:120)-SUMIF(119:119,C41,120:120)+100</f>
        <v>100</v>
      </c>
      <c r="K41" s="1369">
        <v>2</v>
      </c>
      <c r="L41" s="1361"/>
      <c r="M41" s="1345"/>
      <c r="N41" s="1345"/>
      <c r="O41" s="1345"/>
      <c r="P41" s="1784"/>
      <c r="Q41" s="749" t="str">
        <f t="shared" si="11"/>
        <v>层高</v>
      </c>
      <c r="R41" s="1411" t="s">
        <v>1490</v>
      </c>
      <c r="S41" s="1412">
        <f t="shared" si="12"/>
        <v>100</v>
      </c>
      <c r="T41" s="1411" t="s">
        <v>1490</v>
      </c>
      <c r="U41" s="1412">
        <f t="shared" si="13"/>
        <v>100</v>
      </c>
      <c r="V41" s="1411" t="s">
        <v>1490</v>
      </c>
      <c r="W41" s="1412">
        <f t="shared" si="14"/>
        <v>100</v>
      </c>
      <c r="X41" s="1398"/>
      <c r="Y41" s="1373"/>
      <c r="Z41" s="1385" t="str">
        <f t="shared" si="15"/>
        <v>层高</v>
      </c>
      <c r="AA41" s="1427">
        <f t="shared" si="3"/>
        <v>1</v>
      </c>
      <c r="AB41" s="1427">
        <f t="shared" si="4"/>
        <v>1</v>
      </c>
      <c r="AC41" s="1797">
        <f t="shared" si="5"/>
        <v>1</v>
      </c>
    </row>
    <row r="42" s="1166" customFormat="1" ht="15" spans="1:29">
      <c r="A42" s="1273"/>
      <c r="B42" s="1380" t="s">
        <v>1597</v>
      </c>
      <c r="C42" s="1225"/>
      <c r="D42" s="1226">
        <v>100</v>
      </c>
      <c r="E42" s="1225"/>
      <c r="F42" s="1609">
        <f>SUMIF(121:121,E42,122:122)-SUMIF(121:121,C42,122:122)+100</f>
        <v>100</v>
      </c>
      <c r="G42" s="1225"/>
      <c r="H42" s="1226">
        <f>SUMIF(121:121,G42,122:122)-SUMIF(121:121,C42,122:122)+100</f>
        <v>100</v>
      </c>
      <c r="I42" s="1225"/>
      <c r="J42" s="1226">
        <f>SUMIF(121:121,I42,122:122)-SUMIF(121:121,C42,122:122)+100</f>
        <v>100</v>
      </c>
      <c r="K42" s="1368"/>
      <c r="L42" s="1359"/>
      <c r="M42" s="1371"/>
      <c r="N42" s="1371"/>
      <c r="O42" s="1371"/>
      <c r="P42" s="1784"/>
      <c r="Q42" s="1648" t="str">
        <f t="shared" si="11"/>
        <v>单套建筑面积</v>
      </c>
      <c r="R42" s="1413" t="s">
        <v>1490</v>
      </c>
      <c r="S42" s="1414">
        <f t="shared" si="12"/>
        <v>100</v>
      </c>
      <c r="T42" s="1413" t="s">
        <v>1490</v>
      </c>
      <c r="U42" s="1414">
        <f t="shared" si="13"/>
        <v>100</v>
      </c>
      <c r="V42" s="1413" t="s">
        <v>1490</v>
      </c>
      <c r="W42" s="1414">
        <f t="shared" si="14"/>
        <v>100</v>
      </c>
      <c r="X42" s="1415"/>
      <c r="Y42" s="1373"/>
      <c r="Z42" s="1428" t="str">
        <f t="shared" si="15"/>
        <v>单套建筑面积</v>
      </c>
      <c r="AA42" s="1427">
        <f t="shared" si="3"/>
        <v>1</v>
      </c>
      <c r="AB42" s="1427">
        <f t="shared" si="4"/>
        <v>1</v>
      </c>
      <c r="AC42" s="1797">
        <f t="shared" si="5"/>
        <v>1</v>
      </c>
    </row>
    <row r="43" ht="15" spans="1:29">
      <c r="A43" s="1268"/>
      <c r="B43" s="1214" t="s">
        <v>1519</v>
      </c>
      <c r="C43" s="1619" t="s">
        <v>1598</v>
      </c>
      <c r="D43" s="1226">
        <v>100</v>
      </c>
      <c r="E43" s="1619" t="s">
        <v>1599</v>
      </c>
      <c r="F43" s="1609">
        <f>SUMIF(123:123,E43,124:124)-SUMIF(123:123,C43,124:124)+100</f>
        <v>98</v>
      </c>
      <c r="G43" s="1619" t="s">
        <v>1599</v>
      </c>
      <c r="H43" s="1226">
        <f>SUMIF(123:123,G43,124:124)-SUMIF(123:123,C43,124:124)+100</f>
        <v>98</v>
      </c>
      <c r="I43" s="1619" t="s">
        <v>1599</v>
      </c>
      <c r="J43" s="1226">
        <f>SUMIF(123:123,I43,124:124)-SUMIF(123:123,C43,124:124)+100</f>
        <v>98</v>
      </c>
      <c r="K43" s="1369">
        <v>1</v>
      </c>
      <c r="L43" s="1361"/>
      <c r="M43" s="1345"/>
      <c r="N43" s="1345"/>
      <c r="O43" s="1345"/>
      <c r="P43" s="1784"/>
      <c r="Q43" s="749" t="str">
        <f t="shared" si="11"/>
        <v>内部装修</v>
      </c>
      <c r="R43" s="1411" t="s">
        <v>1490</v>
      </c>
      <c r="S43" s="1412">
        <f t="shared" si="12"/>
        <v>98</v>
      </c>
      <c r="T43" s="1411" t="s">
        <v>1490</v>
      </c>
      <c r="U43" s="1412">
        <f t="shared" si="13"/>
        <v>98</v>
      </c>
      <c r="V43" s="1411" t="s">
        <v>1490</v>
      </c>
      <c r="W43" s="1412">
        <f t="shared" si="14"/>
        <v>98</v>
      </c>
      <c r="X43" s="1398"/>
      <c r="Y43" s="1373"/>
      <c r="Z43" s="1385" t="str">
        <f t="shared" si="15"/>
        <v>内部装修</v>
      </c>
      <c r="AA43" s="1427">
        <f t="shared" si="3"/>
        <v>1.02040816326531</v>
      </c>
      <c r="AB43" s="1427">
        <f t="shared" si="4"/>
        <v>1.02040816326531</v>
      </c>
      <c r="AC43" s="1797">
        <f t="shared" si="5"/>
        <v>1.02040816326531</v>
      </c>
    </row>
    <row r="44" ht="28.8" spans="1:29">
      <c r="A44" s="1268"/>
      <c r="B44" s="1214" t="s">
        <v>1520</v>
      </c>
      <c r="C44" s="1619" t="s">
        <v>1600</v>
      </c>
      <c r="D44" s="1226">
        <v>100</v>
      </c>
      <c r="E44" s="1269" t="s">
        <v>1583</v>
      </c>
      <c r="F44" s="1609">
        <f>SUMIF(125:125,E44,126:126)-SUMIF(125:125,C44,126:126)+100</f>
        <v>102</v>
      </c>
      <c r="G44" s="1269" t="s">
        <v>1583</v>
      </c>
      <c r="H44" s="1226">
        <f>SUMIF(125:125,G44,126:126)-SUMIF(125:125,C44,126:126)+100</f>
        <v>102</v>
      </c>
      <c r="I44" s="1269" t="s">
        <v>1583</v>
      </c>
      <c r="J44" s="1226">
        <f>SUMIF(125:125,I44,126:126)-SUMIF(125:125,C44,126:126)+100</f>
        <v>102</v>
      </c>
      <c r="K44" s="1369">
        <v>2</v>
      </c>
      <c r="L44" s="1361"/>
      <c r="M44" s="1345"/>
      <c r="N44" s="1345"/>
      <c r="O44" s="1345"/>
      <c r="P44" s="1784"/>
      <c r="Q44" s="749" t="str">
        <f t="shared" si="11"/>
        <v>内部装修维护情况</v>
      </c>
      <c r="R44" s="1411" t="s">
        <v>1490</v>
      </c>
      <c r="S44" s="1412">
        <f t="shared" si="12"/>
        <v>102</v>
      </c>
      <c r="T44" s="1411" t="s">
        <v>1490</v>
      </c>
      <c r="U44" s="1412">
        <f t="shared" si="13"/>
        <v>102</v>
      </c>
      <c r="V44" s="1411" t="s">
        <v>1490</v>
      </c>
      <c r="W44" s="1412">
        <f t="shared" si="14"/>
        <v>102</v>
      </c>
      <c r="X44" s="1398"/>
      <c r="Y44" s="1373"/>
      <c r="Z44" s="1385" t="str">
        <f t="shared" si="15"/>
        <v>内部装修维护情况</v>
      </c>
      <c r="AA44" s="1427">
        <f t="shared" si="3"/>
        <v>0.980392156862745</v>
      </c>
      <c r="AB44" s="1427">
        <f t="shared" si="4"/>
        <v>0.980392156862745</v>
      </c>
      <c r="AC44" s="1797">
        <f t="shared" si="5"/>
        <v>0.980392156862745</v>
      </c>
    </row>
    <row r="45" s="1164" customFormat="1" ht="15" spans="1:29">
      <c r="A45" s="1270"/>
      <c r="B45" s="1560">
        <v>111</v>
      </c>
      <c r="C45" s="1603"/>
      <c r="D45" s="1216">
        <v>100</v>
      </c>
      <c r="E45" s="1215"/>
      <c r="F45" s="1602">
        <f>SUMIF(127:127,E45,128:128)-SUMIF(127:127,C45,128:128)+100</f>
        <v>100</v>
      </c>
      <c r="G45" s="1215"/>
      <c r="H45" s="1216">
        <f>SUMIF(127:127,G45,128:128)-SUMIF(127:127,C45,128:128)+100</f>
        <v>100</v>
      </c>
      <c r="I45" s="1215"/>
      <c r="J45" s="1216">
        <f>SUMIF(127:127,I45,128:128)-SUMIF(127:127,C45,128:128)+100</f>
        <v>100</v>
      </c>
      <c r="K45" s="1368"/>
      <c r="L45" s="1350"/>
      <c r="M45" s="1351"/>
      <c r="N45" s="1351"/>
      <c r="O45" s="1351"/>
      <c r="P45" s="1784"/>
      <c r="Q45" s="1410">
        <f t="shared" si="11"/>
        <v>111</v>
      </c>
      <c r="R45" s="1406" t="s">
        <v>1490</v>
      </c>
      <c r="S45" s="1407">
        <f t="shared" si="12"/>
        <v>100</v>
      </c>
      <c r="T45" s="1406" t="s">
        <v>1490</v>
      </c>
      <c r="U45" s="1407">
        <f t="shared" si="13"/>
        <v>100</v>
      </c>
      <c r="V45" s="1406" t="s">
        <v>1490</v>
      </c>
      <c r="W45" s="1407">
        <f t="shared" si="14"/>
        <v>100</v>
      </c>
      <c r="X45" s="1408"/>
      <c r="Y45" s="1373"/>
      <c r="Z45" s="1426">
        <f t="shared" si="15"/>
        <v>111</v>
      </c>
      <c r="AA45" s="1425">
        <f t="shared" si="3"/>
        <v>1</v>
      </c>
      <c r="AB45" s="1425">
        <f t="shared" si="4"/>
        <v>1</v>
      </c>
      <c r="AC45" s="1796">
        <f t="shared" si="5"/>
        <v>1</v>
      </c>
    </row>
    <row r="46" ht="15" spans="1:29">
      <c r="A46" s="1268"/>
      <c r="B46" s="1560">
        <v>111</v>
      </c>
      <c r="C46" s="1225"/>
      <c r="D46" s="1226">
        <v>100</v>
      </c>
      <c r="E46" s="1215"/>
      <c r="F46" s="1609">
        <f>SUMIF(129:129,E46,130:130)-SUMIF(129:129,C46,130:130)+100</f>
        <v>100</v>
      </c>
      <c r="G46" s="1215"/>
      <c r="H46" s="1226">
        <f>SUMIF(129:129,G46,130:130)-SUMIF(129:129,C46,130:130)+100</f>
        <v>100</v>
      </c>
      <c r="I46" s="1215"/>
      <c r="J46" s="1226">
        <f>SUMIF(129:129,I46,130:130)-SUMIF(129:129,C46,130:130)+100</f>
        <v>100</v>
      </c>
      <c r="K46" s="1368"/>
      <c r="L46" s="1361"/>
      <c r="M46" s="1345"/>
      <c r="N46" s="1345"/>
      <c r="O46" s="1345"/>
      <c r="P46" s="1784"/>
      <c r="Q46" s="749">
        <f t="shared" si="11"/>
        <v>111</v>
      </c>
      <c r="R46" s="1411" t="s">
        <v>1490</v>
      </c>
      <c r="S46" s="1412">
        <f t="shared" si="12"/>
        <v>100</v>
      </c>
      <c r="T46" s="1411" t="s">
        <v>1490</v>
      </c>
      <c r="U46" s="1412">
        <f t="shared" si="13"/>
        <v>100</v>
      </c>
      <c r="V46" s="1411" t="s">
        <v>1490</v>
      </c>
      <c r="W46" s="1412">
        <f t="shared" si="14"/>
        <v>100</v>
      </c>
      <c r="X46" s="1398"/>
      <c r="Y46" s="1373"/>
      <c r="Z46" s="1385">
        <f t="shared" si="15"/>
        <v>111</v>
      </c>
      <c r="AA46" s="1427">
        <f t="shared" si="3"/>
        <v>1</v>
      </c>
      <c r="AB46" s="1427">
        <f t="shared" si="4"/>
        <v>1</v>
      </c>
      <c r="AC46" s="1797">
        <f t="shared" si="5"/>
        <v>1</v>
      </c>
    </row>
    <row r="47" ht="15.75" spans="1:29">
      <c r="A47" s="1621"/>
      <c r="B47" s="1228">
        <v>111</v>
      </c>
      <c r="C47" s="1229"/>
      <c r="D47" s="1230">
        <v>100</v>
      </c>
      <c r="E47" s="1215"/>
      <c r="F47" s="1622">
        <f>SUMIF(131:131,E47,132:132)-SUMIF(131:131,C47,132:132)+100</f>
        <v>100</v>
      </c>
      <c r="G47" s="1215"/>
      <c r="H47" s="1230">
        <f>SUMIF(131:131,G47,132:132)-SUMIF(131:131,C47,132:132)+100</f>
        <v>100</v>
      </c>
      <c r="I47" s="1215"/>
      <c r="J47" s="1230">
        <f>SUMIF(131:131,I47,132:132)-SUMIF(131:131,C47,132:132)+100</f>
        <v>100</v>
      </c>
      <c r="K47" s="1368"/>
      <c r="L47" s="1361"/>
      <c r="M47" s="1345"/>
      <c r="N47" s="1345"/>
      <c r="O47" s="1345"/>
      <c r="P47" s="1785"/>
      <c r="Q47" s="749">
        <f t="shared" si="11"/>
        <v>111</v>
      </c>
      <c r="R47" s="1411" t="s">
        <v>1490</v>
      </c>
      <c r="S47" s="1412">
        <f t="shared" si="12"/>
        <v>100</v>
      </c>
      <c r="T47" s="1411" t="s">
        <v>1490</v>
      </c>
      <c r="U47" s="1412">
        <f t="shared" si="13"/>
        <v>100</v>
      </c>
      <c r="V47" s="1411" t="s">
        <v>1490</v>
      </c>
      <c r="W47" s="1412">
        <f t="shared" si="14"/>
        <v>100</v>
      </c>
      <c r="X47" s="1398"/>
      <c r="Y47" s="1739"/>
      <c r="Z47" s="1385">
        <f t="shared" si="15"/>
        <v>111</v>
      </c>
      <c r="AA47" s="1427">
        <f t="shared" si="3"/>
        <v>1</v>
      </c>
      <c r="AB47" s="1427">
        <f t="shared" si="4"/>
        <v>1</v>
      </c>
      <c r="AC47" s="1797">
        <f t="shared" si="5"/>
        <v>1</v>
      </c>
    </row>
    <row r="48" ht="14.4" spans="1:29">
      <c r="A48" s="1275" t="s">
        <v>1521</v>
      </c>
      <c r="B48" s="1623"/>
      <c r="C48" s="1624" t="s">
        <v>124</v>
      </c>
      <c r="D48" s="1625"/>
      <c r="E48" s="1626">
        <f>大宗案例!L12</f>
        <v>44000</v>
      </c>
      <c r="F48" s="1627"/>
      <c r="G48" s="1628">
        <f>大宗案例!L14</f>
        <v>56867</v>
      </c>
      <c r="H48" s="1629"/>
      <c r="I48" s="1626">
        <f>大宗案例!L16</f>
        <v>49683</v>
      </c>
      <c r="J48" s="1282"/>
      <c r="K48" s="1376"/>
      <c r="L48" s="1377"/>
      <c r="M48" s="1345"/>
      <c r="N48" s="1345"/>
      <c r="O48" s="1345"/>
      <c r="P48" s="1312" t="str">
        <f>A48</f>
        <v>成交单价（元/平方米）</v>
      </c>
      <c r="Q48" s="749"/>
      <c r="R48" s="1427">
        <f>E48</f>
        <v>44000</v>
      </c>
      <c r="S48" s="1427"/>
      <c r="T48" s="1427">
        <f>G48</f>
        <v>56867</v>
      </c>
      <c r="U48" s="1427"/>
      <c r="V48" s="1427">
        <f>I48</f>
        <v>49683</v>
      </c>
      <c r="W48" s="1427"/>
      <c r="X48" s="1554"/>
      <c r="Y48" s="1429"/>
      <c r="Z48" s="1554"/>
      <c r="AA48" s="1554"/>
      <c r="AB48" s="1554"/>
      <c r="AC48" s="1236"/>
    </row>
    <row r="49" ht="15.15" spans="1:29">
      <c r="A49" s="1283" t="s">
        <v>1522</v>
      </c>
      <c r="B49" s="1630"/>
      <c r="C49" s="1631">
        <f>R50</f>
        <v>39740</v>
      </c>
      <c r="D49" s="1286" t="s">
        <v>1523</v>
      </c>
      <c r="E49" s="1632">
        <f>R49</f>
        <v>35512</v>
      </c>
      <c r="F49" s="1287"/>
      <c r="G49" s="1631">
        <f>T49</f>
        <v>42854</v>
      </c>
      <c r="H49" s="1287"/>
      <c r="I49" s="1632">
        <f>V49</f>
        <v>40855</v>
      </c>
      <c r="J49" s="1287"/>
      <c r="K49" s="1378">
        <f>F49+H49+J49</f>
        <v>0</v>
      </c>
      <c r="L49" s="1377"/>
      <c r="M49" s="1345"/>
      <c r="N49" s="1345"/>
      <c r="O49" s="1345"/>
      <c r="P49" s="1312" t="str">
        <f>A49</f>
        <v>比较价值（元/平方米）</v>
      </c>
      <c r="Q49" s="749"/>
      <c r="R49" s="1427">
        <f>IF(F1="售价",ROUND(PRODUCT(R48,AA7:AA47),0),ROUND(PRODUCT(R48,AA7:AA47),1))</f>
        <v>35512</v>
      </c>
      <c r="S49" s="1427"/>
      <c r="T49" s="1427">
        <f>IF(F1="售价",ROUND(PRODUCT(T48,AB7:AB47),0),ROUND(PRODUCT(T48,AB7:AB47),1))</f>
        <v>42854</v>
      </c>
      <c r="U49" s="1427"/>
      <c r="V49" s="1427">
        <f>IF(F1="售价",ROUND(PRODUCT(V48,AC7:AC47),0),ROUND(PRODUCT(V48,AC7:AC47),1))</f>
        <v>40855</v>
      </c>
      <c r="W49" s="1427"/>
      <c r="X49" s="1554"/>
      <c r="Y49" s="1554"/>
      <c r="Z49" s="1554"/>
      <c r="AA49" s="1554"/>
      <c r="AB49" s="1554"/>
      <c r="AC49" s="1236"/>
    </row>
    <row r="50" ht="15.15" spans="1:29">
      <c r="A50" s="1289" t="s">
        <v>1524</v>
      </c>
      <c r="B50" s="1290"/>
      <c r="C50" s="1633">
        <f>R50</f>
        <v>39740</v>
      </c>
      <c r="D50" s="1633"/>
      <c r="E50" s="1633"/>
      <c r="F50" s="1633"/>
      <c r="G50" s="1633"/>
      <c r="H50" s="1633"/>
      <c r="I50" s="1633"/>
      <c r="J50" s="1291"/>
      <c r="K50" s="1379"/>
      <c r="L50" s="1377"/>
      <c r="M50" s="1345"/>
      <c r="N50" s="1345"/>
      <c r="O50" s="1345"/>
      <c r="P50" s="1786" t="str">
        <f>A50</f>
        <v>估价对象XX用房的比较价值（楼面单价，元/平方米）</v>
      </c>
      <c r="Q50" s="1791"/>
      <c r="R50" s="1792">
        <f>IF(F1="售价",ROUND(IF(D49="简单平均",AVERAGE(R49:V49),R49*F49+T49*H49+V49*J49),0),ROUND(IF(D49="简单平均",AVERAGE(R49:V49),R49*F49+T49*H49+V49*J49),1))</f>
        <v>39740</v>
      </c>
      <c r="S50" s="1792"/>
      <c r="T50" s="1792"/>
      <c r="U50" s="1792"/>
      <c r="V50" s="1792"/>
      <c r="W50" s="1792"/>
      <c r="X50" s="1793"/>
      <c r="Y50" s="1793"/>
      <c r="Z50" s="1793"/>
      <c r="AA50" s="1793"/>
      <c r="AB50" s="1793"/>
      <c r="AC50" s="1798"/>
    </row>
    <row r="51" spans="1:29">
      <c r="A51" s="1292"/>
      <c r="B51" s="1292"/>
      <c r="C51" s="1292"/>
      <c r="D51" s="1292"/>
      <c r="E51" s="1292">
        <v>2019</v>
      </c>
      <c r="F51" s="1292"/>
      <c r="G51" s="1293"/>
      <c r="H51" s="1292"/>
      <c r="I51" s="1292"/>
      <c r="J51" s="1292"/>
      <c r="K51" s="1381"/>
      <c r="L51" s="1382"/>
      <c r="M51" s="1292"/>
      <c r="N51" s="1292"/>
      <c r="O51" s="1292"/>
      <c r="P51" s="1701"/>
      <c r="Q51" s="1292"/>
      <c r="R51" s="1292"/>
      <c r="S51" s="1292"/>
      <c r="T51" s="1292"/>
      <c r="U51" s="1292"/>
      <c r="V51" s="1292"/>
      <c r="W51" s="1292"/>
      <c r="X51" s="1292"/>
      <c r="Y51" s="1292"/>
      <c r="Z51" s="1292"/>
      <c r="AA51" s="1292"/>
      <c r="AB51" s="1292"/>
      <c r="AC51" s="1292"/>
    </row>
    <row r="52" spans="1:29">
      <c r="A52" s="1292"/>
      <c r="B52" s="1292"/>
      <c r="C52" s="1292"/>
      <c r="D52" s="1292"/>
      <c r="E52" s="1292"/>
      <c r="F52" s="1292"/>
      <c r="G52" s="1292"/>
      <c r="H52" s="1292"/>
      <c r="I52" s="1292"/>
      <c r="J52" s="1292"/>
      <c r="K52" s="1381"/>
      <c r="L52" s="1382"/>
      <c r="M52" s="1292"/>
      <c r="N52" s="1292"/>
      <c r="O52" s="1292"/>
      <c r="P52" s="1701"/>
      <c r="Q52" s="1292"/>
      <c r="R52" s="1292"/>
      <c r="S52" s="1292"/>
      <c r="T52" s="1292"/>
      <c r="U52" s="1292"/>
      <c r="V52" s="1292"/>
      <c r="W52" s="1292"/>
      <c r="X52" s="1292"/>
      <c r="Y52" s="1292"/>
      <c r="Z52" s="1292"/>
      <c r="AA52" s="1292"/>
      <c r="AB52" s="1292"/>
      <c r="AC52" s="1292"/>
    </row>
    <row r="53" ht="13.5" customHeight="1" spans="1:29">
      <c r="A53" s="1292"/>
      <c r="B53" s="1292"/>
      <c r="C53" s="1294" t="s">
        <v>1525</v>
      </c>
      <c r="D53" s="793"/>
      <c r="E53" s="1295">
        <f>IF(E48&lt;E49,E49/E48-1,E48/E49-1)</f>
        <v>0.239017796801081</v>
      </c>
      <c r="F53" s="1296" t="str">
        <f>IF(OR(E53&gt;=0.3,E53&lt;=-0.3),"超过30%","")</f>
        <v/>
      </c>
      <c r="G53" s="1295">
        <f>IF(G48&lt;G49,G49/G48-1,G48/G49-1)</f>
        <v>0.326993979558501</v>
      </c>
      <c r="H53" s="1296" t="str">
        <f>IF(OR(G53&gt;=0.3,G53&lt;=-0.3),"超过30%","")</f>
        <v>超过30%</v>
      </c>
      <c r="I53" s="1295">
        <f>IF(I48&lt;I49,I49/I48-1,I48/I49-1)</f>
        <v>0.216081263003304</v>
      </c>
      <c r="J53" s="1296" t="str">
        <f>IF(OR(I53&gt;=0.3,I53&lt;=-0.3),"超过30%","")</f>
        <v/>
      </c>
      <c r="K53" s="1381"/>
      <c r="L53" s="1382"/>
      <c r="M53" s="1292"/>
      <c r="N53" s="1292"/>
      <c r="O53" s="1292"/>
      <c r="P53" s="1701"/>
      <c r="Q53" s="1292"/>
      <c r="R53" s="1292"/>
      <c r="S53" s="1292"/>
      <c r="T53" s="1292"/>
      <c r="U53" s="1292"/>
      <c r="V53" s="1292"/>
      <c r="W53" s="1292"/>
      <c r="X53" s="1292"/>
      <c r="Y53" s="1292"/>
      <c r="Z53" s="1292"/>
      <c r="AA53" s="1292"/>
      <c r="AB53" s="1292"/>
      <c r="AC53" s="1292"/>
    </row>
    <row r="54" ht="13.5" customHeight="1" spans="1:29">
      <c r="A54" s="1292"/>
      <c r="B54" s="1292"/>
      <c r="C54" s="1294" t="s">
        <v>1526</v>
      </c>
      <c r="D54" s="792"/>
      <c r="E54" s="1295">
        <f>IF(E49&lt;G49,G49/E49-1,E49/G49-1)</f>
        <v>0.20674701509349</v>
      </c>
      <c r="F54" s="1296" t="str">
        <f>IF(OR(E54&gt;=0.2,E54&lt;=-0.2),"超过20%","")</f>
        <v>超过20%</v>
      </c>
      <c r="G54" s="1295">
        <f>IF(G49&lt;I49,I49/G49-1,G49/I49-1)</f>
        <v>0.048929139640191</v>
      </c>
      <c r="H54" s="1296" t="str">
        <f>IF(OR(G54&gt;=0.2,G54&lt;=-0.2),"超过20%","")</f>
        <v/>
      </c>
      <c r="I54" s="1295">
        <f>IF(I49&lt;E49,E49/I49-1,I49/E49-1)</f>
        <v>0.150456183825186</v>
      </c>
      <c r="J54" s="1296" t="str">
        <f>IF(OR(I54&gt;=0.2,I54&lt;=-0.2),"超过20%","")</f>
        <v/>
      </c>
      <c r="K54" s="1381"/>
      <c r="L54" s="1382"/>
      <c r="M54" s="1292"/>
      <c r="N54" s="1292"/>
      <c r="O54" s="1292"/>
      <c r="P54" s="1701"/>
      <c r="Q54" s="1292"/>
      <c r="R54" s="1292"/>
      <c r="S54" s="1292"/>
      <c r="T54" s="1292"/>
      <c r="U54" s="1292"/>
      <c r="V54" s="1292"/>
      <c r="W54" s="1292"/>
      <c r="X54" s="1292"/>
      <c r="Y54" s="1292"/>
      <c r="Z54" s="1292"/>
      <c r="AA54" s="1292"/>
      <c r="AB54" s="1292"/>
      <c r="AC54" s="1292"/>
    </row>
    <row r="55" s="1167" customFormat="1" ht="13.5" customHeight="1" spans="1:29">
      <c r="A55" s="1297"/>
      <c r="B55" s="1297"/>
      <c r="C55" s="1294" t="s">
        <v>1527</v>
      </c>
      <c r="D55" s="792"/>
      <c r="E55" s="1295">
        <f>IF(E48&lt;G48,G48/E48-1,E48/G48-1)</f>
        <v>0.292431818181818</v>
      </c>
      <c r="F55" s="1296" t="str">
        <f>IF(OR(E55&gt;=0.3,E55&lt;=-0.3),"超过30%","")</f>
        <v/>
      </c>
      <c r="G55" s="1295">
        <f>IF(G48&lt;I48,I48/G48-1,G48/I48-1)</f>
        <v>0.144596743352857</v>
      </c>
      <c r="H55" s="1296" t="str">
        <f>IF(OR(G55&gt;=0.3,G55&lt;=-0.3),"超过30%","")</f>
        <v/>
      </c>
      <c r="I55" s="1295">
        <f>IF(I48&lt;E48,E48/I48-1,I48/E48-1)</f>
        <v>0.129159090909091</v>
      </c>
      <c r="J55" s="1296" t="str">
        <f>IF(OR(I55&gt;=0.3,I55&lt;=-0.3),"超过30%","")</f>
        <v/>
      </c>
      <c r="K55" s="1383"/>
      <c r="L55" s="1384"/>
      <c r="M55" s="1297"/>
      <c r="N55" s="1297"/>
      <c r="O55" s="1297"/>
      <c r="P55" s="1702"/>
      <c r="Q55" s="1297"/>
      <c r="R55" s="1297"/>
      <c r="S55" s="1297"/>
      <c r="T55" s="1297"/>
      <c r="U55" s="1297"/>
      <c r="V55" s="1297"/>
      <c r="W55" s="1297"/>
      <c r="X55" s="1297"/>
      <c r="Y55" s="1297"/>
      <c r="Z55" s="1297"/>
      <c r="AA55" s="1297"/>
      <c r="AB55" s="1297"/>
      <c r="AC55" s="1297"/>
    </row>
    <row r="56" s="1167" customFormat="1" spans="1:29">
      <c r="A56" s="1297"/>
      <c r="B56" s="1298"/>
      <c r="C56" s="1634"/>
      <c r="D56" s="1297"/>
      <c r="E56" s="1297"/>
      <c r="F56" s="1297"/>
      <c r="G56" s="1297"/>
      <c r="H56" s="1297"/>
      <c r="I56" s="1297"/>
      <c r="J56" s="1297"/>
      <c r="K56" s="1383"/>
      <c r="L56" s="1384"/>
      <c r="M56" s="1297"/>
      <c r="N56" s="1297"/>
      <c r="O56" s="1297"/>
      <c r="P56" s="1702"/>
      <c r="Q56" s="1297"/>
      <c r="R56" s="1297"/>
      <c r="S56" s="1297"/>
      <c r="T56" s="1297"/>
      <c r="U56" s="1297"/>
      <c r="V56" s="1297"/>
      <c r="W56" s="1297"/>
      <c r="X56" s="1297"/>
      <c r="Y56" s="1297"/>
      <c r="Z56" s="1297"/>
      <c r="AA56" s="1297"/>
      <c r="AB56" s="1297"/>
      <c r="AC56" s="1297"/>
    </row>
    <row r="57" spans="1:29">
      <c r="A57" s="1292"/>
      <c r="B57" s="1298"/>
      <c r="C57" s="1634"/>
      <c r="D57" s="1292"/>
      <c r="E57" s="1292"/>
      <c r="F57" s="1292"/>
      <c r="G57" s="1292"/>
      <c r="H57" s="1292"/>
      <c r="I57" s="1292"/>
      <c r="J57" s="1292"/>
      <c r="K57" s="1381"/>
      <c r="L57" s="1382"/>
      <c r="M57" s="1292"/>
      <c r="N57" s="1292"/>
      <c r="O57" s="1292"/>
      <c r="P57" s="1701"/>
      <c r="Q57" s="1292"/>
      <c r="R57" s="1292"/>
      <c r="S57" s="1292"/>
      <c r="T57" s="1292"/>
      <c r="U57" s="1292"/>
      <c r="V57" s="1292"/>
      <c r="W57" s="1292"/>
      <c r="X57" s="1292"/>
      <c r="Y57" s="1292"/>
      <c r="Z57" s="1292"/>
      <c r="AA57" s="1292"/>
      <c r="AB57" s="1292"/>
      <c r="AC57" s="1292"/>
    </row>
    <row r="58" ht="21.15" spans="1:29">
      <c r="A58" s="1332" t="s">
        <v>1528</v>
      </c>
      <c r="B58" s="1333"/>
      <c r="C58" s="1334"/>
      <c r="D58" s="1334"/>
      <c r="E58" s="1334"/>
      <c r="F58" s="1335"/>
      <c r="G58" s="1335"/>
      <c r="H58" s="1334"/>
      <c r="I58" s="1334"/>
      <c r="J58" s="1334"/>
      <c r="K58" s="1391"/>
      <c r="L58" s="1579"/>
      <c r="M58" s="1393"/>
      <c r="N58" s="1394"/>
      <c r="O58" s="1394"/>
      <c r="P58" s="1703"/>
      <c r="Q58" s="1419"/>
      <c r="R58" s="1292"/>
      <c r="S58" s="1292"/>
      <c r="T58" s="1292"/>
      <c r="U58" s="1292"/>
      <c r="V58" s="1292"/>
      <c r="W58" s="1292"/>
      <c r="X58" s="1292"/>
      <c r="Y58" s="1292"/>
      <c r="Z58" s="1292"/>
      <c r="AA58" s="1292"/>
      <c r="AB58" s="1292"/>
      <c r="AC58" s="1292"/>
    </row>
    <row r="59" s="1169" customFormat="1" ht="14.4" spans="1:29">
      <c r="A59" s="1635" t="s">
        <v>1488</v>
      </c>
      <c r="B59" s="1636"/>
      <c r="C59" s="1637" t="str">
        <f>YEAR(C7)&amp;"-"&amp;MONTH(C7)</f>
        <v>2023-4</v>
      </c>
      <c r="D59" s="1638">
        <f>EDATE(C59,-1)</f>
        <v>44986</v>
      </c>
      <c r="E59" s="1638">
        <f>EDATE(D59,-1)</f>
        <v>44958</v>
      </c>
      <c r="F59" s="1638">
        <f t="shared" ref="F59:O59" si="16">EDATE(E59,-1)</f>
        <v>44927</v>
      </c>
      <c r="G59" s="1638">
        <f t="shared" si="16"/>
        <v>44896</v>
      </c>
      <c r="H59" s="1638">
        <f t="shared" si="16"/>
        <v>44866</v>
      </c>
      <c r="I59" s="1638">
        <f t="shared" si="16"/>
        <v>44835</v>
      </c>
      <c r="J59" s="1638">
        <f t="shared" si="16"/>
        <v>44805</v>
      </c>
      <c r="K59" s="1638">
        <f t="shared" si="16"/>
        <v>44774</v>
      </c>
      <c r="L59" s="1638">
        <f t="shared" si="16"/>
        <v>44743</v>
      </c>
      <c r="M59" s="1638">
        <f t="shared" si="16"/>
        <v>44713</v>
      </c>
      <c r="N59" s="1638">
        <f t="shared" si="16"/>
        <v>44682</v>
      </c>
      <c r="O59" s="1638">
        <f t="shared" si="16"/>
        <v>44652</v>
      </c>
      <c r="P59" s="1704"/>
      <c r="Q59" s="1540"/>
      <c r="R59" s="1540"/>
      <c r="S59" s="1540"/>
      <c r="T59" s="1540"/>
      <c r="U59" s="1540"/>
      <c r="V59" s="1540"/>
      <c r="W59" s="1540"/>
      <c r="X59" s="1540"/>
      <c r="Y59" s="1540"/>
      <c r="Z59" s="1540"/>
      <c r="AA59" s="1540"/>
      <c r="AB59" s="1540"/>
      <c r="AC59" s="1540"/>
    </row>
    <row r="60" s="1164" customFormat="1" spans="1:29">
      <c r="A60" s="1639"/>
      <c r="B60" s="1441"/>
      <c r="C60" s="1640">
        <v>100</v>
      </c>
      <c r="D60" s="1445">
        <v>100</v>
      </c>
      <c r="E60" s="1445">
        <v>100</v>
      </c>
      <c r="F60" s="1445">
        <v>100</v>
      </c>
      <c r="G60" s="1445">
        <v>100</v>
      </c>
      <c r="H60" s="1445">
        <v>100</v>
      </c>
      <c r="I60" s="1445">
        <v>100</v>
      </c>
      <c r="J60" s="1445">
        <v>100</v>
      </c>
      <c r="K60" s="1445">
        <v>100</v>
      </c>
      <c r="L60" s="1445">
        <v>100</v>
      </c>
      <c r="M60" s="1445">
        <v>100</v>
      </c>
      <c r="N60" s="1445">
        <v>100</v>
      </c>
      <c r="O60" s="1445">
        <v>100</v>
      </c>
      <c r="P60" s="1445">
        <v>100</v>
      </c>
      <c r="Q60" s="1541"/>
      <c r="R60" s="1541"/>
      <c r="S60" s="1541"/>
      <c r="T60" s="1541"/>
      <c r="U60" s="1541"/>
      <c r="V60" s="1541"/>
      <c r="W60" s="1541"/>
      <c r="X60" s="1541"/>
      <c r="Y60" s="1541"/>
      <c r="Z60" s="1541"/>
      <c r="AA60" s="1541"/>
      <c r="AB60" s="1541"/>
      <c r="AC60" s="1541"/>
    </row>
    <row r="61" s="1164" customFormat="1" ht="15.15" spans="1:29">
      <c r="A61" s="1436" t="s">
        <v>1529</v>
      </c>
      <c r="B61" s="1437"/>
      <c r="C61" s="1438"/>
      <c r="D61" s="1439"/>
      <c r="E61" s="1439"/>
      <c r="F61" s="1439"/>
      <c r="G61" s="1439"/>
      <c r="H61" s="1439"/>
      <c r="I61" s="1439"/>
      <c r="J61" s="1439"/>
      <c r="K61" s="1439"/>
      <c r="L61" s="1439"/>
      <c r="M61" s="1487"/>
      <c r="N61" s="1439"/>
      <c r="O61" s="1487"/>
      <c r="P61" s="1705"/>
      <c r="Q61" s="1419"/>
      <c r="R61" s="1541"/>
      <c r="S61" s="1541"/>
      <c r="T61" s="1541"/>
      <c r="U61" s="1541"/>
      <c r="V61" s="1541"/>
      <c r="W61" s="1541"/>
      <c r="X61" s="1541"/>
      <c r="Y61" s="1541"/>
      <c r="Z61" s="1541"/>
      <c r="AA61" s="1541"/>
      <c r="AB61" s="1541"/>
      <c r="AC61" s="1541"/>
    </row>
    <row r="62" s="1164" customFormat="1" ht="14.4" spans="1:29">
      <c r="A62" s="1440" t="s">
        <v>1491</v>
      </c>
      <c r="B62" s="1441"/>
      <c r="C62" s="1442" t="s">
        <v>1530</v>
      </c>
      <c r="D62" s="1443"/>
      <c r="E62" s="1443"/>
      <c r="F62" s="1443"/>
      <c r="G62" s="1443"/>
      <c r="H62" s="1443"/>
      <c r="I62" s="1443"/>
      <c r="J62" s="1443"/>
      <c r="K62" s="1443"/>
      <c r="L62" s="1489"/>
      <c r="M62" s="1490"/>
      <c r="N62" s="1491"/>
      <c r="O62" s="1491"/>
      <c r="P62" s="1706"/>
      <c r="Q62" s="1419"/>
      <c r="R62" s="1541"/>
      <c r="S62" s="1541"/>
      <c r="T62" s="1541"/>
      <c r="U62" s="1541"/>
      <c r="V62" s="1541"/>
      <c r="W62" s="1541"/>
      <c r="X62" s="1541"/>
      <c r="Y62" s="1541"/>
      <c r="Z62" s="1541"/>
      <c r="AA62" s="1541"/>
      <c r="AB62" s="1541"/>
      <c r="AC62" s="1541"/>
    </row>
    <row r="63" s="1164" customFormat="1" ht="14.55" spans="1:29">
      <c r="A63" s="1440"/>
      <c r="B63" s="1441"/>
      <c r="C63" s="1775">
        <v>100</v>
      </c>
      <c r="D63" s="1445"/>
      <c r="E63" s="1445"/>
      <c r="F63" s="1445"/>
      <c r="G63" s="1445"/>
      <c r="H63" s="1445"/>
      <c r="I63" s="1445"/>
      <c r="J63" s="1445"/>
      <c r="K63" s="1445"/>
      <c r="L63" s="1445"/>
      <c r="M63" s="1493"/>
      <c r="N63" s="1491"/>
      <c r="O63" s="1491"/>
      <c r="P63" s="1705"/>
      <c r="Q63" s="1419"/>
      <c r="R63" s="1541"/>
      <c r="S63" s="1541"/>
      <c r="T63" s="1541"/>
      <c r="U63" s="1541"/>
      <c r="V63" s="1541"/>
      <c r="W63" s="1541"/>
      <c r="X63" s="1541"/>
      <c r="Y63" s="1541"/>
      <c r="Z63" s="1541"/>
      <c r="AA63" s="1541"/>
      <c r="AB63" s="1541"/>
      <c r="AC63" s="1541"/>
    </row>
    <row r="64" ht="14.4" spans="1:29">
      <c r="A64" s="1446" t="s">
        <v>1531</v>
      </c>
      <c r="B64" s="1447" t="s">
        <v>1494</v>
      </c>
      <c r="C64" s="1469" t="str">
        <f>C9</f>
        <v>办公</v>
      </c>
      <c r="D64" s="1374"/>
      <c r="E64" s="1374"/>
      <c r="F64" s="1374"/>
      <c r="G64" s="1374"/>
      <c r="H64" s="1374"/>
      <c r="I64" s="1374"/>
      <c r="J64" s="1374"/>
      <c r="K64" s="1494"/>
      <c r="L64" s="1495"/>
      <c r="M64" s="1496"/>
      <c r="N64" s="1497"/>
      <c r="O64" s="1497"/>
      <c r="P64" s="1707"/>
      <c r="Q64" s="1419"/>
      <c r="R64" s="1292"/>
      <c r="S64" s="1292"/>
      <c r="T64" s="1292"/>
      <c r="U64" s="1292"/>
      <c r="V64" s="1292"/>
      <c r="W64" s="1292"/>
      <c r="X64" s="1292"/>
      <c r="Y64" s="1292"/>
      <c r="Z64" s="1292"/>
      <c r="AA64" s="1292"/>
      <c r="AB64" s="1292"/>
      <c r="AC64" s="1292"/>
    </row>
    <row r="65" ht="14.55" spans="1:29">
      <c r="A65" s="1448"/>
      <c r="B65" s="1449"/>
      <c r="C65" s="1450">
        <v>100</v>
      </c>
      <c r="D65" s="1450"/>
      <c r="E65" s="1450"/>
      <c r="F65" s="1450"/>
      <c r="G65" s="1450"/>
      <c r="H65" s="1450"/>
      <c r="I65" s="1450"/>
      <c r="J65" s="1450"/>
      <c r="K65" s="1450"/>
      <c r="L65" s="1450"/>
      <c r="M65" s="1499"/>
      <c r="N65" s="1500"/>
      <c r="O65" s="1500"/>
      <c r="P65" s="1707"/>
      <c r="Q65" s="1419"/>
      <c r="R65" s="1292"/>
      <c r="S65" s="1292"/>
      <c r="T65" s="1292"/>
      <c r="U65" s="1292"/>
      <c r="V65" s="1292"/>
      <c r="W65" s="1292"/>
      <c r="X65" s="1292"/>
      <c r="Y65" s="1292"/>
      <c r="Z65" s="1292"/>
      <c r="AA65" s="1292"/>
      <c r="AB65" s="1292"/>
      <c r="AC65" s="1292"/>
    </row>
    <row r="66" ht="29.55" spans="1:29">
      <c r="A66" s="1448"/>
      <c r="B66" s="1451" t="s">
        <v>1497</v>
      </c>
      <c r="C66" s="1476" t="s">
        <v>1579</v>
      </c>
      <c r="D66" s="1476" t="s">
        <v>1601</v>
      </c>
      <c r="E66" s="1476" t="s">
        <v>1602</v>
      </c>
      <c r="F66" s="1476" t="s">
        <v>1581</v>
      </c>
      <c r="G66" s="1476" t="s">
        <v>1580</v>
      </c>
      <c r="H66" s="1476" t="s">
        <v>1603</v>
      </c>
      <c r="I66" s="1476"/>
      <c r="J66" s="1476"/>
      <c r="K66" s="1527"/>
      <c r="L66" s="1528"/>
      <c r="M66" s="1529"/>
      <c r="N66" s="1497"/>
      <c r="O66" s="1497"/>
      <c r="P66" s="1707"/>
      <c r="Q66" s="1419"/>
      <c r="R66" s="1292"/>
      <c r="S66" s="1292"/>
      <c r="T66" s="1292"/>
      <c r="U66" s="1292"/>
      <c r="V66" s="1292"/>
      <c r="W66" s="1292"/>
      <c r="X66" s="1292"/>
      <c r="Y66" s="1292"/>
      <c r="Z66" s="1292"/>
      <c r="AA66" s="1292"/>
      <c r="AB66" s="1292"/>
      <c r="AC66" s="1292"/>
    </row>
    <row r="67" ht="14.55" spans="1:29">
      <c r="A67" s="1448"/>
      <c r="B67" s="1453"/>
      <c r="C67" s="1450">
        <v>100</v>
      </c>
      <c r="D67" s="1450">
        <v>102</v>
      </c>
      <c r="E67" s="1450">
        <v>104</v>
      </c>
      <c r="F67" s="1450">
        <v>106</v>
      </c>
      <c r="G67" s="1450">
        <v>108</v>
      </c>
      <c r="H67" s="1450">
        <v>110</v>
      </c>
      <c r="I67" s="1450"/>
      <c r="J67" s="1450"/>
      <c r="K67" s="1450"/>
      <c r="L67" s="1450"/>
      <c r="M67" s="1499"/>
      <c r="N67" s="1500"/>
      <c r="O67" s="1500"/>
      <c r="P67" s="1707"/>
      <c r="Q67" s="1419"/>
      <c r="R67" s="1292"/>
      <c r="S67" s="1292"/>
      <c r="T67" s="1292"/>
      <c r="U67" s="1292"/>
      <c r="V67" s="1292"/>
      <c r="W67" s="1292"/>
      <c r="X67" s="1292"/>
      <c r="Y67" s="1292"/>
      <c r="Z67" s="1292"/>
      <c r="AA67" s="1292"/>
      <c r="AB67" s="1292"/>
      <c r="AC67" s="1292"/>
    </row>
    <row r="68" ht="15.15" spans="1:29">
      <c r="A68" s="1448"/>
      <c r="B68" s="1455" t="s">
        <v>1498</v>
      </c>
      <c r="C68" s="1456" t="str">
        <f>C69&amp;"（含）"&amp;"-"&amp;D69</f>
        <v>0（含）-3</v>
      </c>
      <c r="D68" s="1456" t="str">
        <f t="shared" ref="D68:L68" si="17">D69&amp;"（含）"&amp;"-"&amp;E69</f>
        <v>3（含）-</v>
      </c>
      <c r="E68" s="1456" t="str">
        <f t="shared" si="17"/>
        <v>（含）-</v>
      </c>
      <c r="F68" s="1456" t="str">
        <f t="shared" si="17"/>
        <v>（含）-</v>
      </c>
      <c r="G68" s="1456" t="str">
        <f t="shared" si="17"/>
        <v>（含）-</v>
      </c>
      <c r="H68" s="1456" t="str">
        <f t="shared" si="17"/>
        <v>（含）-</v>
      </c>
      <c r="I68" s="1456" t="str">
        <f t="shared" si="17"/>
        <v>（含）-</v>
      </c>
      <c r="J68" s="1456" t="str">
        <f t="shared" si="17"/>
        <v>（含）-</v>
      </c>
      <c r="K68" s="1456" t="str">
        <f t="shared" si="17"/>
        <v>（含）-</v>
      </c>
      <c r="L68" s="1456" t="str">
        <f t="shared" si="17"/>
        <v>（含）-</v>
      </c>
      <c r="M68" s="1238" t="str">
        <f>M69&amp;"（含）"&amp;"-"&amp;P69</f>
        <v>（含）-</v>
      </c>
      <c r="N68" s="1500"/>
      <c r="O68" s="1500"/>
      <c r="P68" s="1707"/>
      <c r="Q68" s="1419"/>
      <c r="R68" s="1292"/>
      <c r="S68" s="1292"/>
      <c r="T68" s="1292"/>
      <c r="U68" s="1292"/>
      <c r="V68" s="1292"/>
      <c r="W68" s="1292"/>
      <c r="X68" s="1292"/>
      <c r="Y68" s="1292"/>
      <c r="Z68" s="1292"/>
      <c r="AA68" s="1292"/>
      <c r="AB68" s="1292"/>
      <c r="AC68" s="1292"/>
    </row>
    <row r="69" spans="1:29">
      <c r="A69" s="1448"/>
      <c r="B69" s="1457"/>
      <c r="C69" s="1223">
        <v>0</v>
      </c>
      <c r="D69" s="1223">
        <v>3</v>
      </c>
      <c r="E69" s="1223"/>
      <c r="F69" s="1223"/>
      <c r="G69" s="1223"/>
      <c r="H69" s="1223"/>
      <c r="I69" s="1223"/>
      <c r="J69" s="1223"/>
      <c r="K69" s="1505"/>
      <c r="L69" s="1506"/>
      <c r="M69" s="1507"/>
      <c r="N69" s="1497"/>
      <c r="O69" s="1497"/>
      <c r="P69" s="1707"/>
      <c r="Q69" s="1419"/>
      <c r="R69" s="1292"/>
      <c r="S69" s="1292"/>
      <c r="T69" s="1292"/>
      <c r="U69" s="1292"/>
      <c r="V69" s="1292"/>
      <c r="W69" s="1292"/>
      <c r="X69" s="1292"/>
      <c r="Y69" s="1292"/>
      <c r="Z69" s="1292"/>
      <c r="AA69" s="1292"/>
      <c r="AB69" s="1292"/>
      <c r="AC69" s="1292"/>
    </row>
    <row r="70" ht="14.55" spans="1:29">
      <c r="A70" s="1448"/>
      <c r="B70" s="1449"/>
      <c r="C70" s="1454">
        <v>100</v>
      </c>
      <c r="D70" s="1454">
        <f t="shared" ref="D70:M70" si="18">C70-$K11</f>
        <v>100</v>
      </c>
      <c r="E70" s="1454">
        <f t="shared" si="18"/>
        <v>100</v>
      </c>
      <c r="F70" s="1454">
        <f t="shared" si="18"/>
        <v>100</v>
      </c>
      <c r="G70" s="1454">
        <f t="shared" si="18"/>
        <v>100</v>
      </c>
      <c r="H70" s="1454">
        <f t="shared" si="18"/>
        <v>100</v>
      </c>
      <c r="I70" s="1454">
        <f t="shared" si="18"/>
        <v>100</v>
      </c>
      <c r="J70" s="1454">
        <f t="shared" si="18"/>
        <v>100</v>
      </c>
      <c r="K70" s="1454">
        <f t="shared" si="18"/>
        <v>100</v>
      </c>
      <c r="L70" s="1454">
        <f t="shared" si="18"/>
        <v>100</v>
      </c>
      <c r="M70" s="1504">
        <f t="shared" si="18"/>
        <v>100</v>
      </c>
      <c r="N70" s="1500"/>
      <c r="O70" s="1500"/>
      <c r="P70" s="1707"/>
      <c r="Q70" s="1419"/>
      <c r="R70" s="1292"/>
      <c r="S70" s="1292"/>
      <c r="T70" s="1292"/>
      <c r="U70" s="1292"/>
      <c r="V70" s="1292"/>
      <c r="W70" s="1292"/>
      <c r="X70" s="1292"/>
      <c r="Y70" s="1292"/>
      <c r="Z70" s="1292"/>
      <c r="AA70" s="1292"/>
      <c r="AB70" s="1292"/>
      <c r="AC70" s="1292"/>
    </row>
    <row r="71" s="1166" customFormat="1" ht="14.55" spans="1:29">
      <c r="A71" s="1458"/>
      <c r="B71" s="1451">
        <f>B12</f>
        <v>111</v>
      </c>
      <c r="C71" s="1459"/>
      <c r="D71" s="1459"/>
      <c r="E71" s="1459"/>
      <c r="F71" s="1459"/>
      <c r="G71" s="1459"/>
      <c r="H71" s="1460"/>
      <c r="I71" s="1460"/>
      <c r="J71" s="1460"/>
      <c r="K71" s="1460"/>
      <c r="L71" s="1508"/>
      <c r="M71" s="1509"/>
      <c r="N71" s="1510"/>
      <c r="O71" s="1510"/>
      <c r="P71" s="1708"/>
      <c r="Q71" s="1542"/>
      <c r="R71" s="1543"/>
      <c r="S71" s="1543"/>
      <c r="T71" s="1543"/>
      <c r="U71" s="1543"/>
      <c r="V71" s="1543"/>
      <c r="W71" s="1543"/>
      <c r="X71" s="1543"/>
      <c r="Y71" s="1543"/>
      <c r="Z71" s="1543"/>
      <c r="AA71" s="1543"/>
      <c r="AB71" s="1543"/>
      <c r="AC71" s="1543"/>
    </row>
    <row r="72" s="1166" customFormat="1" ht="14.55" spans="1:29">
      <c r="A72" s="1458"/>
      <c r="B72" s="1453"/>
      <c r="C72" s="1461"/>
      <c r="D72" s="1450"/>
      <c r="E72" s="1450"/>
      <c r="F72" s="1450"/>
      <c r="G72" s="1450"/>
      <c r="H72" s="1450"/>
      <c r="I72" s="1450"/>
      <c r="J72" s="1450"/>
      <c r="K72" s="1450"/>
      <c r="L72" s="1450"/>
      <c r="M72" s="1499"/>
      <c r="N72" s="1500"/>
      <c r="O72" s="1500"/>
      <c r="P72" s="1708"/>
      <c r="Q72" s="1542"/>
      <c r="R72" s="1543"/>
      <c r="S72" s="1543"/>
      <c r="T72" s="1543"/>
      <c r="U72" s="1543"/>
      <c r="V72" s="1543"/>
      <c r="W72" s="1543"/>
      <c r="X72" s="1543"/>
      <c r="Y72" s="1543"/>
      <c r="Z72" s="1543"/>
      <c r="AA72" s="1543"/>
      <c r="AB72" s="1543"/>
      <c r="AC72" s="1543"/>
    </row>
    <row r="73" s="1166" customFormat="1" ht="14.55" spans="1:29">
      <c r="A73" s="1458"/>
      <c r="B73" s="1451">
        <f>B13</f>
        <v>111</v>
      </c>
      <c r="C73" s="1459"/>
      <c r="D73" s="1459"/>
      <c r="E73" s="1459"/>
      <c r="F73" s="1459"/>
      <c r="G73" s="1459"/>
      <c r="H73" s="1460"/>
      <c r="I73" s="1460"/>
      <c r="J73" s="1460"/>
      <c r="K73" s="1460"/>
      <c r="L73" s="1508"/>
      <c r="M73" s="1509"/>
      <c r="N73" s="1510"/>
      <c r="O73" s="1510"/>
      <c r="P73" s="1709"/>
      <c r="Q73" s="1544"/>
      <c r="R73" s="1543"/>
      <c r="S73" s="1543"/>
      <c r="T73" s="1543"/>
      <c r="U73" s="1543"/>
      <c r="V73" s="1543"/>
      <c r="W73" s="1543"/>
      <c r="X73" s="1543"/>
      <c r="Y73" s="1543"/>
      <c r="Z73" s="1543"/>
      <c r="AA73" s="1543"/>
      <c r="AB73" s="1543"/>
      <c r="AC73" s="1543"/>
    </row>
    <row r="74" s="1166" customFormat="1" ht="14.55" spans="1:29">
      <c r="A74" s="1458"/>
      <c r="B74" s="1453"/>
      <c r="C74" s="1461"/>
      <c r="D74" s="1461"/>
      <c r="E74" s="1461"/>
      <c r="F74" s="1461"/>
      <c r="G74" s="1461"/>
      <c r="H74" s="1462"/>
      <c r="I74" s="1462"/>
      <c r="J74" s="1462"/>
      <c r="K74" s="1462"/>
      <c r="L74" s="1462"/>
      <c r="M74" s="1512"/>
      <c r="N74" s="1510"/>
      <c r="O74" s="1510"/>
      <c r="P74" s="1708"/>
      <c r="Q74" s="1542"/>
      <c r="R74" s="1543"/>
      <c r="S74" s="1543"/>
      <c r="T74" s="1543"/>
      <c r="U74" s="1543"/>
      <c r="V74" s="1543"/>
      <c r="W74" s="1543"/>
      <c r="X74" s="1543"/>
      <c r="Y74" s="1543"/>
      <c r="Z74" s="1543"/>
      <c r="AA74" s="1543"/>
      <c r="AB74" s="1543"/>
      <c r="AC74" s="1543"/>
    </row>
    <row r="75" s="1166" customFormat="1" ht="14.55" spans="1:29">
      <c r="A75" s="1458"/>
      <c r="B75" s="1455">
        <f>B14</f>
        <v>111</v>
      </c>
      <c r="C75" s="1443"/>
      <c r="D75" s="1443"/>
      <c r="E75" s="1443"/>
      <c r="F75" s="1443"/>
      <c r="G75" s="1443"/>
      <c r="H75" s="1463"/>
      <c r="I75" s="1463"/>
      <c r="J75" s="1463"/>
      <c r="K75" s="1463"/>
      <c r="L75" s="1513"/>
      <c r="M75" s="1514"/>
      <c r="N75" s="1510"/>
      <c r="O75" s="1510"/>
      <c r="P75" s="1803"/>
      <c r="Q75" s="1542"/>
      <c r="R75" s="1543"/>
      <c r="S75" s="1543"/>
      <c r="T75" s="1543"/>
      <c r="U75" s="1543"/>
      <c r="V75" s="1543"/>
      <c r="W75" s="1543"/>
      <c r="X75" s="1543"/>
      <c r="Y75" s="1543"/>
      <c r="Z75" s="1543"/>
      <c r="AA75" s="1543"/>
      <c r="AB75" s="1543"/>
      <c r="AC75" s="1543"/>
    </row>
    <row r="76" s="1166" customFormat="1" ht="14.55" spans="1:29">
      <c r="A76" s="1464"/>
      <c r="B76" s="1465"/>
      <c r="C76" s="1466"/>
      <c r="D76" s="1466"/>
      <c r="E76" s="1466"/>
      <c r="F76" s="1466"/>
      <c r="G76" s="1466"/>
      <c r="H76" s="1467"/>
      <c r="I76" s="1467"/>
      <c r="J76" s="1467"/>
      <c r="K76" s="1467"/>
      <c r="L76" s="1467"/>
      <c r="M76" s="1516"/>
      <c r="N76" s="1510"/>
      <c r="O76" s="1510"/>
      <c r="P76" s="1708"/>
      <c r="Q76" s="1542"/>
      <c r="R76" s="1543"/>
      <c r="S76" s="1543"/>
      <c r="T76" s="1543"/>
      <c r="U76" s="1543"/>
      <c r="V76" s="1543"/>
      <c r="W76" s="1543"/>
      <c r="X76" s="1543"/>
      <c r="Y76" s="1543"/>
      <c r="Z76" s="1543"/>
      <c r="AA76" s="1543"/>
      <c r="AB76" s="1543"/>
      <c r="AC76" s="1543"/>
    </row>
    <row r="77" ht="14.4" spans="1:29">
      <c r="A77" s="1446" t="s">
        <v>1499</v>
      </c>
      <c r="B77" s="1447" t="s">
        <v>1582</v>
      </c>
      <c r="C77" s="1468" t="s">
        <v>1532</v>
      </c>
      <c r="D77" s="1468" t="s">
        <v>1533</v>
      </c>
      <c r="E77" s="1468" t="s">
        <v>1534</v>
      </c>
      <c r="F77" s="1468" t="s">
        <v>1535</v>
      </c>
      <c r="G77" s="1468" t="s">
        <v>1536</v>
      </c>
      <c r="H77" s="1469"/>
      <c r="I77" s="1469"/>
      <c r="J77" s="1469"/>
      <c r="K77" s="1517"/>
      <c r="L77" s="1518"/>
      <c r="M77" s="1519"/>
      <c r="N77" s="1497"/>
      <c r="O77" s="1497"/>
      <c r="P77" s="1710"/>
      <c r="Q77" s="1419"/>
      <c r="R77" s="1292"/>
      <c r="S77" s="1292"/>
      <c r="T77" s="1292"/>
      <c r="U77" s="1292"/>
      <c r="V77" s="1292"/>
      <c r="W77" s="1292"/>
      <c r="X77" s="1292"/>
      <c r="Y77" s="1292"/>
      <c r="Z77" s="1292"/>
      <c r="AA77" s="1292"/>
      <c r="AB77" s="1292"/>
      <c r="AC77" s="1292"/>
    </row>
    <row r="78" ht="14.55" spans="1:29">
      <c r="A78" s="1448"/>
      <c r="B78" s="1453"/>
      <c r="C78" s="1454">
        <v>100</v>
      </c>
      <c r="D78" s="1454">
        <f>C78-$K15</f>
        <v>95</v>
      </c>
      <c r="E78" s="1454">
        <f>D78-$K15</f>
        <v>90</v>
      </c>
      <c r="F78" s="1454">
        <f>E78-$K15</f>
        <v>85</v>
      </c>
      <c r="G78" s="1454">
        <f>F78-$K15</f>
        <v>80</v>
      </c>
      <c r="H78" s="1454"/>
      <c r="I78" s="1454"/>
      <c r="J78" s="1454"/>
      <c r="K78" s="1454"/>
      <c r="L78" s="1454"/>
      <c r="M78" s="1504"/>
      <c r="N78" s="1500"/>
      <c r="O78" s="1500"/>
      <c r="P78" s="1707"/>
      <c r="Q78" s="1419"/>
      <c r="R78" s="1292"/>
      <c r="S78" s="1292"/>
      <c r="T78" s="1292"/>
      <c r="U78" s="1292"/>
      <c r="V78" s="1292"/>
      <c r="W78" s="1292"/>
      <c r="X78" s="1292"/>
      <c r="Y78" s="1292"/>
      <c r="Z78" s="1292"/>
      <c r="AA78" s="1292"/>
      <c r="AB78" s="1292"/>
      <c r="AC78" s="1292"/>
    </row>
    <row r="79" ht="15.15" spans="1:29">
      <c r="A79" s="1448"/>
      <c r="B79" s="1451" t="s">
        <v>1502</v>
      </c>
      <c r="C79" s="1470" t="s">
        <v>1532</v>
      </c>
      <c r="D79" s="1470" t="s">
        <v>1533</v>
      </c>
      <c r="E79" s="1470" t="s">
        <v>1534</v>
      </c>
      <c r="F79" s="1470" t="s">
        <v>1535</v>
      </c>
      <c r="G79" s="1470" t="s">
        <v>1536</v>
      </c>
      <c r="H79" s="1452"/>
      <c r="I79" s="1452"/>
      <c r="J79" s="1452"/>
      <c r="K79" s="1501"/>
      <c r="L79" s="1502"/>
      <c r="M79" s="1503"/>
      <c r="N79" s="1497"/>
      <c r="O79" s="1497"/>
      <c r="P79" s="1707"/>
      <c r="Q79" s="1419"/>
      <c r="R79" s="1292"/>
      <c r="S79" s="1292"/>
      <c r="T79" s="1292"/>
      <c r="U79" s="1292"/>
      <c r="V79" s="1292"/>
      <c r="W79" s="1292"/>
      <c r="X79" s="1292"/>
      <c r="Y79" s="1292"/>
      <c r="Z79" s="1292"/>
      <c r="AA79" s="1292"/>
      <c r="AB79" s="1292"/>
      <c r="AC79" s="1292"/>
    </row>
    <row r="80" ht="14.55" spans="1:29">
      <c r="A80" s="1448"/>
      <c r="B80" s="1453"/>
      <c r="C80" s="1454">
        <v>100</v>
      </c>
      <c r="D80" s="1454">
        <f>C80-$K17</f>
        <v>98</v>
      </c>
      <c r="E80" s="1454">
        <f>D80-$K17</f>
        <v>96</v>
      </c>
      <c r="F80" s="1454">
        <f>E80-$K17</f>
        <v>94</v>
      </c>
      <c r="G80" s="1454">
        <f>F80-$K17</f>
        <v>92</v>
      </c>
      <c r="H80" s="1454"/>
      <c r="I80" s="1454"/>
      <c r="J80" s="1454"/>
      <c r="K80" s="1454"/>
      <c r="L80" s="1454"/>
      <c r="M80" s="1504"/>
      <c r="N80" s="1500"/>
      <c r="O80" s="1500"/>
      <c r="P80" s="1707"/>
      <c r="Q80" s="1419"/>
      <c r="R80" s="1292"/>
      <c r="S80" s="1292"/>
      <c r="T80" s="1292"/>
      <c r="U80" s="1292"/>
      <c r="V80" s="1292"/>
      <c r="W80" s="1292"/>
      <c r="X80" s="1292"/>
      <c r="Y80" s="1292"/>
      <c r="Z80" s="1292"/>
      <c r="AA80" s="1292"/>
      <c r="AB80" s="1292"/>
      <c r="AC80" s="1292"/>
    </row>
    <row r="81" ht="15.15" spans="1:29">
      <c r="A81" s="1448"/>
      <c r="B81" s="1451" t="s">
        <v>1503</v>
      </c>
      <c r="C81" s="1470" t="s">
        <v>1532</v>
      </c>
      <c r="D81" s="1470" t="s">
        <v>1533</v>
      </c>
      <c r="E81" s="1470" t="s">
        <v>1534</v>
      </c>
      <c r="F81" s="1470" t="s">
        <v>1535</v>
      </c>
      <c r="G81" s="1470" t="s">
        <v>1536</v>
      </c>
      <c r="H81" s="1452"/>
      <c r="I81" s="1452"/>
      <c r="J81" s="1452"/>
      <c r="K81" s="1501"/>
      <c r="L81" s="1502"/>
      <c r="M81" s="1503"/>
      <c r="N81" s="1497"/>
      <c r="O81" s="1497"/>
      <c r="P81" s="1707"/>
      <c r="Q81" s="1419"/>
      <c r="R81" s="1292"/>
      <c r="S81" s="1292"/>
      <c r="T81" s="1292"/>
      <c r="U81" s="1292"/>
      <c r="V81" s="1292"/>
      <c r="W81" s="1292"/>
      <c r="X81" s="1292"/>
      <c r="Y81" s="1292"/>
      <c r="Z81" s="1292"/>
      <c r="AA81" s="1292"/>
      <c r="AB81" s="1292"/>
      <c r="AC81" s="1292"/>
    </row>
    <row r="82" ht="14.55" spans="1:29">
      <c r="A82" s="1448"/>
      <c r="B82" s="1453"/>
      <c r="C82" s="1454">
        <v>100</v>
      </c>
      <c r="D82" s="1454">
        <f>C82-$K19</f>
        <v>98</v>
      </c>
      <c r="E82" s="1454">
        <f>D82-$K19</f>
        <v>96</v>
      </c>
      <c r="F82" s="1454">
        <f>E82-$K19</f>
        <v>94</v>
      </c>
      <c r="G82" s="1454">
        <f>F82-$K19</f>
        <v>92</v>
      </c>
      <c r="H82" s="1454"/>
      <c r="I82" s="1454"/>
      <c r="J82" s="1454"/>
      <c r="K82" s="1454"/>
      <c r="L82" s="1454"/>
      <c r="M82" s="1504"/>
      <c r="N82" s="1500"/>
      <c r="O82" s="1500"/>
      <c r="P82" s="1707"/>
      <c r="Q82" s="1419"/>
      <c r="R82" s="1292"/>
      <c r="S82" s="1292"/>
      <c r="T82" s="1292"/>
      <c r="U82" s="1292"/>
      <c r="V82" s="1292"/>
      <c r="W82" s="1292"/>
      <c r="X82" s="1292"/>
      <c r="Y82" s="1292"/>
      <c r="Z82" s="1292"/>
      <c r="AA82" s="1292"/>
      <c r="AB82" s="1292"/>
      <c r="AC82" s="1292"/>
    </row>
    <row r="83" ht="15.15" spans="1:29">
      <c r="A83" s="1448"/>
      <c r="B83" s="1455" t="s">
        <v>1504</v>
      </c>
      <c r="C83" s="1475" t="s">
        <v>1537</v>
      </c>
      <c r="D83" s="1475" t="s">
        <v>1538</v>
      </c>
      <c r="E83" s="1475" t="s">
        <v>1539</v>
      </c>
      <c r="F83" s="1475" t="s">
        <v>1540</v>
      </c>
      <c r="G83" s="1475" t="s">
        <v>1541</v>
      </c>
      <c r="H83" s="1452"/>
      <c r="I83" s="1452"/>
      <c r="J83" s="1452"/>
      <c r="K83" s="1452"/>
      <c r="L83" s="1452"/>
      <c r="M83" s="1653"/>
      <c r="N83" s="1500"/>
      <c r="O83" s="1500"/>
      <c r="P83" s="1707"/>
      <c r="Q83" s="1419"/>
      <c r="R83" s="1292"/>
      <c r="S83" s="1292"/>
      <c r="T83" s="1292"/>
      <c r="U83" s="1292"/>
      <c r="V83" s="1292"/>
      <c r="W83" s="1292"/>
      <c r="X83" s="1292"/>
      <c r="Y83" s="1292"/>
      <c r="Z83" s="1292"/>
      <c r="AA83" s="1292"/>
      <c r="AB83" s="1292"/>
      <c r="AC83" s="1292"/>
    </row>
    <row r="84" ht="14.55" spans="1:29">
      <c r="A84" s="1448"/>
      <c r="B84" s="1455"/>
      <c r="C84" s="1454">
        <v>100</v>
      </c>
      <c r="D84" s="1454">
        <f>C84-$K21</f>
        <v>98</v>
      </c>
      <c r="E84" s="1454">
        <f>D84-$K21</f>
        <v>96</v>
      </c>
      <c r="F84" s="1454">
        <f>E84-$K21</f>
        <v>94</v>
      </c>
      <c r="G84" s="1454">
        <f>F84-$K21</f>
        <v>92</v>
      </c>
      <c r="H84" s="1475"/>
      <c r="I84" s="1475"/>
      <c r="J84" s="1475"/>
      <c r="K84" s="1475"/>
      <c r="L84" s="1475"/>
      <c r="M84" s="1240"/>
      <c r="N84" s="1500"/>
      <c r="O84" s="1500"/>
      <c r="P84" s="1707"/>
      <c r="Q84" s="1419"/>
      <c r="R84" s="1292"/>
      <c r="S84" s="1292"/>
      <c r="T84" s="1292"/>
      <c r="U84" s="1292"/>
      <c r="V84" s="1292"/>
      <c r="W84" s="1292"/>
      <c r="X84" s="1292"/>
      <c r="Y84" s="1292"/>
      <c r="Z84" s="1292"/>
      <c r="AA84" s="1292"/>
      <c r="AB84" s="1292"/>
      <c r="AC84" s="1292"/>
    </row>
    <row r="85" ht="15.15" spans="1:29">
      <c r="A85" s="1448"/>
      <c r="B85" s="1451" t="s">
        <v>1585</v>
      </c>
      <c r="C85" s="1470" t="s">
        <v>1532</v>
      </c>
      <c r="D85" s="1470" t="s">
        <v>1533</v>
      </c>
      <c r="E85" s="1470" t="s">
        <v>1534</v>
      </c>
      <c r="F85" s="1470" t="s">
        <v>1535</v>
      </c>
      <c r="G85" s="1470" t="s">
        <v>1536</v>
      </c>
      <c r="H85" s="1452"/>
      <c r="I85" s="1452"/>
      <c r="J85" s="1452"/>
      <c r="K85" s="1501"/>
      <c r="L85" s="1502"/>
      <c r="M85" s="1503"/>
      <c r="N85" s="1497"/>
      <c r="O85" s="1497"/>
      <c r="P85" s="1707"/>
      <c r="Q85" s="1419"/>
      <c r="R85" s="1292"/>
      <c r="S85" s="1292"/>
      <c r="T85" s="1292"/>
      <c r="U85" s="1292"/>
      <c r="V85" s="1292"/>
      <c r="W85" s="1292"/>
      <c r="X85" s="1292"/>
      <c r="Y85" s="1292"/>
      <c r="Z85" s="1292"/>
      <c r="AA85" s="1292"/>
      <c r="AB85" s="1292"/>
      <c r="AC85" s="1292"/>
    </row>
    <row r="86" ht="14.55" spans="1:29">
      <c r="A86" s="1448"/>
      <c r="B86" s="1453"/>
      <c r="C86" s="1454">
        <v>100</v>
      </c>
      <c r="D86" s="1454">
        <f>C86-$K23</f>
        <v>98</v>
      </c>
      <c r="E86" s="1454">
        <f>D86-$K23</f>
        <v>96</v>
      </c>
      <c r="F86" s="1454">
        <f>E86-$K23</f>
        <v>94</v>
      </c>
      <c r="G86" s="1454">
        <f>F86-$K23</f>
        <v>92</v>
      </c>
      <c r="H86" s="1454"/>
      <c r="I86" s="1454"/>
      <c r="J86" s="1454"/>
      <c r="K86" s="1454"/>
      <c r="L86" s="1454"/>
      <c r="M86" s="1504"/>
      <c r="N86" s="1500"/>
      <c r="O86" s="1500"/>
      <c r="P86" s="1707"/>
      <c r="Q86" s="1419"/>
      <c r="R86" s="1292"/>
      <c r="S86" s="1292"/>
      <c r="T86" s="1292"/>
      <c r="U86" s="1292"/>
      <c r="V86" s="1292"/>
      <c r="W86" s="1292"/>
      <c r="X86" s="1292"/>
      <c r="Y86" s="1292"/>
      <c r="Z86" s="1292"/>
      <c r="AA86" s="1292"/>
      <c r="AB86" s="1292"/>
      <c r="AC86" s="1292"/>
    </row>
    <row r="87" s="1164" customFormat="1" ht="29.55" spans="1:29">
      <c r="A87" s="1471"/>
      <c r="B87" s="1451" t="s">
        <v>1586</v>
      </c>
      <c r="C87" s="1459"/>
      <c r="D87" s="1459"/>
      <c r="E87" s="1459"/>
      <c r="F87" s="1459"/>
      <c r="G87" s="1459"/>
      <c r="H87" s="1459"/>
      <c r="I87" s="1459"/>
      <c r="J87" s="1459"/>
      <c r="K87" s="1459"/>
      <c r="L87" s="1654"/>
      <c r="M87" s="1655"/>
      <c r="N87" s="1491"/>
      <c r="O87" s="1491"/>
      <c r="P87" s="1707"/>
      <c r="Q87" s="1419"/>
      <c r="R87" s="1541"/>
      <c r="S87" s="1541"/>
      <c r="T87" s="1541"/>
      <c r="U87" s="1541"/>
      <c r="V87" s="1541"/>
      <c r="W87" s="1541"/>
      <c r="X87" s="1541"/>
      <c r="Y87" s="1541"/>
      <c r="Z87" s="1541"/>
      <c r="AA87" s="1541"/>
      <c r="AB87" s="1541"/>
      <c r="AC87" s="1541"/>
    </row>
    <row r="88" s="1164" customFormat="1" ht="14.55" spans="1:29">
      <c r="A88" s="1471"/>
      <c r="B88" s="1453"/>
      <c r="C88" s="1472">
        <v>100</v>
      </c>
      <c r="D88" s="1454">
        <f t="shared" ref="D88:M88" si="19">C88-$K25</f>
        <v>100</v>
      </c>
      <c r="E88" s="1454">
        <f t="shared" si="19"/>
        <v>100</v>
      </c>
      <c r="F88" s="1454">
        <f t="shared" si="19"/>
        <v>100</v>
      </c>
      <c r="G88" s="1454">
        <f t="shared" si="19"/>
        <v>100</v>
      </c>
      <c r="H88" s="1454">
        <f t="shared" si="19"/>
        <v>100</v>
      </c>
      <c r="I88" s="1454">
        <f t="shared" si="19"/>
        <v>100</v>
      </c>
      <c r="J88" s="1454">
        <f t="shared" si="19"/>
        <v>100</v>
      </c>
      <c r="K88" s="1454">
        <f t="shared" si="19"/>
        <v>100</v>
      </c>
      <c r="L88" s="1454">
        <f t="shared" si="19"/>
        <v>100</v>
      </c>
      <c r="M88" s="1454">
        <f t="shared" si="19"/>
        <v>100</v>
      </c>
      <c r="N88" s="1500"/>
      <c r="O88" s="1500"/>
      <c r="P88" s="1707"/>
      <c r="Q88" s="1419"/>
      <c r="R88" s="1541"/>
      <c r="S88" s="1541"/>
      <c r="T88" s="1541"/>
      <c r="U88" s="1541"/>
      <c r="V88" s="1541"/>
      <c r="W88" s="1541"/>
      <c r="X88" s="1541"/>
      <c r="Y88" s="1541"/>
      <c r="Z88" s="1541"/>
      <c r="AA88" s="1541"/>
      <c r="AB88" s="1541"/>
      <c r="AC88" s="1541"/>
    </row>
    <row r="89" s="1164" customFormat="1" ht="15.15" spans="1:29">
      <c r="A89" s="1471"/>
      <c r="B89" s="1451" t="str">
        <f>B27</f>
        <v>楼层</v>
      </c>
      <c r="C89" s="1799" t="s">
        <v>1588</v>
      </c>
      <c r="D89" s="1799" t="s">
        <v>1587</v>
      </c>
      <c r="E89" s="1799" t="s">
        <v>1604</v>
      </c>
      <c r="F89" s="1800"/>
      <c r="G89" s="1459"/>
      <c r="H89" s="1459"/>
      <c r="I89" s="1459"/>
      <c r="J89" s="1459"/>
      <c r="K89" s="1459"/>
      <c r="L89" s="1459"/>
      <c r="M89" s="1655"/>
      <c r="N89" s="1491"/>
      <c r="O89" s="1491"/>
      <c r="P89" s="1707"/>
      <c r="Q89" s="1419"/>
      <c r="R89" s="1541"/>
      <c r="S89" s="1541"/>
      <c r="T89" s="1541"/>
      <c r="U89" s="1541"/>
      <c r="V89" s="1541"/>
      <c r="W89" s="1541"/>
      <c r="X89" s="1541"/>
      <c r="Y89" s="1541"/>
      <c r="Z89" s="1541"/>
      <c r="AA89" s="1541"/>
      <c r="AB89" s="1541"/>
      <c r="AC89" s="1541"/>
    </row>
    <row r="90" s="1164" customFormat="1" ht="14.55" spans="1:29">
      <c r="A90" s="1471"/>
      <c r="B90" s="1453"/>
      <c r="C90" s="1472">
        <v>100</v>
      </c>
      <c r="D90" s="1454">
        <f>C90-$K27</f>
        <v>95</v>
      </c>
      <c r="E90" s="1454">
        <f t="shared" ref="E90:M90" si="20">D90-$K27</f>
        <v>90</v>
      </c>
      <c r="F90" s="1454">
        <f t="shared" si="20"/>
        <v>85</v>
      </c>
      <c r="G90" s="1454">
        <f t="shared" si="20"/>
        <v>80</v>
      </c>
      <c r="H90" s="1454">
        <f t="shared" si="20"/>
        <v>75</v>
      </c>
      <c r="I90" s="1454">
        <f t="shared" si="20"/>
        <v>70</v>
      </c>
      <c r="J90" s="1454">
        <f t="shared" si="20"/>
        <v>65</v>
      </c>
      <c r="K90" s="1454">
        <f t="shared" si="20"/>
        <v>60</v>
      </c>
      <c r="L90" s="1454">
        <f t="shared" si="20"/>
        <v>55</v>
      </c>
      <c r="M90" s="1454">
        <f t="shared" si="20"/>
        <v>50</v>
      </c>
      <c r="N90" s="1500"/>
      <c r="O90" s="1500"/>
      <c r="P90" s="1707"/>
      <c r="Q90" s="1419"/>
      <c r="R90" s="1541"/>
      <c r="S90" s="1541"/>
      <c r="T90" s="1541"/>
      <c r="U90" s="1541"/>
      <c r="V90" s="1541"/>
      <c r="W90" s="1541"/>
      <c r="X90" s="1541"/>
      <c r="Y90" s="1541"/>
      <c r="Z90" s="1541"/>
      <c r="AA90" s="1541"/>
      <c r="AB90" s="1541"/>
      <c r="AC90" s="1541"/>
    </row>
    <row r="91" s="1166" customFormat="1" ht="15.15" spans="1:29">
      <c r="A91" s="1458"/>
      <c r="B91" s="1451" t="str">
        <f>B28</f>
        <v>朝向</v>
      </c>
      <c r="C91" s="1459"/>
      <c r="D91" s="1459"/>
      <c r="E91" s="1459"/>
      <c r="F91" s="1459"/>
      <c r="G91" s="1459"/>
      <c r="H91" s="1460"/>
      <c r="I91" s="1460"/>
      <c r="J91" s="1460"/>
      <c r="K91" s="1460"/>
      <c r="L91" s="1508"/>
      <c r="M91" s="1509"/>
      <c r="N91" s="1510"/>
      <c r="O91" s="1510"/>
      <c r="P91" s="1708"/>
      <c r="Q91" s="1542"/>
      <c r="R91" s="1543"/>
      <c r="S91" s="1543"/>
      <c r="T91" s="1543"/>
      <c r="U91" s="1543"/>
      <c r="V91" s="1543"/>
      <c r="W91" s="1543"/>
      <c r="X91" s="1543"/>
      <c r="Y91" s="1543"/>
      <c r="Z91" s="1543"/>
      <c r="AA91" s="1543"/>
      <c r="AB91" s="1543"/>
      <c r="AC91" s="1543"/>
    </row>
    <row r="92" s="1166" customFormat="1" ht="14.55" spans="1:29">
      <c r="A92" s="1458"/>
      <c r="B92" s="1453"/>
      <c r="C92" s="1472">
        <v>100</v>
      </c>
      <c r="D92" s="1454">
        <f t="shared" ref="D92:M92" si="21">C92-$K28</f>
        <v>100</v>
      </c>
      <c r="E92" s="1454">
        <f t="shared" si="21"/>
        <v>100</v>
      </c>
      <c r="F92" s="1454">
        <f t="shared" si="21"/>
        <v>100</v>
      </c>
      <c r="G92" s="1454">
        <f t="shared" si="21"/>
        <v>100</v>
      </c>
      <c r="H92" s="1454">
        <f t="shared" si="21"/>
        <v>100</v>
      </c>
      <c r="I92" s="1454">
        <f t="shared" si="21"/>
        <v>100</v>
      </c>
      <c r="J92" s="1454">
        <f t="shared" si="21"/>
        <v>100</v>
      </c>
      <c r="K92" s="1454">
        <f t="shared" si="21"/>
        <v>100</v>
      </c>
      <c r="L92" s="1454">
        <f t="shared" si="21"/>
        <v>100</v>
      </c>
      <c r="M92" s="1454">
        <f t="shared" si="21"/>
        <v>100</v>
      </c>
      <c r="N92" s="1510"/>
      <c r="O92" s="1510"/>
      <c r="P92" s="1708"/>
      <c r="Q92" s="1542"/>
      <c r="R92" s="1543"/>
      <c r="S92" s="1543"/>
      <c r="T92" s="1543"/>
      <c r="U92" s="1543"/>
      <c r="V92" s="1543"/>
      <c r="W92" s="1543"/>
      <c r="X92" s="1543"/>
      <c r="Y92" s="1543"/>
      <c r="Z92" s="1543"/>
      <c r="AA92" s="1543"/>
      <c r="AB92" s="1543"/>
      <c r="AC92" s="1543"/>
    </row>
    <row r="93" ht="14.55" spans="1:29">
      <c r="A93" s="1448"/>
      <c r="B93" s="1451">
        <f>B29</f>
        <v>111</v>
      </c>
      <c r="C93" s="1459"/>
      <c r="D93" s="1459"/>
      <c r="E93" s="1459"/>
      <c r="F93" s="1459"/>
      <c r="G93" s="1459"/>
      <c r="H93" s="1459"/>
      <c r="I93" s="1459"/>
      <c r="J93" s="1459"/>
      <c r="K93" s="1459"/>
      <c r="L93" s="1654"/>
      <c r="M93" s="1655"/>
      <c r="N93" s="1497"/>
      <c r="O93" s="1497"/>
      <c r="P93" s="1707"/>
      <c r="Q93" s="1419"/>
      <c r="R93" s="1292"/>
      <c r="S93" s="1292"/>
      <c r="T93" s="1292"/>
      <c r="U93" s="1292"/>
      <c r="V93" s="1292"/>
      <c r="W93" s="1292"/>
      <c r="X93" s="1292"/>
      <c r="Y93" s="1292"/>
      <c r="Z93" s="1292"/>
      <c r="AA93" s="1292"/>
      <c r="AB93" s="1292"/>
      <c r="AC93" s="1292"/>
    </row>
    <row r="94" ht="14.55" spans="1:29">
      <c r="A94" s="1448"/>
      <c r="B94" s="1453"/>
      <c r="C94" s="1461"/>
      <c r="D94" s="1450"/>
      <c r="E94" s="1450"/>
      <c r="F94" s="1450"/>
      <c r="G94" s="1450"/>
      <c r="H94" s="1450"/>
      <c r="I94" s="1450"/>
      <c r="J94" s="1450"/>
      <c r="K94" s="1450"/>
      <c r="L94" s="1450"/>
      <c r="M94" s="1499"/>
      <c r="N94" s="1500"/>
      <c r="O94" s="1500"/>
      <c r="P94" s="1707"/>
      <c r="Q94" s="1419"/>
      <c r="R94" s="1292"/>
      <c r="S94" s="1292"/>
      <c r="T94" s="1292"/>
      <c r="U94" s="1292"/>
      <c r="V94" s="1292"/>
      <c r="W94" s="1292"/>
      <c r="X94" s="1292"/>
      <c r="Y94" s="1292"/>
      <c r="Z94" s="1292"/>
      <c r="AA94" s="1292"/>
      <c r="AB94" s="1292"/>
      <c r="AC94" s="1292"/>
    </row>
    <row r="95" ht="14.55" spans="1:29">
      <c r="A95" s="1448"/>
      <c r="B95" s="1451">
        <f>B30</f>
        <v>111</v>
      </c>
      <c r="C95" s="1459"/>
      <c r="D95" s="1459"/>
      <c r="E95" s="1459"/>
      <c r="F95" s="1459"/>
      <c r="G95" s="1476"/>
      <c r="H95" s="1476"/>
      <c r="I95" s="1476"/>
      <c r="J95" s="1476"/>
      <c r="K95" s="1527"/>
      <c r="L95" s="1528"/>
      <c r="M95" s="1529"/>
      <c r="N95" s="1497"/>
      <c r="O95" s="1497"/>
      <c r="P95" s="1707"/>
      <c r="Q95" s="1419"/>
      <c r="R95" s="1292"/>
      <c r="S95" s="1292"/>
      <c r="T95" s="1292"/>
      <c r="U95" s="1292"/>
      <c r="V95" s="1292"/>
      <c r="W95" s="1292"/>
      <c r="X95" s="1292"/>
      <c r="Y95" s="1292"/>
      <c r="Z95" s="1292"/>
      <c r="AA95" s="1292"/>
      <c r="AB95" s="1292"/>
      <c r="AC95" s="1292"/>
    </row>
    <row r="96" ht="14.55" spans="1:29">
      <c r="A96" s="1448"/>
      <c r="B96" s="1453"/>
      <c r="C96" s="1461"/>
      <c r="D96" s="1461"/>
      <c r="E96" s="1461"/>
      <c r="F96" s="1461"/>
      <c r="G96" s="1450"/>
      <c r="H96" s="1450"/>
      <c r="I96" s="1450"/>
      <c r="J96" s="1450"/>
      <c r="K96" s="1450"/>
      <c r="L96" s="1450"/>
      <c r="M96" s="1499"/>
      <c r="N96" s="1500"/>
      <c r="O96" s="1500"/>
      <c r="P96" s="1707"/>
      <c r="Q96" s="1419"/>
      <c r="R96" s="1292"/>
      <c r="S96" s="1292"/>
      <c r="T96" s="1292"/>
      <c r="U96" s="1292"/>
      <c r="V96" s="1292"/>
      <c r="W96" s="1292"/>
      <c r="X96" s="1292"/>
      <c r="Y96" s="1292"/>
      <c r="Z96" s="1292"/>
      <c r="AA96" s="1292"/>
      <c r="AB96" s="1292"/>
      <c r="AC96" s="1292"/>
    </row>
    <row r="97" ht="14.55" spans="1:29">
      <c r="A97" s="1448"/>
      <c r="B97" s="1451">
        <f>B31</f>
        <v>111</v>
      </c>
      <c r="C97" s="1459"/>
      <c r="D97" s="1459"/>
      <c r="E97" s="1459"/>
      <c r="F97" s="1459"/>
      <c r="G97" s="1476"/>
      <c r="H97" s="1476"/>
      <c r="I97" s="1476"/>
      <c r="J97" s="1476"/>
      <c r="K97" s="1527"/>
      <c r="L97" s="1528"/>
      <c r="M97" s="1529"/>
      <c r="N97" s="1497"/>
      <c r="O97" s="1497"/>
      <c r="P97" s="1707"/>
      <c r="Q97" s="1419"/>
      <c r="R97" s="1292"/>
      <c r="S97" s="1292"/>
      <c r="T97" s="1292"/>
      <c r="U97" s="1292"/>
      <c r="V97" s="1292"/>
      <c r="W97" s="1292"/>
      <c r="X97" s="1292"/>
      <c r="Y97" s="1292"/>
      <c r="Z97" s="1292"/>
      <c r="AA97" s="1292"/>
      <c r="AB97" s="1292"/>
      <c r="AC97" s="1292"/>
    </row>
    <row r="98" ht="14.55" spans="1:29">
      <c r="A98" s="1448"/>
      <c r="B98" s="1453"/>
      <c r="C98" s="1461"/>
      <c r="D98" s="1450"/>
      <c r="E98" s="1450"/>
      <c r="F98" s="1450"/>
      <c r="G98" s="1450"/>
      <c r="H98" s="1450"/>
      <c r="I98" s="1450"/>
      <c r="J98" s="1450"/>
      <c r="K98" s="1450"/>
      <c r="L98" s="1450"/>
      <c r="M98" s="1499"/>
      <c r="N98" s="1500"/>
      <c r="O98" s="1500"/>
      <c r="P98" s="1707"/>
      <c r="Q98" s="1419"/>
      <c r="R98" s="1292"/>
      <c r="S98" s="1292"/>
      <c r="T98" s="1292"/>
      <c r="U98" s="1292"/>
      <c r="V98" s="1292"/>
      <c r="W98" s="1292"/>
      <c r="X98" s="1292"/>
      <c r="Y98" s="1292"/>
      <c r="Z98" s="1292"/>
      <c r="AA98" s="1292"/>
      <c r="AB98" s="1292"/>
      <c r="AC98" s="1292"/>
    </row>
    <row r="99" ht="14.55" spans="1:29">
      <c r="A99" s="1448"/>
      <c r="B99" s="1455">
        <f>B32</f>
        <v>111</v>
      </c>
      <c r="C99" s="1443"/>
      <c r="D99" s="1443"/>
      <c r="E99" s="1443"/>
      <c r="F99" s="1443"/>
      <c r="G99" s="1477"/>
      <c r="H99" s="1477"/>
      <c r="I99" s="1477"/>
      <c r="J99" s="1477"/>
      <c r="K99" s="1530"/>
      <c r="L99" s="1531"/>
      <c r="M99" s="1532"/>
      <c r="N99" s="1497"/>
      <c r="O99" s="1497"/>
      <c r="P99" s="1707"/>
      <c r="Q99" s="1419"/>
      <c r="R99" s="1292"/>
      <c r="S99" s="1292"/>
      <c r="T99" s="1292"/>
      <c r="U99" s="1292"/>
      <c r="V99" s="1292"/>
      <c r="W99" s="1292"/>
      <c r="X99" s="1292"/>
      <c r="Y99" s="1292"/>
      <c r="Z99" s="1292"/>
      <c r="AA99" s="1292"/>
      <c r="AB99" s="1292"/>
      <c r="AC99" s="1292"/>
    </row>
    <row r="100" ht="14.55" spans="1:29">
      <c r="A100" s="1757"/>
      <c r="B100" s="1465"/>
      <c r="C100" s="1466"/>
      <c r="D100" s="1466"/>
      <c r="E100" s="1466"/>
      <c r="F100" s="1466"/>
      <c r="G100" s="1478"/>
      <c r="H100" s="1478"/>
      <c r="I100" s="1478"/>
      <c r="J100" s="1478"/>
      <c r="K100" s="1478"/>
      <c r="L100" s="1478"/>
      <c r="M100" s="1533"/>
      <c r="N100" s="1500"/>
      <c r="O100" s="1500"/>
      <c r="P100" s="1707"/>
      <c r="Q100" s="1419"/>
      <c r="R100" s="1292"/>
      <c r="S100" s="1292"/>
      <c r="T100" s="1292"/>
      <c r="U100" s="1292"/>
      <c r="V100" s="1292"/>
      <c r="W100" s="1292"/>
      <c r="X100" s="1292"/>
      <c r="Y100" s="1292"/>
      <c r="Z100" s="1292"/>
      <c r="AA100" s="1292"/>
      <c r="AB100" s="1292"/>
      <c r="AC100" s="1292"/>
    </row>
    <row r="101" ht="14.4" spans="1:29">
      <c r="A101" s="1446" t="s">
        <v>1508</v>
      </c>
      <c r="B101" s="1447" t="s">
        <v>1509</v>
      </c>
      <c r="C101" s="1801" t="s">
        <v>1590</v>
      </c>
      <c r="D101" s="1801" t="s">
        <v>1589</v>
      </c>
      <c r="E101" s="1374"/>
      <c r="F101" s="1374"/>
      <c r="G101" s="1374"/>
      <c r="H101" s="1374"/>
      <c r="I101" s="1374"/>
      <c r="J101" s="1374"/>
      <c r="K101" s="1494"/>
      <c r="L101" s="1495"/>
      <c r="M101" s="1496"/>
      <c r="N101" s="1497"/>
      <c r="O101" s="1497"/>
      <c r="P101" s="1707"/>
      <c r="Q101" s="1419"/>
      <c r="R101" s="1292"/>
      <c r="S101" s="1292"/>
      <c r="T101" s="1292"/>
      <c r="U101" s="1292"/>
      <c r="V101" s="1292"/>
      <c r="W101" s="1292"/>
      <c r="X101" s="1292"/>
      <c r="Y101" s="1292"/>
      <c r="Z101" s="1292"/>
      <c r="AA101" s="1292"/>
      <c r="AB101" s="1292"/>
      <c r="AC101" s="1292"/>
    </row>
    <row r="102" ht="14.55" spans="1:29">
      <c r="A102" s="1448"/>
      <c r="B102" s="1453"/>
      <c r="C102" s="1454">
        <v>100</v>
      </c>
      <c r="D102" s="1454">
        <f t="shared" ref="D102:M102" si="22">C102-$K33</f>
        <v>97</v>
      </c>
      <c r="E102" s="1454">
        <f t="shared" si="22"/>
        <v>94</v>
      </c>
      <c r="F102" s="1454">
        <f t="shared" si="22"/>
        <v>91</v>
      </c>
      <c r="G102" s="1454">
        <f t="shared" si="22"/>
        <v>88</v>
      </c>
      <c r="H102" s="1454">
        <f t="shared" si="22"/>
        <v>85</v>
      </c>
      <c r="I102" s="1454">
        <f t="shared" si="22"/>
        <v>82</v>
      </c>
      <c r="J102" s="1454">
        <f t="shared" si="22"/>
        <v>79</v>
      </c>
      <c r="K102" s="1454">
        <f t="shared" si="22"/>
        <v>76</v>
      </c>
      <c r="L102" s="1454">
        <f t="shared" si="22"/>
        <v>73</v>
      </c>
      <c r="M102" s="1504">
        <f t="shared" si="22"/>
        <v>70</v>
      </c>
      <c r="N102" s="1500"/>
      <c r="O102" s="1500"/>
      <c r="P102" s="1707"/>
      <c r="Q102" s="1419"/>
      <c r="R102" s="1292"/>
      <c r="S102" s="1292"/>
      <c r="T102" s="1292"/>
      <c r="U102" s="1292"/>
      <c r="V102" s="1292"/>
      <c r="W102" s="1292"/>
      <c r="X102" s="1292"/>
      <c r="Y102" s="1292"/>
      <c r="Z102" s="1292"/>
      <c r="AA102" s="1292"/>
      <c r="AB102" s="1292"/>
      <c r="AC102" s="1292"/>
    </row>
    <row r="103" ht="28.95" spans="1:29">
      <c r="A103" s="1448"/>
      <c r="B103" s="1451" t="s">
        <v>1511</v>
      </c>
      <c r="C103" s="1470" t="str">
        <f>C104&amp;"(含)"&amp;"-"&amp;D104</f>
        <v>0(含)-1000</v>
      </c>
      <c r="D103" s="1470" t="str">
        <f t="shared" ref="D103:L103" si="23">D104&amp;"(含)"&amp;"-"&amp;E104</f>
        <v>1000(含)-2000</v>
      </c>
      <c r="E103" s="1470" t="str">
        <f t="shared" si="23"/>
        <v>2000(含)-5000</v>
      </c>
      <c r="F103" s="1470" t="str">
        <f t="shared" si="23"/>
        <v>5000(含)-10000</v>
      </c>
      <c r="G103" s="1470" t="str">
        <f t="shared" si="23"/>
        <v>10000(含)-20000</v>
      </c>
      <c r="H103" s="1470" t="str">
        <f t="shared" si="23"/>
        <v>20000(含)-</v>
      </c>
      <c r="I103" s="1470" t="str">
        <f t="shared" si="23"/>
        <v>(含)-</v>
      </c>
      <c r="J103" s="1470" t="str">
        <f t="shared" si="23"/>
        <v>(含)-</v>
      </c>
      <c r="K103" s="1470" t="str">
        <f t="shared" si="23"/>
        <v>(含)-</v>
      </c>
      <c r="L103" s="1470" t="str">
        <f t="shared" si="23"/>
        <v>(含)-</v>
      </c>
      <c r="M103" s="1522" t="str">
        <f>M104&amp;"(含)"&amp;"-"&amp;P104</f>
        <v>(含)-</v>
      </c>
      <c r="N103" s="1491"/>
      <c r="O103" s="1491"/>
      <c r="P103" s="1707"/>
      <c r="Q103" s="1419"/>
      <c r="R103" s="1292"/>
      <c r="S103" s="1292"/>
      <c r="T103" s="1292"/>
      <c r="U103" s="1292"/>
      <c r="V103" s="1292"/>
      <c r="W103" s="1292"/>
      <c r="X103" s="1292"/>
      <c r="Y103" s="1292"/>
      <c r="Z103" s="1292"/>
      <c r="AA103" s="1292"/>
      <c r="AB103" s="1292"/>
      <c r="AC103" s="1292"/>
    </row>
    <row r="104" s="1166" customFormat="1" spans="1:29">
      <c r="A104" s="1479"/>
      <c r="B104" s="1480"/>
      <c r="C104" s="1435">
        <v>0</v>
      </c>
      <c r="D104" s="1435">
        <v>1000</v>
      </c>
      <c r="E104" s="1435">
        <v>2000</v>
      </c>
      <c r="F104" s="1435">
        <v>5000</v>
      </c>
      <c r="G104" s="1435">
        <v>10000</v>
      </c>
      <c r="H104" s="1435">
        <v>20000</v>
      </c>
      <c r="I104" s="1435"/>
      <c r="J104" s="1534"/>
      <c r="K104" s="1534"/>
      <c r="L104" s="1535"/>
      <c r="M104" s="1536"/>
      <c r="N104" s="1510"/>
      <c r="O104" s="1510"/>
      <c r="P104" s="1708"/>
      <c r="Q104" s="1542"/>
      <c r="R104" s="1543"/>
      <c r="S104" s="1543"/>
      <c r="T104" s="1543"/>
      <c r="U104" s="1543"/>
      <c r="V104" s="1543"/>
      <c r="W104" s="1543"/>
      <c r="X104" s="1543"/>
      <c r="Y104" s="1543"/>
      <c r="Z104" s="1543"/>
      <c r="AA104" s="1543"/>
      <c r="AB104" s="1543"/>
      <c r="AC104" s="1543"/>
    </row>
    <row r="105" s="1166" customFormat="1" ht="14.55" spans="1:29">
      <c r="A105" s="1458"/>
      <c r="B105" s="1453"/>
      <c r="C105" s="1461">
        <v>100</v>
      </c>
      <c r="D105" s="1450">
        <v>98</v>
      </c>
      <c r="E105" s="1461">
        <v>96</v>
      </c>
      <c r="F105" s="1450">
        <v>94</v>
      </c>
      <c r="G105" s="1461">
        <v>92</v>
      </c>
      <c r="H105" s="1450">
        <v>90</v>
      </c>
      <c r="I105" s="1450"/>
      <c r="J105" s="1450"/>
      <c r="K105" s="1450"/>
      <c r="L105" s="1450"/>
      <c r="M105" s="1499"/>
      <c r="N105" s="1500"/>
      <c r="O105" s="1500"/>
      <c r="P105" s="1708"/>
      <c r="Q105" s="1542"/>
      <c r="R105" s="1543"/>
      <c r="S105" s="1543"/>
      <c r="T105" s="1543"/>
      <c r="U105" s="1543"/>
      <c r="V105" s="1543"/>
      <c r="W105" s="1543"/>
      <c r="X105" s="1543"/>
      <c r="Y105" s="1543"/>
      <c r="Z105" s="1543"/>
      <c r="AA105" s="1543"/>
      <c r="AB105" s="1543"/>
      <c r="AC105" s="1543"/>
    </row>
    <row r="106" ht="15.15" spans="1:29">
      <c r="A106" s="1482"/>
      <c r="B106" s="1451" t="s">
        <v>1512</v>
      </c>
      <c r="C106" s="1799" t="s">
        <v>1592</v>
      </c>
      <c r="D106" s="1799" t="s">
        <v>1591</v>
      </c>
      <c r="E106" s="1476"/>
      <c r="F106" s="1476"/>
      <c r="G106" s="1476"/>
      <c r="H106" s="1476"/>
      <c r="I106" s="1476"/>
      <c r="J106" s="1476"/>
      <c r="K106" s="1527"/>
      <c r="L106" s="1528"/>
      <c r="M106" s="1529"/>
      <c r="N106" s="1497"/>
      <c r="O106" s="1497"/>
      <c r="P106" s="1707"/>
      <c r="Q106" s="1419"/>
      <c r="R106" s="1292"/>
      <c r="S106" s="1292"/>
      <c r="T106" s="1292"/>
      <c r="U106" s="1292"/>
      <c r="V106" s="1292"/>
      <c r="W106" s="1292"/>
      <c r="X106" s="1292"/>
      <c r="Y106" s="1292"/>
      <c r="Z106" s="1292"/>
      <c r="AA106" s="1292"/>
      <c r="AB106" s="1292"/>
      <c r="AC106" s="1292"/>
    </row>
    <row r="107" ht="14.55" spans="1:29">
      <c r="A107" s="1448"/>
      <c r="B107" s="1453"/>
      <c r="C107" s="1454">
        <v>100</v>
      </c>
      <c r="D107" s="1454">
        <f t="shared" ref="D107:M107" si="24">C107-$K35</f>
        <v>98</v>
      </c>
      <c r="E107" s="1454">
        <f t="shared" si="24"/>
        <v>96</v>
      </c>
      <c r="F107" s="1454">
        <f t="shared" si="24"/>
        <v>94</v>
      </c>
      <c r="G107" s="1454">
        <f t="shared" si="24"/>
        <v>92</v>
      </c>
      <c r="H107" s="1454">
        <f t="shared" si="24"/>
        <v>90</v>
      </c>
      <c r="I107" s="1454">
        <f t="shared" si="24"/>
        <v>88</v>
      </c>
      <c r="J107" s="1454">
        <f t="shared" si="24"/>
        <v>86</v>
      </c>
      <c r="K107" s="1454">
        <f t="shared" si="24"/>
        <v>84</v>
      </c>
      <c r="L107" s="1454">
        <f t="shared" si="24"/>
        <v>82</v>
      </c>
      <c r="M107" s="1504">
        <f t="shared" si="24"/>
        <v>80</v>
      </c>
      <c r="N107" s="1500"/>
      <c r="O107" s="1500"/>
      <c r="P107" s="1707"/>
      <c r="Q107" s="1419"/>
      <c r="R107" s="1292"/>
      <c r="S107" s="1292"/>
      <c r="T107" s="1292"/>
      <c r="U107" s="1292"/>
      <c r="V107" s="1292"/>
      <c r="W107" s="1292"/>
      <c r="X107" s="1292"/>
      <c r="Y107" s="1292"/>
      <c r="Z107" s="1292"/>
      <c r="AA107" s="1292"/>
      <c r="AB107" s="1292"/>
      <c r="AC107" s="1292"/>
    </row>
    <row r="108" ht="15.15" spans="1:29">
      <c r="A108" s="1482"/>
      <c r="B108" s="1451" t="s">
        <v>1514</v>
      </c>
      <c r="C108" s="1459"/>
      <c r="D108" s="1459"/>
      <c r="E108" s="1459"/>
      <c r="F108" s="1476"/>
      <c r="G108" s="1476"/>
      <c r="H108" s="1476"/>
      <c r="I108" s="1476"/>
      <c r="J108" s="1476"/>
      <c r="K108" s="1527"/>
      <c r="L108" s="1528"/>
      <c r="M108" s="1529"/>
      <c r="N108" s="1497"/>
      <c r="O108" s="1497"/>
      <c r="P108" s="1707"/>
      <c r="Q108" s="1419"/>
      <c r="R108" s="1292"/>
      <c r="S108" s="1292"/>
      <c r="T108" s="1292"/>
      <c r="U108" s="1292"/>
      <c r="V108" s="1292"/>
      <c r="W108" s="1292"/>
      <c r="X108" s="1292"/>
      <c r="Y108" s="1292"/>
      <c r="Z108" s="1292"/>
      <c r="AA108" s="1292"/>
      <c r="AB108" s="1292"/>
      <c r="AC108" s="1292"/>
    </row>
    <row r="109" ht="14.55" spans="1:29">
      <c r="A109" s="1448"/>
      <c r="B109" s="1453"/>
      <c r="C109" s="1454">
        <v>100</v>
      </c>
      <c r="D109" s="1454">
        <f t="shared" ref="D109:M109" si="25">C109-$K36</f>
        <v>100</v>
      </c>
      <c r="E109" s="1454">
        <f t="shared" si="25"/>
        <v>100</v>
      </c>
      <c r="F109" s="1454">
        <f t="shared" si="25"/>
        <v>100</v>
      </c>
      <c r="G109" s="1454">
        <f t="shared" si="25"/>
        <v>100</v>
      </c>
      <c r="H109" s="1454">
        <f t="shared" si="25"/>
        <v>100</v>
      </c>
      <c r="I109" s="1454">
        <f t="shared" si="25"/>
        <v>100</v>
      </c>
      <c r="J109" s="1454">
        <f t="shared" si="25"/>
        <v>100</v>
      </c>
      <c r="K109" s="1454">
        <f t="shared" si="25"/>
        <v>100</v>
      </c>
      <c r="L109" s="1454">
        <f t="shared" si="25"/>
        <v>100</v>
      </c>
      <c r="M109" s="1504">
        <f t="shared" si="25"/>
        <v>100</v>
      </c>
      <c r="N109" s="1500"/>
      <c r="O109" s="1500"/>
      <c r="P109" s="1707"/>
      <c r="Q109" s="1419"/>
      <c r="R109" s="1292"/>
      <c r="S109" s="1292"/>
      <c r="T109" s="1292"/>
      <c r="U109" s="1292"/>
      <c r="V109" s="1292"/>
      <c r="W109" s="1292"/>
      <c r="X109" s="1292"/>
      <c r="Y109" s="1292"/>
      <c r="Z109" s="1292"/>
      <c r="AA109" s="1292"/>
      <c r="AB109" s="1292"/>
      <c r="AC109" s="1292"/>
    </row>
    <row r="110" ht="15.15" spans="1:29">
      <c r="A110" s="1482"/>
      <c r="B110" s="1451" t="s">
        <v>636</v>
      </c>
      <c r="C110" s="1470" t="str">
        <f>C111&amp;"(含)"&amp;"-"&amp;D111</f>
        <v>0.5(含)-0.6</v>
      </c>
      <c r="D110" s="1470" t="str">
        <f>D111&amp;"(含)"&amp;"-"&amp;E111</f>
        <v>0.6(含)-0.7</v>
      </c>
      <c r="E110" s="1470" t="str">
        <f>E111&amp;"(含)"&amp;"-"&amp;F111</f>
        <v>0.7(含)-0.8</v>
      </c>
      <c r="F110" s="1470" t="str">
        <f>F111&amp;"(含)"&amp;"-"&amp;G111</f>
        <v>0.8(含)-0.9</v>
      </c>
      <c r="G110" s="1470" t="str">
        <f>G111&amp;"(含)"&amp;"-"&amp;ROUND(H111,0)&amp;"(含)"</f>
        <v>0.9(含)-1(含)</v>
      </c>
      <c r="H110" s="1470"/>
      <c r="I110" s="1476"/>
      <c r="J110" s="1476"/>
      <c r="K110" s="1527"/>
      <c r="L110" s="1528"/>
      <c r="M110" s="1529"/>
      <c r="N110" s="1497"/>
      <c r="O110" s="1497"/>
      <c r="P110" s="1707"/>
      <c r="Q110" s="1419"/>
      <c r="R110" s="1292"/>
      <c r="S110" s="1292"/>
      <c r="T110" s="1292"/>
      <c r="U110" s="1292"/>
      <c r="V110" s="1292"/>
      <c r="W110" s="1292"/>
      <c r="X110" s="1292"/>
      <c r="Y110" s="1292"/>
      <c r="Z110" s="1292"/>
      <c r="AA110" s="1292"/>
      <c r="AB110" s="1292"/>
      <c r="AC110" s="1292"/>
    </row>
    <row r="111" spans="1:29">
      <c r="A111" s="1482"/>
      <c r="B111" s="1455"/>
      <c r="C111" s="928">
        <v>0.5</v>
      </c>
      <c r="D111" s="928">
        <v>0.6</v>
      </c>
      <c r="E111" s="928">
        <v>0.7</v>
      </c>
      <c r="F111" s="928">
        <v>0.8</v>
      </c>
      <c r="G111" s="928">
        <v>0.9</v>
      </c>
      <c r="H111" s="928">
        <v>1.0001</v>
      </c>
      <c r="I111" s="1715"/>
      <c r="J111" s="1715"/>
      <c r="K111" s="1716"/>
      <c r="L111" s="1717"/>
      <c r="M111" s="1718"/>
      <c r="N111" s="1497"/>
      <c r="O111" s="1497"/>
      <c r="P111" s="1707"/>
      <c r="Q111" s="1419"/>
      <c r="R111" s="1292"/>
      <c r="S111" s="1292"/>
      <c r="T111" s="1292"/>
      <c r="U111" s="1292"/>
      <c r="V111" s="1292"/>
      <c r="W111" s="1292"/>
      <c r="X111" s="1292"/>
      <c r="Y111" s="1292"/>
      <c r="Z111" s="1292"/>
      <c r="AA111" s="1292"/>
      <c r="AB111" s="1292"/>
      <c r="AC111" s="1292"/>
    </row>
    <row r="112" ht="14.55" spans="1:29">
      <c r="A112" s="1448"/>
      <c r="B112" s="1453"/>
      <c r="C112" s="1472">
        <v>100</v>
      </c>
      <c r="D112" s="1454">
        <f>C112+$K37</f>
        <v>102</v>
      </c>
      <c r="E112" s="1454">
        <f t="shared" ref="E112:M112" si="26">D112+$K37</f>
        <v>104</v>
      </c>
      <c r="F112" s="1454">
        <f t="shared" si="26"/>
        <v>106</v>
      </c>
      <c r="G112" s="1454">
        <f t="shared" si="26"/>
        <v>108</v>
      </c>
      <c r="H112" s="1454">
        <f t="shared" si="26"/>
        <v>110</v>
      </c>
      <c r="I112" s="1454">
        <f t="shared" si="26"/>
        <v>112</v>
      </c>
      <c r="J112" s="1454">
        <f t="shared" si="26"/>
        <v>114</v>
      </c>
      <c r="K112" s="1454">
        <f t="shared" si="26"/>
        <v>116</v>
      </c>
      <c r="L112" s="1454">
        <f t="shared" si="26"/>
        <v>118</v>
      </c>
      <c r="M112" s="1454">
        <f t="shared" si="26"/>
        <v>120</v>
      </c>
      <c r="N112" s="1500"/>
      <c r="O112" s="1500"/>
      <c r="P112" s="1707"/>
      <c r="Q112" s="1419"/>
      <c r="R112" s="1292"/>
      <c r="S112" s="1292"/>
      <c r="T112" s="1292"/>
      <c r="U112" s="1292"/>
      <c r="V112" s="1292"/>
      <c r="W112" s="1292"/>
      <c r="X112" s="1292"/>
      <c r="Y112" s="1292"/>
      <c r="Z112" s="1292"/>
      <c r="AA112" s="1292"/>
      <c r="AB112" s="1292"/>
      <c r="AC112" s="1292"/>
    </row>
    <row r="113" s="1166" customFormat="1" ht="15.15" spans="1:29">
      <c r="A113" s="1479"/>
      <c r="B113" s="1451" t="s">
        <v>1593</v>
      </c>
      <c r="C113" s="1799" t="s">
        <v>1605</v>
      </c>
      <c r="D113" s="1459"/>
      <c r="E113" s="1459"/>
      <c r="F113" s="1459"/>
      <c r="G113" s="1459"/>
      <c r="H113" s="1476"/>
      <c r="I113" s="1476"/>
      <c r="J113" s="1476"/>
      <c r="K113" s="1527"/>
      <c r="L113" s="1528"/>
      <c r="M113" s="1529"/>
      <c r="N113" s="1510"/>
      <c r="O113" s="1510"/>
      <c r="P113" s="1708"/>
      <c r="Q113" s="1542"/>
      <c r="R113" s="1543"/>
      <c r="S113" s="1543"/>
      <c r="T113" s="1543"/>
      <c r="U113" s="1543"/>
      <c r="V113" s="1543"/>
      <c r="W113" s="1543"/>
      <c r="X113" s="1543"/>
      <c r="Y113" s="1543"/>
      <c r="Z113" s="1543"/>
      <c r="AA113" s="1543"/>
      <c r="AB113" s="1543"/>
      <c r="AC113" s="1543"/>
    </row>
    <row r="114" s="1166" customFormat="1" ht="14.55" spans="1:29">
      <c r="A114" s="1458"/>
      <c r="B114" s="1453"/>
      <c r="C114" s="1454">
        <v>100</v>
      </c>
      <c r="D114" s="1454">
        <f>C114-$K38</f>
        <v>100</v>
      </c>
      <c r="E114" s="1454">
        <f t="shared" ref="E114:M114" si="27">D114-$K38</f>
        <v>100</v>
      </c>
      <c r="F114" s="1454">
        <f t="shared" si="27"/>
        <v>100</v>
      </c>
      <c r="G114" s="1454">
        <f t="shared" si="27"/>
        <v>100</v>
      </c>
      <c r="H114" s="1454">
        <f t="shared" si="27"/>
        <v>100</v>
      </c>
      <c r="I114" s="1454">
        <f t="shared" si="27"/>
        <v>100</v>
      </c>
      <c r="J114" s="1454">
        <f t="shared" si="27"/>
        <v>100</v>
      </c>
      <c r="K114" s="1454">
        <f t="shared" si="27"/>
        <v>100</v>
      </c>
      <c r="L114" s="1454">
        <f t="shared" si="27"/>
        <v>100</v>
      </c>
      <c r="M114" s="1454">
        <f t="shared" si="27"/>
        <v>100</v>
      </c>
      <c r="N114" s="1510"/>
      <c r="O114" s="1510"/>
      <c r="P114" s="1708"/>
      <c r="Q114" s="1542"/>
      <c r="R114" s="1543"/>
      <c r="S114" s="1543"/>
      <c r="T114" s="1543"/>
      <c r="U114" s="1543"/>
      <c r="V114" s="1543"/>
      <c r="W114" s="1543"/>
      <c r="X114" s="1543"/>
      <c r="Y114" s="1543"/>
      <c r="Z114" s="1543"/>
      <c r="AA114" s="1543"/>
      <c r="AB114" s="1543"/>
      <c r="AC114" s="1543"/>
    </row>
    <row r="115" ht="15.15" spans="1:29">
      <c r="A115" s="1482"/>
      <c r="B115" s="1451" t="s">
        <v>1515</v>
      </c>
      <c r="C115" s="1799" t="s">
        <v>1595</v>
      </c>
      <c r="D115" s="1799" t="s">
        <v>1594</v>
      </c>
      <c r="E115" s="1476"/>
      <c r="F115" s="1476"/>
      <c r="G115" s="1476"/>
      <c r="H115" s="1476"/>
      <c r="I115" s="1476"/>
      <c r="J115" s="1476"/>
      <c r="K115" s="1527"/>
      <c r="L115" s="1528"/>
      <c r="M115" s="1529"/>
      <c r="N115" s="1497"/>
      <c r="O115" s="1497"/>
      <c r="P115" s="1707"/>
      <c r="Q115" s="1419"/>
      <c r="R115" s="1292"/>
      <c r="S115" s="1292"/>
      <c r="T115" s="1292"/>
      <c r="U115" s="1292"/>
      <c r="V115" s="1292"/>
      <c r="W115" s="1292"/>
      <c r="X115" s="1292"/>
      <c r="Y115" s="1292"/>
      <c r="Z115" s="1292"/>
      <c r="AA115" s="1292"/>
      <c r="AB115" s="1292"/>
      <c r="AC115" s="1292"/>
    </row>
    <row r="116" ht="14.55" spans="1:29">
      <c r="A116" s="1448"/>
      <c r="B116" s="1453"/>
      <c r="C116" s="1454">
        <v>100</v>
      </c>
      <c r="D116" s="1454">
        <f t="shared" ref="D116:M116" si="28">C116-$K39</f>
        <v>98</v>
      </c>
      <c r="E116" s="1454">
        <f t="shared" si="28"/>
        <v>96</v>
      </c>
      <c r="F116" s="1454">
        <f t="shared" si="28"/>
        <v>94</v>
      </c>
      <c r="G116" s="1454">
        <f t="shared" si="28"/>
        <v>92</v>
      </c>
      <c r="H116" s="1454">
        <f t="shared" si="28"/>
        <v>90</v>
      </c>
      <c r="I116" s="1454">
        <f t="shared" si="28"/>
        <v>88</v>
      </c>
      <c r="J116" s="1454">
        <f t="shared" si="28"/>
        <v>86</v>
      </c>
      <c r="K116" s="1454">
        <f t="shared" si="28"/>
        <v>84</v>
      </c>
      <c r="L116" s="1454">
        <f t="shared" si="28"/>
        <v>82</v>
      </c>
      <c r="M116" s="1504">
        <f t="shared" si="28"/>
        <v>80</v>
      </c>
      <c r="N116" s="1500"/>
      <c r="O116" s="1500"/>
      <c r="P116" s="1707"/>
      <c r="Q116" s="1419"/>
      <c r="R116" s="1292"/>
      <c r="S116" s="1292"/>
      <c r="T116" s="1292"/>
      <c r="U116" s="1292"/>
      <c r="V116" s="1292"/>
      <c r="W116" s="1292"/>
      <c r="X116" s="1292"/>
      <c r="Y116" s="1292"/>
      <c r="Z116" s="1292"/>
      <c r="AA116" s="1292"/>
      <c r="AB116" s="1292"/>
      <c r="AC116" s="1292"/>
    </row>
    <row r="117" ht="15.15" spans="1:29">
      <c r="A117" s="1482"/>
      <c r="B117" s="1451" t="s">
        <v>1516</v>
      </c>
      <c r="C117" s="1459"/>
      <c r="D117" s="1459"/>
      <c r="E117" s="1459"/>
      <c r="F117" s="1459"/>
      <c r="G117" s="1459"/>
      <c r="H117" s="1476"/>
      <c r="I117" s="1476"/>
      <c r="J117" s="1476"/>
      <c r="K117" s="1527"/>
      <c r="L117" s="1528"/>
      <c r="M117" s="1529"/>
      <c r="N117" s="1497"/>
      <c r="O117" s="1497"/>
      <c r="P117" s="1707"/>
      <c r="Q117" s="1419"/>
      <c r="R117" s="1292"/>
      <c r="S117" s="1292"/>
      <c r="T117" s="1292"/>
      <c r="U117" s="1292"/>
      <c r="V117" s="1292"/>
      <c r="W117" s="1292"/>
      <c r="X117" s="1292"/>
      <c r="Y117" s="1292"/>
      <c r="Z117" s="1292"/>
      <c r="AA117" s="1292"/>
      <c r="AB117" s="1292"/>
      <c r="AC117" s="1292"/>
    </row>
    <row r="118" ht="14.55" spans="1:29">
      <c r="A118" s="1448"/>
      <c r="B118" s="1453"/>
      <c r="C118" s="1454">
        <v>100</v>
      </c>
      <c r="D118" s="1454">
        <f>C118-$K40</f>
        <v>100</v>
      </c>
      <c r="E118" s="1454">
        <f>D118-$K40</f>
        <v>100</v>
      </c>
      <c r="F118" s="1454">
        <f>E118-$K40</f>
        <v>100</v>
      </c>
      <c r="G118" s="1454">
        <f>F118-$K40</f>
        <v>100</v>
      </c>
      <c r="H118" s="1454"/>
      <c r="I118" s="1454"/>
      <c r="J118" s="1454"/>
      <c r="K118" s="1454"/>
      <c r="L118" s="1454"/>
      <c r="M118" s="1504"/>
      <c r="N118" s="1500"/>
      <c r="O118" s="1500"/>
      <c r="P118" s="1707"/>
      <c r="Q118" s="1419"/>
      <c r="R118" s="1292"/>
      <c r="S118" s="1292"/>
      <c r="T118" s="1292"/>
      <c r="U118" s="1292"/>
      <c r="V118" s="1292"/>
      <c r="W118" s="1292"/>
      <c r="X118" s="1292"/>
      <c r="Y118" s="1292"/>
      <c r="Z118" s="1292"/>
      <c r="AA118" s="1292"/>
      <c r="AB118" s="1292"/>
      <c r="AC118" s="1292"/>
    </row>
    <row r="119" ht="15.15" spans="1:29">
      <c r="A119" s="1482"/>
      <c r="B119" s="1651" t="s">
        <v>1606</v>
      </c>
      <c r="C119" s="1802" t="s">
        <v>1607</v>
      </c>
      <c r="D119" s="1802" t="s">
        <v>1596</v>
      </c>
      <c r="E119" s="1476"/>
      <c r="F119" s="1476"/>
      <c r="G119" s="1476"/>
      <c r="H119" s="1476"/>
      <c r="I119" s="1476"/>
      <c r="J119" s="1476"/>
      <c r="K119" s="1476"/>
      <c r="L119" s="1804"/>
      <c r="M119" s="1805"/>
      <c r="N119" s="1500"/>
      <c r="O119" s="1500"/>
      <c r="P119" s="1719"/>
      <c r="Q119" s="1662"/>
      <c r="R119" s="1292"/>
      <c r="S119" s="1292"/>
      <c r="T119" s="1292"/>
      <c r="U119" s="1292"/>
      <c r="V119" s="1292"/>
      <c r="W119" s="1292"/>
      <c r="X119" s="1292"/>
      <c r="Y119" s="1292"/>
      <c r="Z119" s="1292"/>
      <c r="AA119" s="1292"/>
      <c r="AB119" s="1292"/>
      <c r="AC119" s="1292"/>
    </row>
    <row r="120" ht="14.55" spans="1:29">
      <c r="A120" s="1448"/>
      <c r="B120" s="1453"/>
      <c r="C120" s="1472">
        <v>100</v>
      </c>
      <c r="D120" s="1454">
        <f>C120-$K41</f>
        <v>98</v>
      </c>
      <c r="E120" s="1454">
        <f t="shared" ref="E120:M120" si="29">D120-$K41</f>
        <v>96</v>
      </c>
      <c r="F120" s="1454">
        <f t="shared" si="29"/>
        <v>94</v>
      </c>
      <c r="G120" s="1454">
        <f t="shared" si="29"/>
        <v>92</v>
      </c>
      <c r="H120" s="1454">
        <f t="shared" si="29"/>
        <v>90</v>
      </c>
      <c r="I120" s="1454">
        <f t="shared" si="29"/>
        <v>88</v>
      </c>
      <c r="J120" s="1454">
        <f t="shared" si="29"/>
        <v>86</v>
      </c>
      <c r="K120" s="1454">
        <f t="shared" si="29"/>
        <v>84</v>
      </c>
      <c r="L120" s="1454">
        <f t="shared" si="29"/>
        <v>82</v>
      </c>
      <c r="M120" s="1454">
        <f t="shared" si="29"/>
        <v>80</v>
      </c>
      <c r="N120" s="1500"/>
      <c r="O120" s="1500"/>
      <c r="P120" s="1707"/>
      <c r="Q120" s="1419"/>
      <c r="R120" s="1292"/>
      <c r="S120" s="1292"/>
      <c r="T120" s="1292"/>
      <c r="U120" s="1292"/>
      <c r="V120" s="1292"/>
      <c r="W120" s="1292"/>
      <c r="X120" s="1292"/>
      <c r="Y120" s="1292"/>
      <c r="Z120" s="1292"/>
      <c r="AA120" s="1292"/>
      <c r="AB120" s="1292"/>
      <c r="AC120" s="1292"/>
    </row>
    <row r="121" s="1166" customFormat="1" ht="15.15" spans="1:29">
      <c r="A121" s="1479"/>
      <c r="B121" s="1451" t="s">
        <v>1571</v>
      </c>
      <c r="C121" s="1459"/>
      <c r="D121" s="1459"/>
      <c r="E121" s="1459"/>
      <c r="F121" s="1476"/>
      <c r="G121" s="1460"/>
      <c r="H121" s="1460"/>
      <c r="I121" s="1460"/>
      <c r="J121" s="1460"/>
      <c r="K121" s="1460"/>
      <c r="L121" s="1508"/>
      <c r="M121" s="1509"/>
      <c r="N121" s="1510"/>
      <c r="O121" s="1510"/>
      <c r="P121" s="1708"/>
      <c r="Q121" s="1542"/>
      <c r="R121" s="1543"/>
      <c r="S121" s="1543"/>
      <c r="T121" s="1543"/>
      <c r="U121" s="1543"/>
      <c r="V121" s="1543"/>
      <c r="W121" s="1543"/>
      <c r="X121" s="1543"/>
      <c r="Y121" s="1543"/>
      <c r="Z121" s="1543"/>
      <c r="AA121" s="1543"/>
      <c r="AB121" s="1543"/>
      <c r="AC121" s="1543"/>
    </row>
    <row r="122" s="1166" customFormat="1" ht="14.55" spans="1:29">
      <c r="A122" s="1458"/>
      <c r="B122" s="1449"/>
      <c r="C122" s="1461"/>
      <c r="D122" s="1461"/>
      <c r="E122" s="1461"/>
      <c r="F122" s="1461"/>
      <c r="G122" s="1461"/>
      <c r="H122" s="1461"/>
      <c r="I122" s="1461"/>
      <c r="J122" s="1461"/>
      <c r="K122" s="1461"/>
      <c r="L122" s="1461"/>
      <c r="M122" s="1461"/>
      <c r="N122" s="1510"/>
      <c r="O122" s="1510"/>
      <c r="P122" s="1708"/>
      <c r="Q122" s="1542"/>
      <c r="R122" s="1543"/>
      <c r="S122" s="1543"/>
      <c r="T122" s="1543"/>
      <c r="U122" s="1543"/>
      <c r="V122" s="1543"/>
      <c r="W122" s="1543"/>
      <c r="X122" s="1543"/>
      <c r="Y122" s="1543"/>
      <c r="Z122" s="1543"/>
      <c r="AA122" s="1543"/>
      <c r="AB122" s="1543"/>
      <c r="AC122" s="1543"/>
    </row>
    <row r="123" ht="15.15" spans="1:29">
      <c r="A123" s="1482"/>
      <c r="B123" s="1451" t="s">
        <v>1519</v>
      </c>
      <c r="C123" s="1799" t="s">
        <v>1608</v>
      </c>
      <c r="D123" s="1799" t="s">
        <v>1598</v>
      </c>
      <c r="E123" s="1799" t="s">
        <v>1609</v>
      </c>
      <c r="F123" s="1802" t="s">
        <v>1599</v>
      </c>
      <c r="G123" s="1476"/>
      <c r="H123" s="1476"/>
      <c r="I123" s="1476"/>
      <c r="J123" s="1476"/>
      <c r="K123" s="1527"/>
      <c r="L123" s="1528"/>
      <c r="M123" s="1529"/>
      <c r="N123" s="1497"/>
      <c r="O123" s="1497"/>
      <c r="P123" s="1707"/>
      <c r="Q123" s="1419"/>
      <c r="R123" s="1292"/>
      <c r="S123" s="1292"/>
      <c r="T123" s="1292"/>
      <c r="U123" s="1292"/>
      <c r="V123" s="1292"/>
      <c r="W123" s="1292"/>
      <c r="X123" s="1292"/>
      <c r="Y123" s="1292"/>
      <c r="Z123" s="1292"/>
      <c r="AA123" s="1292"/>
      <c r="AB123" s="1292"/>
      <c r="AC123" s="1292"/>
    </row>
    <row r="124" ht="14.55" spans="1:29">
      <c r="A124" s="1448"/>
      <c r="B124" s="1453"/>
      <c r="C124" s="1454">
        <v>100</v>
      </c>
      <c r="D124" s="1454">
        <f t="shared" ref="D124:M124" si="30">C124-$K43</f>
        <v>99</v>
      </c>
      <c r="E124" s="1454">
        <f t="shared" si="30"/>
        <v>98</v>
      </c>
      <c r="F124" s="1454">
        <f t="shared" si="30"/>
        <v>97</v>
      </c>
      <c r="G124" s="1454">
        <f t="shared" si="30"/>
        <v>96</v>
      </c>
      <c r="H124" s="1454">
        <f t="shared" si="30"/>
        <v>95</v>
      </c>
      <c r="I124" s="1454">
        <f t="shared" si="30"/>
        <v>94</v>
      </c>
      <c r="J124" s="1454">
        <f t="shared" si="30"/>
        <v>93</v>
      </c>
      <c r="K124" s="1454">
        <f t="shared" si="30"/>
        <v>92</v>
      </c>
      <c r="L124" s="1454">
        <f t="shared" si="30"/>
        <v>91</v>
      </c>
      <c r="M124" s="1504">
        <f t="shared" si="30"/>
        <v>90</v>
      </c>
      <c r="N124" s="1500"/>
      <c r="O124" s="1500"/>
      <c r="P124" s="1707"/>
      <c r="Q124" s="1419"/>
      <c r="R124" s="1292"/>
      <c r="S124" s="1292"/>
      <c r="T124" s="1292"/>
      <c r="U124" s="1292"/>
      <c r="V124" s="1292"/>
      <c r="W124" s="1292"/>
      <c r="X124" s="1292"/>
      <c r="Y124" s="1292"/>
      <c r="Z124" s="1292"/>
      <c r="AA124" s="1292"/>
      <c r="AB124" s="1292"/>
      <c r="AC124" s="1292"/>
    </row>
    <row r="125" ht="29.55" spans="1:29">
      <c r="A125" s="1482"/>
      <c r="B125" s="1451" t="s">
        <v>1520</v>
      </c>
      <c r="C125" s="1470" t="s">
        <v>1532</v>
      </c>
      <c r="D125" s="1470" t="s">
        <v>1533</v>
      </c>
      <c r="E125" s="1470" t="s">
        <v>1534</v>
      </c>
      <c r="F125" s="1470" t="s">
        <v>1535</v>
      </c>
      <c r="G125" s="1470" t="s">
        <v>1536</v>
      </c>
      <c r="H125" s="1452"/>
      <c r="I125" s="1452"/>
      <c r="J125" s="1452"/>
      <c r="K125" s="1501"/>
      <c r="L125" s="1502"/>
      <c r="M125" s="1503"/>
      <c r="N125" s="1497"/>
      <c r="O125" s="1497"/>
      <c r="P125" s="1708"/>
      <c r="Q125" s="1419"/>
      <c r="R125" s="1292"/>
      <c r="S125" s="1292"/>
      <c r="T125" s="1292"/>
      <c r="U125" s="1292"/>
      <c r="V125" s="1292"/>
      <c r="W125" s="1292"/>
      <c r="X125" s="1292"/>
      <c r="Y125" s="1292"/>
      <c r="Z125" s="1292"/>
      <c r="AA125" s="1292"/>
      <c r="AB125" s="1292"/>
      <c r="AC125" s="1292"/>
    </row>
    <row r="126" ht="14.55" spans="1:29">
      <c r="A126" s="1448"/>
      <c r="B126" s="1453"/>
      <c r="C126" s="1454">
        <v>100</v>
      </c>
      <c r="D126" s="1454">
        <f>C126-$K44</f>
        <v>98</v>
      </c>
      <c r="E126" s="1454">
        <f>D126-$K44</f>
        <v>96</v>
      </c>
      <c r="F126" s="1454">
        <f>E126-$K44</f>
        <v>94</v>
      </c>
      <c r="G126" s="1454">
        <f>F126-$K44</f>
        <v>92</v>
      </c>
      <c r="H126" s="1454"/>
      <c r="I126" s="1454"/>
      <c r="J126" s="1454"/>
      <c r="K126" s="1454"/>
      <c r="L126" s="1454"/>
      <c r="M126" s="1504"/>
      <c r="N126" s="1500"/>
      <c r="O126" s="1500"/>
      <c r="P126" s="1707"/>
      <c r="Q126" s="1419"/>
      <c r="R126" s="1292"/>
      <c r="S126" s="1292"/>
      <c r="T126" s="1292"/>
      <c r="U126" s="1292"/>
      <c r="V126" s="1292"/>
      <c r="W126" s="1292"/>
      <c r="X126" s="1292"/>
      <c r="Y126" s="1292"/>
      <c r="Z126" s="1292"/>
      <c r="AA126" s="1292"/>
      <c r="AB126" s="1292"/>
      <c r="AC126" s="1292"/>
    </row>
    <row r="127" s="1166" customFormat="1" ht="14.55" spans="1:29">
      <c r="A127" s="1479"/>
      <c r="B127" s="1451">
        <f>B45</f>
        <v>111</v>
      </c>
      <c r="C127" s="1459"/>
      <c r="D127" s="1459"/>
      <c r="E127" s="1459"/>
      <c r="F127" s="1459"/>
      <c r="G127" s="1459"/>
      <c r="H127" s="1460"/>
      <c r="I127" s="1460"/>
      <c r="J127" s="1460"/>
      <c r="K127" s="1460"/>
      <c r="L127" s="1508"/>
      <c r="M127" s="1509"/>
      <c r="N127" s="1510"/>
      <c r="O127" s="1510"/>
      <c r="P127" s="1708"/>
      <c r="Q127" s="1542"/>
      <c r="R127" s="1543"/>
      <c r="S127" s="1543"/>
      <c r="T127" s="1543"/>
      <c r="U127" s="1543"/>
      <c r="V127" s="1543"/>
      <c r="W127" s="1543"/>
      <c r="X127" s="1543"/>
      <c r="Y127" s="1543"/>
      <c r="Z127" s="1543"/>
      <c r="AA127" s="1543"/>
      <c r="AB127" s="1543"/>
      <c r="AC127" s="1543"/>
    </row>
    <row r="128" s="1166" customFormat="1" ht="14.55" spans="1:29">
      <c r="A128" s="1458"/>
      <c r="B128" s="1453"/>
      <c r="C128" s="1461"/>
      <c r="D128" s="1450"/>
      <c r="E128" s="1450"/>
      <c r="F128" s="1450"/>
      <c r="G128" s="1461"/>
      <c r="H128" s="1462"/>
      <c r="I128" s="1462"/>
      <c r="J128" s="1462"/>
      <c r="K128" s="1462"/>
      <c r="L128" s="1462"/>
      <c r="M128" s="1512"/>
      <c r="N128" s="1510"/>
      <c r="O128" s="1510"/>
      <c r="P128" s="1708"/>
      <c r="Q128" s="1542"/>
      <c r="R128" s="1543"/>
      <c r="S128" s="1543"/>
      <c r="T128" s="1543"/>
      <c r="U128" s="1543"/>
      <c r="V128" s="1543"/>
      <c r="W128" s="1543"/>
      <c r="X128" s="1543"/>
      <c r="Y128" s="1543"/>
      <c r="Z128" s="1543"/>
      <c r="AA128" s="1543"/>
      <c r="AB128" s="1543"/>
      <c r="AC128" s="1543"/>
    </row>
    <row r="129" ht="14.55" spans="1:29">
      <c r="A129" s="1482"/>
      <c r="B129" s="1451">
        <f>B46</f>
        <v>111</v>
      </c>
      <c r="C129" s="1459"/>
      <c r="D129" s="1459"/>
      <c r="E129" s="1459"/>
      <c r="F129" s="1459"/>
      <c r="G129" s="1476"/>
      <c r="H129" s="1476"/>
      <c r="I129" s="1476"/>
      <c r="J129" s="1476"/>
      <c r="K129" s="1527"/>
      <c r="L129" s="1528"/>
      <c r="M129" s="1529"/>
      <c r="N129" s="1497"/>
      <c r="O129" s="1497"/>
      <c r="P129" s="1707"/>
      <c r="Q129" s="1419"/>
      <c r="R129" s="1292"/>
      <c r="S129" s="1292"/>
      <c r="T129" s="1292"/>
      <c r="U129" s="1292"/>
      <c r="V129" s="1292"/>
      <c r="W129" s="1292"/>
      <c r="X129" s="1292"/>
      <c r="Y129" s="1292"/>
      <c r="Z129" s="1292"/>
      <c r="AA129" s="1292"/>
      <c r="AB129" s="1292"/>
      <c r="AC129" s="1292"/>
    </row>
    <row r="130" ht="14.55" spans="1:29">
      <c r="A130" s="1448"/>
      <c r="B130" s="1453"/>
      <c r="C130" s="1461"/>
      <c r="D130" s="1461"/>
      <c r="E130" s="1461"/>
      <c r="F130" s="1461"/>
      <c r="G130" s="1450"/>
      <c r="H130" s="1450"/>
      <c r="I130" s="1450"/>
      <c r="J130" s="1450"/>
      <c r="K130" s="1450"/>
      <c r="L130" s="1450"/>
      <c r="M130" s="1499"/>
      <c r="N130" s="1500"/>
      <c r="O130" s="1500"/>
      <c r="P130" s="1707"/>
      <c r="Q130" s="1419"/>
      <c r="R130" s="1292"/>
      <c r="S130" s="1292"/>
      <c r="T130" s="1292"/>
      <c r="U130" s="1292"/>
      <c r="V130" s="1292"/>
      <c r="W130" s="1292"/>
      <c r="X130" s="1292"/>
      <c r="Y130" s="1292"/>
      <c r="Z130" s="1292"/>
      <c r="AA130" s="1292"/>
      <c r="AB130" s="1292"/>
      <c r="AC130" s="1292"/>
    </row>
    <row r="131" ht="14.55" spans="1:29">
      <c r="A131" s="1482"/>
      <c r="B131" s="1455">
        <f>B47</f>
        <v>111</v>
      </c>
      <c r="C131" s="1443"/>
      <c r="D131" s="1443"/>
      <c r="E131" s="1443"/>
      <c r="F131" s="1443"/>
      <c r="G131" s="1477"/>
      <c r="H131" s="1477"/>
      <c r="I131" s="1477"/>
      <c r="J131" s="1477"/>
      <c r="K131" s="1443"/>
      <c r="L131" s="1489"/>
      <c r="M131" s="1532"/>
      <c r="N131" s="1497"/>
      <c r="O131" s="1497"/>
      <c r="P131" s="1707"/>
      <c r="Q131" s="1419"/>
      <c r="R131" s="1292"/>
      <c r="S131" s="1292"/>
      <c r="T131" s="1292"/>
      <c r="U131" s="1292"/>
      <c r="V131" s="1292"/>
      <c r="W131" s="1292"/>
      <c r="X131" s="1292"/>
      <c r="Y131" s="1292"/>
      <c r="Z131" s="1292"/>
      <c r="AA131" s="1292"/>
      <c r="AB131" s="1292"/>
      <c r="AC131" s="1292"/>
    </row>
    <row r="132" ht="14.55" spans="1:29">
      <c r="A132" s="1757"/>
      <c r="B132" s="1465"/>
      <c r="C132" s="1466"/>
      <c r="D132" s="1466"/>
      <c r="E132" s="1466"/>
      <c r="F132" s="1466"/>
      <c r="G132" s="1478"/>
      <c r="H132" s="1478"/>
      <c r="I132" s="1478"/>
      <c r="J132" s="1478"/>
      <c r="K132" s="1478"/>
      <c r="L132" s="1478"/>
      <c r="M132" s="1533"/>
      <c r="N132" s="1500"/>
      <c r="O132" s="1500"/>
      <c r="P132" s="1707"/>
      <c r="Q132" s="1419"/>
      <c r="R132" s="1292"/>
      <c r="S132" s="1292"/>
      <c r="T132" s="1292"/>
      <c r="U132" s="1292"/>
      <c r="V132" s="1292"/>
      <c r="W132" s="1292"/>
      <c r="X132" s="1292"/>
      <c r="Y132" s="1292"/>
      <c r="Z132" s="1292"/>
      <c r="AA132" s="1292"/>
      <c r="AB132" s="1292"/>
      <c r="AC132" s="12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70" customWidth="1"/>
    <col min="2" max="2" width="15.7777777777778" style="1170" customWidth="1"/>
    <col min="3" max="3" width="14.3333333333333" style="1170" customWidth="1"/>
    <col min="4" max="4" width="12.2222222222222" style="1170" customWidth="1"/>
    <col min="5" max="5" width="14.3333333333333" style="1170" customWidth="1"/>
    <col min="6" max="6" width="12.2222222222222" style="1170" customWidth="1"/>
    <col min="7" max="7" width="14.4444444444444" style="1170" customWidth="1"/>
    <col min="8" max="8" width="12.2222222222222" style="1170" customWidth="1"/>
    <col min="9" max="9" width="14.4444444444444" style="1170" customWidth="1"/>
    <col min="10" max="10" width="12.2222222222222" style="1170" customWidth="1"/>
    <col min="11" max="11" width="12.2222222222222" style="1171" customWidth="1"/>
    <col min="12" max="12" width="12.2222222222222" style="1172" customWidth="1"/>
    <col min="13" max="15" width="12.2222222222222" style="1170" customWidth="1"/>
    <col min="16" max="16" width="4.77777777777778" style="1170" customWidth="1"/>
    <col min="17" max="17" width="19.4444444444444" style="1170" customWidth="1"/>
    <col min="18" max="22" width="6.11111111111111" style="1170" customWidth="1"/>
    <col min="23" max="23" width="5.77777777777778" style="1170" customWidth="1"/>
    <col min="24" max="24" width="4.22222222222222" style="1170" customWidth="1"/>
    <col min="25" max="25" width="3.44444444444444" style="1170" customWidth="1"/>
    <col min="26" max="26" width="19.7777777777778" style="1170" customWidth="1"/>
    <col min="27" max="28" width="9.33333333333333" style="1170" customWidth="1"/>
    <col min="29" max="16384" width="9" style="1170"/>
  </cols>
  <sheetData>
    <row r="1" s="1582" customFormat="1" ht="28.5" customHeight="1" spans="1:29">
      <c r="A1" s="1583" t="s">
        <v>1470</v>
      </c>
      <c r="B1" s="1720" t="s">
        <v>1610</v>
      </c>
      <c r="C1" s="1585" t="s">
        <v>1472</v>
      </c>
      <c r="D1" s="1586"/>
      <c r="E1" s="1587"/>
      <c r="F1" s="1588"/>
      <c r="G1" s="1589" t="s">
        <v>1473</v>
      </c>
      <c r="H1" s="1590"/>
      <c r="I1" s="1590"/>
      <c r="J1" s="1590"/>
      <c r="K1" s="1641"/>
      <c r="L1" s="1642"/>
      <c r="M1" s="1643"/>
      <c r="N1" s="1643"/>
      <c r="O1" s="1643"/>
      <c r="P1" s="1585"/>
      <c r="Q1" s="1585"/>
      <c r="R1" s="1585"/>
      <c r="S1" s="1585"/>
      <c r="T1" s="1585"/>
      <c r="U1" s="1585"/>
      <c r="V1" s="1585"/>
      <c r="W1" s="1585"/>
      <c r="X1" s="1585"/>
      <c r="Y1" s="1585"/>
      <c r="Z1" s="1585"/>
      <c r="AA1" s="1585"/>
      <c r="AB1" s="1585"/>
      <c r="AC1" s="1650"/>
    </row>
    <row r="2" s="1163" customFormat="1" ht="28.5" customHeight="1" spans="1:29">
      <c r="A2" s="1591" t="s">
        <v>989</v>
      </c>
      <c r="B2" s="1592" t="b">
        <f ca="1">IF(E1="项目模式",IF(C2="——",ROUND(C43*D3/10000,0),ROUND(C43*D3/10000,0)-D2),IF(E1="单套模式",IF(C2="——",ROUND(C43*D3/10000,4),ROUND(C43*D3/10000,4)-D2)))</f>
        <v>0</v>
      </c>
      <c r="C2" s="1593"/>
      <c r="D2" s="1545" t="e">
        <f ca="1">IF(E1="项目模式",SUMIF(INDIRECT("'"&amp;F2&amp;"'"&amp;"!A:A"),"承租人权益价值",INDIRECT("'"&amp;F2&amp;"'"&amp;"!c:c")),SUMIF(INDIRECT("'"&amp;F2&amp;"'"&amp;"!A:A"),"承租人权益价值（单套）",INDIRECT("'"&amp;F2&amp;"'"&amp;"!c:c")))</f>
        <v>#REF!</v>
      </c>
      <c r="E2" s="1594" t="s">
        <v>990</v>
      </c>
      <c r="F2" s="1595"/>
      <c r="G2" s="1179"/>
      <c r="H2" s="1179"/>
      <c r="I2" s="1179"/>
      <c r="J2" s="1179"/>
      <c r="K2" s="1179"/>
      <c r="L2" s="1724"/>
      <c r="M2" s="1725"/>
      <c r="N2" s="1725"/>
      <c r="O2" s="1725"/>
      <c r="P2" s="1339"/>
      <c r="Q2" s="1339"/>
      <c r="R2" s="1339"/>
      <c r="S2" s="1339"/>
      <c r="T2" s="1339"/>
      <c r="U2" s="1339"/>
      <c r="V2" s="1339"/>
      <c r="W2" s="1339"/>
      <c r="X2" s="1339"/>
      <c r="Y2" s="1339"/>
      <c r="Z2" s="1339"/>
      <c r="AA2" s="1339"/>
      <c r="AB2" s="1339"/>
      <c r="AC2" s="1422"/>
    </row>
    <row r="3" s="1163" customFormat="1" ht="28.5" customHeight="1" spans="1:29">
      <c r="A3" s="397" t="s">
        <v>991</v>
      </c>
      <c r="B3" s="1181">
        <f ca="1">IF(C2="——",C43,ROUND(B2*10000/D3,0))</f>
        <v>0</v>
      </c>
      <c r="C3" s="1596" t="s">
        <v>1474</v>
      </c>
      <c r="D3" s="1597">
        <f>IF(D1="",'数据-汇总表'!E3,SUMIF('数据-汇总表'!$C19:$C33,D1,'数据-汇总表'!$E19:$E33))</f>
        <v>10109.15</v>
      </c>
      <c r="E3" s="1179"/>
      <c r="F3" s="1180"/>
      <c r="G3" s="1179"/>
      <c r="H3" s="1179"/>
      <c r="I3" s="1179"/>
      <c r="J3" s="1179"/>
      <c r="K3" s="1340"/>
      <c r="L3" s="1724"/>
      <c r="M3" s="1725"/>
      <c r="N3" s="1725"/>
      <c r="O3" s="1725"/>
      <c r="P3" s="1339"/>
      <c r="Q3" s="1339"/>
      <c r="R3" s="1339"/>
      <c r="S3" s="1339"/>
      <c r="T3" s="1339"/>
      <c r="U3" s="1339"/>
      <c r="V3" s="1339"/>
      <c r="W3" s="1339"/>
      <c r="X3" s="1339"/>
      <c r="Y3" s="1339"/>
      <c r="Z3" s="1339"/>
      <c r="AA3" s="1339"/>
      <c r="AB3" s="1421"/>
      <c r="AC3" s="1422"/>
    </row>
    <row r="4" ht="14.4" spans="1:29">
      <c r="A4" s="1183" t="s">
        <v>1475</v>
      </c>
      <c r="B4" s="1184"/>
      <c r="C4" s="1185" t="s">
        <v>1476</v>
      </c>
      <c r="D4" s="1186"/>
      <c r="E4" s="1187" t="s">
        <v>1477</v>
      </c>
      <c r="F4" s="1188"/>
      <c r="G4" s="1185" t="s">
        <v>1478</v>
      </c>
      <c r="H4" s="1186"/>
      <c r="I4" s="1185" t="s">
        <v>1479</v>
      </c>
      <c r="J4" s="1186"/>
      <c r="K4" s="1343" t="s">
        <v>1480</v>
      </c>
      <c r="L4" s="1726"/>
      <c r="M4" s="1727"/>
      <c r="N4" s="1727"/>
      <c r="O4" s="1727"/>
      <c r="P4" s="1346" t="s">
        <v>1481</v>
      </c>
      <c r="Q4" s="1395"/>
      <c r="R4" s="1396" t="s">
        <v>1477</v>
      </c>
      <c r="S4" s="1397"/>
      <c r="T4" s="1396" t="s">
        <v>1478</v>
      </c>
      <c r="U4" s="1397"/>
      <c r="V4" s="1385" t="s">
        <v>1479</v>
      </c>
      <c r="W4" s="1385"/>
      <c r="X4" s="1398"/>
      <c r="Y4" s="1396" t="s">
        <v>1481</v>
      </c>
      <c r="Z4" s="1397"/>
      <c r="AA4" s="1423" t="s">
        <v>1477</v>
      </c>
      <c r="AB4" s="1398" t="s">
        <v>1478</v>
      </c>
      <c r="AC4" s="1423" t="s">
        <v>1479</v>
      </c>
    </row>
    <row r="5" spans="1:29">
      <c r="A5" s="1189"/>
      <c r="B5" s="1190"/>
      <c r="C5" s="1191" t="s">
        <v>1482</v>
      </c>
      <c r="D5" s="1192"/>
      <c r="E5" s="1193" t="s">
        <v>1483</v>
      </c>
      <c r="F5" s="1194"/>
      <c r="G5" s="1191" t="s">
        <v>1484</v>
      </c>
      <c r="H5" s="1192"/>
      <c r="I5" s="1191" t="s">
        <v>1485</v>
      </c>
      <c r="J5" s="1192"/>
      <c r="K5" s="1343"/>
      <c r="L5" s="1726"/>
      <c r="M5" s="1727"/>
      <c r="N5" s="1727"/>
      <c r="O5" s="1727"/>
      <c r="P5" s="1347"/>
      <c r="Q5" s="1399"/>
      <c r="R5" s="1400"/>
      <c r="S5" s="1401"/>
      <c r="T5" s="1400"/>
      <c r="U5" s="1401"/>
      <c r="V5" s="1385"/>
      <c r="W5" s="1385"/>
      <c r="X5" s="1398"/>
      <c r="Y5" s="1400"/>
      <c r="Z5" s="1401"/>
      <c r="AA5" s="1398"/>
      <c r="AB5" s="1398"/>
      <c r="AC5" s="1398"/>
    </row>
    <row r="6" ht="15.15" spans="1:29">
      <c r="A6" s="1195"/>
      <c r="B6" s="1196"/>
      <c r="C6" s="1546" t="s">
        <v>1486</v>
      </c>
      <c r="D6" s="1547"/>
      <c r="E6" s="1548" t="s">
        <v>1486</v>
      </c>
      <c r="F6" s="1549"/>
      <c r="G6" s="1546" t="s">
        <v>1486</v>
      </c>
      <c r="H6" s="1547"/>
      <c r="I6" s="1546" t="s">
        <v>1486</v>
      </c>
      <c r="J6" s="1547"/>
      <c r="K6" s="1343" t="s">
        <v>1487</v>
      </c>
      <c r="L6" s="1726"/>
      <c r="M6" s="1727"/>
      <c r="N6" s="1727"/>
      <c r="O6" s="1727"/>
      <c r="P6" s="1348"/>
      <c r="Q6" s="1402"/>
      <c r="R6" s="1400"/>
      <c r="S6" s="1401"/>
      <c r="T6" s="1403"/>
      <c r="U6" s="1404"/>
      <c r="V6" s="1385"/>
      <c r="W6" s="1385"/>
      <c r="X6" s="1398"/>
      <c r="Y6" s="1403"/>
      <c r="Z6" s="1404"/>
      <c r="AA6" s="1424"/>
      <c r="AB6" s="1424"/>
      <c r="AC6" s="1424"/>
    </row>
    <row r="7" s="1164" customFormat="1" ht="15.15" spans="1:29">
      <c r="A7" s="1201" t="s">
        <v>1488</v>
      </c>
      <c r="B7" s="1202"/>
      <c r="C7" s="1203">
        <f>'数据-取费表'!B2</f>
        <v>45022</v>
      </c>
      <c r="D7" s="1204">
        <v>100</v>
      </c>
      <c r="E7" s="1205"/>
      <c r="F7" s="1206">
        <f>SUMIF(52:52,YEAR(E7)&amp;"-"&amp;MONTH(E7),53:53)</f>
        <v>0</v>
      </c>
      <c r="G7" s="1205"/>
      <c r="H7" s="1204">
        <f>SUMIF(52:52,YEAR(G7)&amp;"-"&amp;MONTH(G7),53:53)</f>
        <v>0</v>
      </c>
      <c r="I7" s="1205"/>
      <c r="J7" s="1204">
        <f>SUMIF(52:52,YEAR(I7)&amp;"-"&amp;MONTH(I7),53:53)</f>
        <v>0</v>
      </c>
      <c r="K7" s="1349"/>
      <c r="L7" s="1728"/>
      <c r="M7" s="1729"/>
      <c r="N7" s="1729"/>
      <c r="O7" s="1729"/>
      <c r="P7" s="1352" t="s">
        <v>1489</v>
      </c>
      <c r="Q7" s="1405"/>
      <c r="R7" s="1406" t="s">
        <v>1490</v>
      </c>
      <c r="S7" s="1407">
        <f t="shared" ref="S7:S15" si="0">F7</f>
        <v>0</v>
      </c>
      <c r="T7" s="1406" t="s">
        <v>1490</v>
      </c>
      <c r="U7" s="1407">
        <f t="shared" ref="U7:U15" si="1">H7</f>
        <v>0</v>
      </c>
      <c r="V7" s="1406" t="s">
        <v>1490</v>
      </c>
      <c r="W7" s="1407">
        <f t="shared" ref="W7:W15" si="2">J7</f>
        <v>0</v>
      </c>
      <c r="X7" s="1408"/>
      <c r="Y7" s="1352" t="s">
        <v>1489</v>
      </c>
      <c r="Z7" s="1409"/>
      <c r="AA7" s="1425" t="e">
        <f>D7/F7</f>
        <v>#DIV/0!</v>
      </c>
      <c r="AB7" s="1425" t="e">
        <f>D7/H7</f>
        <v>#DIV/0!</v>
      </c>
      <c r="AC7" s="1425" t="e">
        <f>D7/J7</f>
        <v>#DIV/0!</v>
      </c>
    </row>
    <row r="8" s="1164" customFormat="1" ht="15.15" spans="1:29">
      <c r="A8" s="1201" t="s">
        <v>1491</v>
      </c>
      <c r="B8" s="1202"/>
      <c r="C8" s="1208"/>
      <c r="D8" s="1204">
        <v>100</v>
      </c>
      <c r="E8" s="1208"/>
      <c r="F8" s="1206">
        <f>SUMIF(55:55,E8,56:56)-SUMIF(55:55,C8,56:56)+100</f>
        <v>100</v>
      </c>
      <c r="G8" s="1208"/>
      <c r="H8" s="1204">
        <f>SUMIF(55:55,G8,56:56)-SUMIF(55:55,C8,56:56)+100</f>
        <v>100</v>
      </c>
      <c r="I8" s="1208"/>
      <c r="J8" s="1204">
        <f>SUMIF(55:55,I8,56:56)-SUMIF(55:55,C8,56:56)+100</f>
        <v>100</v>
      </c>
      <c r="K8" s="1349"/>
      <c r="L8" s="1728"/>
      <c r="M8" s="1729"/>
      <c r="N8" s="1729"/>
      <c r="O8" s="1729"/>
      <c r="P8" s="1352" t="s">
        <v>1492</v>
      </c>
      <c r="Q8" s="1409"/>
      <c r="R8" s="1406" t="s">
        <v>1490</v>
      </c>
      <c r="S8" s="1407">
        <f t="shared" si="0"/>
        <v>100</v>
      </c>
      <c r="T8" s="1406" t="s">
        <v>1490</v>
      </c>
      <c r="U8" s="1407">
        <f t="shared" si="1"/>
        <v>100</v>
      </c>
      <c r="V8" s="1406" t="s">
        <v>1490</v>
      </c>
      <c r="W8" s="1407">
        <f t="shared" si="2"/>
        <v>100</v>
      </c>
      <c r="X8" s="1408"/>
      <c r="Y8" s="1352" t="s">
        <v>1492</v>
      </c>
      <c r="Z8" s="1409"/>
      <c r="AA8" s="1425">
        <f t="shared" ref="AA8:AA40" si="3">D8/F8</f>
        <v>1</v>
      </c>
      <c r="AB8" s="1425">
        <f t="shared" ref="AB8:AB40" si="4">D8/H8</f>
        <v>1</v>
      </c>
      <c r="AC8" s="1425">
        <f t="shared" ref="AC8:AC40" si="5">D8/J8</f>
        <v>1</v>
      </c>
    </row>
    <row r="9" s="1164" customFormat="1" ht="14.4" spans="1:29">
      <c r="A9" s="1209" t="s">
        <v>1493</v>
      </c>
      <c r="B9" s="1210" t="s">
        <v>1494</v>
      </c>
      <c r="C9" s="1598"/>
      <c r="D9" s="1212">
        <v>100</v>
      </c>
      <c r="E9" s="1599"/>
      <c r="F9" s="1212">
        <f>SUMIF(57:57,E9,58:58)-SUMIF(57:57,C9,58:58)+100</f>
        <v>100</v>
      </c>
      <c r="G9" s="1668"/>
      <c r="H9" s="1212">
        <f>SUMIF(57:57,G9,58:58)-SUMIF(57:57,C9,58:58)+100</f>
        <v>100</v>
      </c>
      <c r="I9" s="1668"/>
      <c r="J9" s="1212">
        <f>SUMIF(57:57,I9,58:58)-SUMIF(57:57,C9,58:58)+100</f>
        <v>100</v>
      </c>
      <c r="K9" s="1349"/>
      <c r="L9" s="1728"/>
      <c r="M9" s="1729"/>
      <c r="N9" s="1729"/>
      <c r="O9" s="1730"/>
      <c r="P9" s="749" t="s">
        <v>1495</v>
      </c>
      <c r="Q9" s="1410" t="str">
        <f t="shared" ref="Q9:Q15" si="6">B9</f>
        <v>用途</v>
      </c>
      <c r="R9" s="1406" t="s">
        <v>1490</v>
      </c>
      <c r="S9" s="1407">
        <f t="shared" si="0"/>
        <v>100</v>
      </c>
      <c r="T9" s="1406" t="s">
        <v>1490</v>
      </c>
      <c r="U9" s="1407">
        <f t="shared" si="1"/>
        <v>100</v>
      </c>
      <c r="V9" s="1406" t="s">
        <v>1490</v>
      </c>
      <c r="W9" s="1407">
        <f t="shared" si="2"/>
        <v>100</v>
      </c>
      <c r="X9" s="1408"/>
      <c r="Y9" s="1410" t="s">
        <v>1496</v>
      </c>
      <c r="Z9" s="1426" t="str">
        <f t="shared" ref="Z9:Z15" si="7">Q9</f>
        <v>用途</v>
      </c>
      <c r="AA9" s="1425">
        <f t="shared" si="3"/>
        <v>1</v>
      </c>
      <c r="AB9" s="1425">
        <f t="shared" si="4"/>
        <v>1</v>
      </c>
      <c r="AC9" s="1425">
        <f t="shared" si="5"/>
        <v>1</v>
      </c>
    </row>
    <row r="10" s="1165" customFormat="1" ht="28.8" spans="1:29">
      <c r="A10" s="1213"/>
      <c r="B10" s="1214" t="s">
        <v>1497</v>
      </c>
      <c r="C10" s="1601"/>
      <c r="D10" s="1216">
        <v>100</v>
      </c>
      <c r="E10" s="1601"/>
      <c r="F10" s="1216">
        <f>SUMIF(59:59,E10,60:60)-SUMIF(59:59,C10,60:60)+100</f>
        <v>100</v>
      </c>
      <c r="G10" s="1671"/>
      <c r="H10" s="1216">
        <f>SUMIF(59:59,G10,60:60)-SUMIF(59:59,C10,60:60)+100</f>
        <v>100</v>
      </c>
      <c r="I10" s="1601"/>
      <c r="J10" s="1216">
        <f>SUMIF(59:59,I10,60:60)-SUMIF(59:59,C10,60:60)+100</f>
        <v>100</v>
      </c>
      <c r="K10" s="1349"/>
      <c r="L10" s="1731"/>
      <c r="M10" s="1732"/>
      <c r="N10" s="1732"/>
      <c r="O10" s="1733"/>
      <c r="P10" s="749"/>
      <c r="Q10" s="1410" t="str">
        <f t="shared" si="6"/>
        <v>土地使用年限（年）</v>
      </c>
      <c r="R10" s="1406" t="s">
        <v>1490</v>
      </c>
      <c r="S10" s="1407">
        <f t="shared" si="0"/>
        <v>100</v>
      </c>
      <c r="T10" s="1406" t="s">
        <v>1490</v>
      </c>
      <c r="U10" s="1407">
        <f t="shared" si="1"/>
        <v>100</v>
      </c>
      <c r="V10" s="1406" t="s">
        <v>1490</v>
      </c>
      <c r="W10" s="1407">
        <f t="shared" si="2"/>
        <v>100</v>
      </c>
      <c r="X10" s="1408"/>
      <c r="Y10" s="1410"/>
      <c r="Z10" s="1426" t="str">
        <f t="shared" si="7"/>
        <v>土地使用年限（年）</v>
      </c>
      <c r="AA10" s="1425">
        <f t="shared" si="3"/>
        <v>1</v>
      </c>
      <c r="AB10" s="1425">
        <f t="shared" si="4"/>
        <v>1</v>
      </c>
      <c r="AC10" s="1425">
        <f t="shared" si="5"/>
        <v>1</v>
      </c>
    </row>
    <row r="11" ht="15" spans="1:29">
      <c r="A11" s="1217"/>
      <c r="B11" s="1214" t="s">
        <v>1498</v>
      </c>
      <c r="C11" s="1218"/>
      <c r="D11" s="1216">
        <v>100</v>
      </c>
      <c r="E11" s="1218"/>
      <c r="F11" s="1216">
        <f>LOOKUP(E11,62:62,63:63)-LOOKUP(C11,62:62,63:63)+100</f>
        <v>100</v>
      </c>
      <c r="G11" s="1219"/>
      <c r="H11" s="1216">
        <f>LOOKUP(G11,62:62,63:63)-LOOKUP(C11,62:62,63:63)+100</f>
        <v>100</v>
      </c>
      <c r="I11" s="1218"/>
      <c r="J11" s="1216">
        <f>LOOKUP(I11,62:62,63:63)-LOOKUP(C11,62:62,63:63)+100</f>
        <v>100</v>
      </c>
      <c r="K11" s="1369"/>
      <c r="L11" s="1734"/>
      <c r="M11" s="1727"/>
      <c r="N11" s="1727"/>
      <c r="O11" s="1735"/>
      <c r="P11" s="749"/>
      <c r="Q11" s="1410" t="str">
        <f t="shared" si="6"/>
        <v>容积率</v>
      </c>
      <c r="R11" s="1406" t="s">
        <v>1490</v>
      </c>
      <c r="S11" s="1407">
        <f t="shared" si="0"/>
        <v>100</v>
      </c>
      <c r="T11" s="1406" t="s">
        <v>1490</v>
      </c>
      <c r="U11" s="1407">
        <f t="shared" si="1"/>
        <v>100</v>
      </c>
      <c r="V11" s="1406" t="s">
        <v>1490</v>
      </c>
      <c r="W11" s="1407">
        <f t="shared" si="2"/>
        <v>100</v>
      </c>
      <c r="X11" s="1408"/>
      <c r="Y11" s="1410"/>
      <c r="Z11" s="1426" t="str">
        <f t="shared" si="7"/>
        <v>容积率</v>
      </c>
      <c r="AA11" s="1425">
        <f t="shared" si="3"/>
        <v>1</v>
      </c>
      <c r="AB11" s="1425">
        <f t="shared" si="4"/>
        <v>1</v>
      </c>
      <c r="AC11" s="1425">
        <f t="shared" si="5"/>
        <v>1</v>
      </c>
    </row>
    <row r="12" s="1164" customFormat="1" ht="15" spans="1:29">
      <c r="A12" s="1220"/>
      <c r="B12" s="1221">
        <v>111</v>
      </c>
      <c r="C12" s="1215"/>
      <c r="D12" s="1222">
        <v>100</v>
      </c>
      <c r="E12" s="1225"/>
      <c r="F12" s="1216">
        <f>SUMIF(64:64,E12,65:65)-SUMIF(64:64,C12,65:65)+100</f>
        <v>100</v>
      </c>
      <c r="G12" s="1721"/>
      <c r="H12" s="1216">
        <f>SUMIF(64:64,G12,65:65)-SUMIF(64:64,C12,65:65)+100</f>
        <v>100</v>
      </c>
      <c r="I12" s="1603"/>
      <c r="J12" s="1216">
        <f>SUMIF(64:64,I12,65:65)-SUMIF(64:64,C12,65:65)+100</f>
        <v>100</v>
      </c>
      <c r="K12" s="1368"/>
      <c r="L12" s="1728"/>
      <c r="M12" s="1729"/>
      <c r="N12" s="1729"/>
      <c r="O12" s="1730"/>
      <c r="P12" s="749"/>
      <c r="Q12" s="1410">
        <f t="shared" si="6"/>
        <v>111</v>
      </c>
      <c r="R12" s="1406" t="s">
        <v>1490</v>
      </c>
      <c r="S12" s="1407">
        <f t="shared" si="0"/>
        <v>100</v>
      </c>
      <c r="T12" s="1406" t="s">
        <v>1490</v>
      </c>
      <c r="U12" s="1407">
        <f t="shared" si="1"/>
        <v>100</v>
      </c>
      <c r="V12" s="1406" t="s">
        <v>1490</v>
      </c>
      <c r="W12" s="1407">
        <f t="shared" si="2"/>
        <v>100</v>
      </c>
      <c r="X12" s="1408"/>
      <c r="Y12" s="1410"/>
      <c r="Z12" s="1426">
        <f t="shared" si="7"/>
        <v>111</v>
      </c>
      <c r="AA12" s="1425">
        <f t="shared" si="3"/>
        <v>1</v>
      </c>
      <c r="AB12" s="1425">
        <f t="shared" si="4"/>
        <v>1</v>
      </c>
      <c r="AC12" s="1425">
        <f t="shared" si="5"/>
        <v>1</v>
      </c>
    </row>
    <row r="13" ht="15" spans="1:29">
      <c r="A13" s="1217"/>
      <c r="B13" s="1221">
        <v>111</v>
      </c>
      <c r="C13" s="1225"/>
      <c r="D13" s="1226">
        <v>100</v>
      </c>
      <c r="E13" s="1225"/>
      <c r="F13" s="1216">
        <f>SUMIF(66:66,E13,67:67)-SUMIF(66:66,C13,67:67)+100</f>
        <v>100</v>
      </c>
      <c r="G13" s="1721"/>
      <c r="H13" s="1226">
        <f>SUMIF(66:66,G13,67:67)-SUMIF(66:66,C13,67:67)+100</f>
        <v>100</v>
      </c>
      <c r="I13" s="1603"/>
      <c r="J13" s="1226">
        <f>SUMIF(66:66,I13,67:67)-SUMIF(66:66,C13,67:67)+100</f>
        <v>100</v>
      </c>
      <c r="K13" s="1368"/>
      <c r="L13" s="1736"/>
      <c r="M13" s="1727"/>
      <c r="N13" s="1727"/>
      <c r="O13" s="1735"/>
      <c r="P13" s="749"/>
      <c r="Q13" s="1410">
        <f t="shared" si="6"/>
        <v>111</v>
      </c>
      <c r="R13" s="1406" t="s">
        <v>1490</v>
      </c>
      <c r="S13" s="1407">
        <f t="shared" si="0"/>
        <v>100</v>
      </c>
      <c r="T13" s="1406" t="s">
        <v>1490</v>
      </c>
      <c r="U13" s="1407">
        <f t="shared" si="1"/>
        <v>100</v>
      </c>
      <c r="V13" s="1406" t="s">
        <v>1490</v>
      </c>
      <c r="W13" s="1407">
        <f t="shared" si="2"/>
        <v>100</v>
      </c>
      <c r="X13" s="1408"/>
      <c r="Y13" s="1410"/>
      <c r="Z13" s="1426">
        <f t="shared" si="7"/>
        <v>111</v>
      </c>
      <c r="AA13" s="1425">
        <f t="shared" si="3"/>
        <v>1</v>
      </c>
      <c r="AB13" s="1425">
        <f t="shared" si="4"/>
        <v>1</v>
      </c>
      <c r="AC13" s="1425">
        <f t="shared" si="5"/>
        <v>1</v>
      </c>
    </row>
    <row r="14" ht="15.75" spans="1:29">
      <c r="A14" s="1227"/>
      <c r="B14" s="1228">
        <v>111</v>
      </c>
      <c r="C14" s="1229"/>
      <c r="D14" s="1230">
        <v>100</v>
      </c>
      <c r="E14" s="1229"/>
      <c r="F14" s="1230">
        <f>SUMIF(68:68,E14,69:69)-SUMIF(68:68,C14,69:69)+100</f>
        <v>100</v>
      </c>
      <c r="G14" s="1721"/>
      <c r="H14" s="1230">
        <f>SUMIF(68:68,G14,69:69)-SUMIF(68:68,C14,69:69)+100</f>
        <v>100</v>
      </c>
      <c r="I14" s="1603"/>
      <c r="J14" s="1230">
        <f>SUMIF(68:68,I14,69:69)-SUMIF(68:68,C14,69:69)+100</f>
        <v>100</v>
      </c>
      <c r="K14" s="1368"/>
      <c r="L14" s="1736"/>
      <c r="M14" s="1727"/>
      <c r="N14" s="1727"/>
      <c r="O14" s="1735"/>
      <c r="P14" s="749"/>
      <c r="Q14" s="1410">
        <f t="shared" si="6"/>
        <v>111</v>
      </c>
      <c r="R14" s="1406" t="s">
        <v>1490</v>
      </c>
      <c r="S14" s="1407">
        <f t="shared" si="0"/>
        <v>100</v>
      </c>
      <c r="T14" s="1406" t="s">
        <v>1490</v>
      </c>
      <c r="U14" s="1407">
        <f t="shared" si="1"/>
        <v>100</v>
      </c>
      <c r="V14" s="1406" t="s">
        <v>1490</v>
      </c>
      <c r="W14" s="1407">
        <f t="shared" si="2"/>
        <v>100</v>
      </c>
      <c r="X14" s="1408"/>
      <c r="Y14" s="1410"/>
      <c r="Z14" s="1426">
        <f t="shared" si="7"/>
        <v>111</v>
      </c>
      <c r="AA14" s="1425">
        <f t="shared" si="3"/>
        <v>1</v>
      </c>
      <c r="AB14" s="1425">
        <f t="shared" si="4"/>
        <v>1</v>
      </c>
      <c r="AC14" s="1425">
        <f t="shared" si="5"/>
        <v>1</v>
      </c>
    </row>
    <row r="15" ht="72" spans="1:29">
      <c r="A15" s="1231" t="s">
        <v>1499</v>
      </c>
      <c r="B15" s="1552" t="s">
        <v>1611</v>
      </c>
      <c r="C15" s="1233" t="str">
        <f>估价对象房地状况!G3</f>
        <v>估价对象位于XX开发区，园区建设成熟度XX，产业集聚程度XX</v>
      </c>
      <c r="D15" s="1234">
        <v>100</v>
      </c>
      <c r="E15" s="1235"/>
      <c r="F15" s="1605">
        <f>SUMIF(70:70,E16,71:71)-SUMIF(70:70,C16,71:71)+100</f>
        <v>100</v>
      </c>
      <c r="G15" s="1362"/>
      <c r="H15" s="1234">
        <f>SUMIF(70:70,G16,71:71)-SUMIF(70:70,C16,71:71)+100</f>
        <v>100</v>
      </c>
      <c r="I15" s="1235"/>
      <c r="J15" s="1234">
        <f>SUMIF(70:70,I16,71:71)-SUMIF(70:70,C16,71:71)+100</f>
        <v>100</v>
      </c>
      <c r="K15" s="1644"/>
      <c r="L15" s="1736"/>
      <c r="M15" s="1727"/>
      <c r="N15" s="1727"/>
      <c r="O15" s="1735"/>
      <c r="P15" s="1363" t="s">
        <v>1501</v>
      </c>
      <c r="Q15" s="749" t="str">
        <f t="shared" si="6"/>
        <v>产业集聚程度</v>
      </c>
      <c r="R15" s="1411" t="s">
        <v>1490</v>
      </c>
      <c r="S15" s="1412">
        <f t="shared" si="0"/>
        <v>100</v>
      </c>
      <c r="T15" s="1411" t="s">
        <v>1490</v>
      </c>
      <c r="U15" s="1412">
        <f t="shared" si="1"/>
        <v>100</v>
      </c>
      <c r="V15" s="1411" t="s">
        <v>1490</v>
      </c>
      <c r="W15" s="1412">
        <f t="shared" si="2"/>
        <v>100</v>
      </c>
      <c r="X15" s="1398"/>
      <c r="Y15" s="1363" t="s">
        <v>1501</v>
      </c>
      <c r="Z15" s="1385" t="str">
        <f t="shared" si="7"/>
        <v>产业集聚程度</v>
      </c>
      <c r="AA15" s="1427">
        <f t="shared" si="3"/>
        <v>1</v>
      </c>
      <c r="AB15" s="1427">
        <f t="shared" si="4"/>
        <v>1</v>
      </c>
      <c r="AC15" s="1427">
        <f t="shared" si="5"/>
        <v>1</v>
      </c>
    </row>
    <row r="16" ht="15" spans="1:29">
      <c r="A16" s="1217"/>
      <c r="B16" s="1554"/>
      <c r="C16" s="1237"/>
      <c r="D16" s="1238"/>
      <c r="E16" s="1237"/>
      <c r="F16" s="1606"/>
      <c r="G16" s="1237"/>
      <c r="H16" s="1240"/>
      <c r="I16" s="1237"/>
      <c r="J16" s="1238"/>
      <c r="K16" s="1645"/>
      <c r="L16" s="1736"/>
      <c r="M16" s="1727"/>
      <c r="N16" s="1727"/>
      <c r="O16" s="1735"/>
      <c r="P16" s="1364"/>
      <c r="Q16" s="749"/>
      <c r="R16" s="1411"/>
      <c r="S16" s="1412"/>
      <c r="T16" s="1411"/>
      <c r="U16" s="1412"/>
      <c r="V16" s="1411"/>
      <c r="W16" s="1412"/>
      <c r="X16" s="1398"/>
      <c r="Y16" s="1364"/>
      <c r="Z16" s="1385"/>
      <c r="AA16" s="1427">
        <v>1</v>
      </c>
      <c r="AB16" s="1427">
        <v>1</v>
      </c>
      <c r="AC16" s="1427">
        <v>1</v>
      </c>
    </row>
    <row r="17" ht="100.8" spans="1:29">
      <c r="A17" s="1217"/>
      <c r="B17" s="1555" t="s">
        <v>1502</v>
      </c>
      <c r="C17" s="1242" t="str">
        <f>估价对象房地状况!G4</f>
        <v>估价对象周边道路状况、公共交通通达情况、停车便捷程度，综合评价交通便捷度较好</v>
      </c>
      <c r="D17" s="1240">
        <v>100</v>
      </c>
      <c r="E17" s="1243"/>
      <c r="F17" s="1608">
        <f>SUMIF(72:72,E18,73:73)-SUMIF(72:72,C18,73:73)+100</f>
        <v>100</v>
      </c>
      <c r="G17" s="1365"/>
      <c r="H17" s="1244">
        <f>SUMIF(72:72,G18,73:73)-SUMIF(72:72,C18,73:73)+100</f>
        <v>100</v>
      </c>
      <c r="I17" s="1243"/>
      <c r="J17" s="1244">
        <f>SUMIF(72:72,I18,73:73)-SUMIF(72:72,C18,73:73)+100</f>
        <v>100</v>
      </c>
      <c r="K17" s="1644"/>
      <c r="L17" s="1736"/>
      <c r="M17" s="1727"/>
      <c r="N17" s="1727"/>
      <c r="O17" s="1735"/>
      <c r="P17" s="1364"/>
      <c r="Q17" s="749" t="str">
        <f>B17</f>
        <v>交通便捷度</v>
      </c>
      <c r="R17" s="1411" t="s">
        <v>1490</v>
      </c>
      <c r="S17" s="1412">
        <f>F17</f>
        <v>100</v>
      </c>
      <c r="T17" s="1411" t="s">
        <v>1490</v>
      </c>
      <c r="U17" s="1412">
        <f>H17</f>
        <v>100</v>
      </c>
      <c r="V17" s="1411" t="s">
        <v>1490</v>
      </c>
      <c r="W17" s="1412">
        <f>J17</f>
        <v>100</v>
      </c>
      <c r="X17" s="1398"/>
      <c r="Y17" s="1364"/>
      <c r="Z17" s="1385" t="str">
        <f>Q17</f>
        <v>交通便捷度</v>
      </c>
      <c r="AA17" s="1427">
        <f t="shared" si="3"/>
        <v>1</v>
      </c>
      <c r="AB17" s="1427">
        <f t="shared" si="4"/>
        <v>1</v>
      </c>
      <c r="AC17" s="1427">
        <f t="shared" si="5"/>
        <v>1</v>
      </c>
    </row>
    <row r="18" ht="15" spans="1:29">
      <c r="A18" s="1217"/>
      <c r="B18" s="1265"/>
      <c r="C18" s="1556"/>
      <c r="D18" s="1240"/>
      <c r="E18" s="1557"/>
      <c r="F18" s="1608"/>
      <c r="G18" s="1565"/>
      <c r="H18" s="1238"/>
      <c r="I18" s="1557"/>
      <c r="J18" s="1238"/>
      <c r="K18" s="1645"/>
      <c r="L18" s="1736"/>
      <c r="M18" s="1727"/>
      <c r="N18" s="1727"/>
      <c r="O18" s="1735"/>
      <c r="P18" s="1364"/>
      <c r="Q18" s="749"/>
      <c r="R18" s="1411"/>
      <c r="S18" s="1412"/>
      <c r="T18" s="1411"/>
      <c r="U18" s="1412"/>
      <c r="V18" s="1411"/>
      <c r="W18" s="1412"/>
      <c r="X18" s="1398"/>
      <c r="Y18" s="1364"/>
      <c r="Z18" s="1385"/>
      <c r="AA18" s="1427">
        <v>1</v>
      </c>
      <c r="AB18" s="1427">
        <v>1</v>
      </c>
      <c r="AC18" s="1427">
        <v>1</v>
      </c>
    </row>
    <row r="19" ht="43.2" spans="1:29">
      <c r="A19" s="1217"/>
      <c r="B19" s="1555" t="s">
        <v>1503</v>
      </c>
      <c r="C19" s="1242" t="str">
        <f>估价对象房地状况!G5</f>
        <v>估价对象所在区域公共配套设施齐备情况</v>
      </c>
      <c r="D19" s="1244">
        <v>100</v>
      </c>
      <c r="E19" s="1558"/>
      <c r="F19" s="1607">
        <f>SUMIF(74:74,E20,75:75)-SUMIF(74:74,C20,75:75)+100</f>
        <v>100</v>
      </c>
      <c r="G19" s="1566"/>
      <c r="H19" s="1240">
        <f>SUMIF(74:74,G20,75:75)-SUMIF(74:74,C20,75:75)+100</f>
        <v>100</v>
      </c>
      <c r="I19" s="1558"/>
      <c r="J19" s="1240">
        <f>SUMIF(74:74,I20,75:75)-SUMIF(74:74,C20,75:75)+100</f>
        <v>100</v>
      </c>
      <c r="K19" s="1644"/>
      <c r="L19" s="1736"/>
      <c r="M19" s="1727"/>
      <c r="N19" s="1727"/>
      <c r="O19" s="1735"/>
      <c r="P19" s="1364"/>
      <c r="Q19" s="749" t="str">
        <f>B19</f>
        <v>公共配套设施</v>
      </c>
      <c r="R19" s="1411" t="s">
        <v>1490</v>
      </c>
      <c r="S19" s="1412">
        <f>F19</f>
        <v>100</v>
      </c>
      <c r="T19" s="1411" t="s">
        <v>1490</v>
      </c>
      <c r="U19" s="1412">
        <f>H19</f>
        <v>100</v>
      </c>
      <c r="V19" s="1411" t="s">
        <v>1490</v>
      </c>
      <c r="W19" s="1412">
        <f>J19</f>
        <v>100</v>
      </c>
      <c r="X19" s="1398"/>
      <c r="Y19" s="1364"/>
      <c r="Z19" s="1385" t="str">
        <f>Q19</f>
        <v>公共配套设施</v>
      </c>
      <c r="AA19" s="1427">
        <f t="shared" si="3"/>
        <v>1</v>
      </c>
      <c r="AB19" s="1427">
        <f t="shared" si="4"/>
        <v>1</v>
      </c>
      <c r="AC19" s="1427">
        <f t="shared" si="5"/>
        <v>1</v>
      </c>
    </row>
    <row r="20" ht="15" spans="1:29">
      <c r="A20" s="1217"/>
      <c r="B20" s="1265"/>
      <c r="C20" s="1237"/>
      <c r="D20" s="1238"/>
      <c r="E20" s="1246"/>
      <c r="F20" s="1606"/>
      <c r="G20" s="1366"/>
      <c r="H20" s="1238"/>
      <c r="I20" s="1246"/>
      <c r="J20" s="1238"/>
      <c r="K20" s="1645"/>
      <c r="L20" s="1736"/>
      <c r="M20" s="1727"/>
      <c r="N20" s="1727"/>
      <c r="O20" s="1735"/>
      <c r="P20" s="1364"/>
      <c r="Q20" s="749"/>
      <c r="R20" s="1411"/>
      <c r="S20" s="1412"/>
      <c r="T20" s="1411"/>
      <c r="U20" s="1412"/>
      <c r="V20" s="1411"/>
      <c r="W20" s="1412"/>
      <c r="X20" s="1398"/>
      <c r="Y20" s="1364"/>
      <c r="Z20" s="1385"/>
      <c r="AA20" s="1427">
        <v>1</v>
      </c>
      <c r="AB20" s="1427">
        <v>1</v>
      </c>
      <c r="AC20" s="1427">
        <v>1</v>
      </c>
    </row>
    <row r="21" ht="43.2" spans="1:29">
      <c r="A21" s="1217"/>
      <c r="B21" s="1559" t="s">
        <v>1504</v>
      </c>
      <c r="C21" s="1242" t="str">
        <f>估价对象房地状况!G6</f>
        <v>估价对象所在区域基础设施水平</v>
      </c>
      <c r="D21" s="1240">
        <v>100</v>
      </c>
      <c r="E21" s="1558"/>
      <c r="F21" s="1607">
        <f>SUMIF(76:76,E22,77:77)-SUMIF(76:76,C22,77:77)+100</f>
        <v>100</v>
      </c>
      <c r="G21" s="1566"/>
      <c r="H21" s="1240">
        <f>SUMIF(76:76,G22,77:77)-SUMIF(76:76,C22,77:77)+100</f>
        <v>100</v>
      </c>
      <c r="I21" s="1558"/>
      <c r="J21" s="1240">
        <f>SUMIF(76:76,I22,77:77)-SUMIF(76:76,C22,77:77)+100</f>
        <v>100</v>
      </c>
      <c r="K21" s="1644"/>
      <c r="L21" s="1736"/>
      <c r="M21" s="1727"/>
      <c r="N21" s="1727"/>
      <c r="O21" s="1735"/>
      <c r="P21" s="1364"/>
      <c r="Q21" s="749" t="str">
        <f>B21</f>
        <v>基础设施水平</v>
      </c>
      <c r="R21" s="1411" t="s">
        <v>1490</v>
      </c>
      <c r="S21" s="1412">
        <f>F21</f>
        <v>100</v>
      </c>
      <c r="T21" s="1411" t="s">
        <v>1490</v>
      </c>
      <c r="U21" s="1412">
        <f>H21</f>
        <v>100</v>
      </c>
      <c r="V21" s="1411" t="s">
        <v>1490</v>
      </c>
      <c r="W21" s="1412">
        <f>J21</f>
        <v>100</v>
      </c>
      <c r="X21" s="1398"/>
      <c r="Y21" s="1364"/>
      <c r="Z21" s="1385" t="str">
        <f>Q21</f>
        <v>基础设施水平</v>
      </c>
      <c r="AA21" s="1427">
        <f t="shared" ref="AA21" si="8">D21/F21</f>
        <v>1</v>
      </c>
      <c r="AB21" s="1427">
        <f t="shared" ref="AB21" si="9">D21/H21</f>
        <v>1</v>
      </c>
      <c r="AC21" s="1427">
        <f t="shared" ref="AC21" si="10">D21/J21</f>
        <v>1</v>
      </c>
    </row>
    <row r="22" ht="15" spans="1:29">
      <c r="A22" s="1217"/>
      <c r="B22" s="1559"/>
      <c r="C22" s="1556"/>
      <c r="D22" s="1238"/>
      <c r="E22" s="1237"/>
      <c r="F22" s="1606"/>
      <c r="G22" s="1237"/>
      <c r="H22" s="1238"/>
      <c r="I22" s="1237"/>
      <c r="J22" s="1238"/>
      <c r="K22" s="1646"/>
      <c r="L22" s="1736"/>
      <c r="M22" s="1727"/>
      <c r="N22" s="1727"/>
      <c r="O22" s="1735"/>
      <c r="P22" s="1364"/>
      <c r="Q22" s="749"/>
      <c r="R22" s="1411"/>
      <c r="S22" s="1412"/>
      <c r="T22" s="1411"/>
      <c r="U22" s="1412"/>
      <c r="V22" s="1411"/>
      <c r="W22" s="1412"/>
      <c r="X22" s="1398"/>
      <c r="Y22" s="1364"/>
      <c r="Z22" s="1385"/>
      <c r="AA22" s="1427">
        <v>1</v>
      </c>
      <c r="AB22" s="1427">
        <v>1</v>
      </c>
      <c r="AC22" s="1427">
        <v>1</v>
      </c>
    </row>
    <row r="23" ht="86.4" spans="1:29">
      <c r="A23" s="1217"/>
      <c r="B23" s="1555" t="s">
        <v>1585</v>
      </c>
      <c r="C23" s="1242" t="str">
        <f>估价对象房地状况!G7</f>
        <v>该园区内是否有污染型企业，绿化情况，卫生条件，整体环境状况判断</v>
      </c>
      <c r="D23" s="1240">
        <v>100</v>
      </c>
      <c r="E23" s="1243"/>
      <c r="F23" s="1608">
        <f>SUMIF(78:78,E24,79:79)-SUMIF(78:78,C24,79:79)+100</f>
        <v>100</v>
      </c>
      <c r="G23" s="1365"/>
      <c r="H23" s="1240">
        <f>SUMIF(78:78,G24,79:79)-SUMIF(78:78,C24,79:79)+100</f>
        <v>100</v>
      </c>
      <c r="I23" s="1243"/>
      <c r="J23" s="1240">
        <f>SUMIF(78:78,I24,79:79)-SUMIF(78:78,C24,79:79)+100</f>
        <v>100</v>
      </c>
      <c r="K23" s="1644"/>
      <c r="L23" s="1736"/>
      <c r="M23" s="1727"/>
      <c r="N23" s="1727"/>
      <c r="O23" s="1735"/>
      <c r="P23" s="1364"/>
      <c r="Q23" s="749" t="str">
        <f>B23</f>
        <v>环境质量</v>
      </c>
      <c r="R23" s="1411" t="s">
        <v>1490</v>
      </c>
      <c r="S23" s="1412">
        <f>F23</f>
        <v>100</v>
      </c>
      <c r="T23" s="1411" t="s">
        <v>1490</v>
      </c>
      <c r="U23" s="1412">
        <f>H23</f>
        <v>100</v>
      </c>
      <c r="V23" s="1411" t="s">
        <v>1490</v>
      </c>
      <c r="W23" s="1412">
        <f>J23</f>
        <v>100</v>
      </c>
      <c r="X23" s="1398"/>
      <c r="Y23" s="1364"/>
      <c r="Z23" s="1385" t="str">
        <f>Q23</f>
        <v>环境质量</v>
      </c>
      <c r="AA23" s="1427">
        <f t="shared" si="3"/>
        <v>1</v>
      </c>
      <c r="AB23" s="1427">
        <f t="shared" si="4"/>
        <v>1</v>
      </c>
      <c r="AC23" s="1427">
        <f t="shared" si="5"/>
        <v>1</v>
      </c>
    </row>
    <row r="24" ht="15" spans="1:29">
      <c r="A24" s="1217"/>
      <c r="B24" s="1559"/>
      <c r="C24" s="1237"/>
      <c r="D24" s="1238"/>
      <c r="E24" s="1246"/>
      <c r="F24" s="1606"/>
      <c r="G24" s="1366"/>
      <c r="H24" s="1238"/>
      <c r="I24" s="1246"/>
      <c r="J24" s="1238"/>
      <c r="K24" s="1645"/>
      <c r="L24" s="1736"/>
      <c r="M24" s="1727"/>
      <c r="N24" s="1727"/>
      <c r="O24" s="1735"/>
      <c r="P24" s="1364"/>
      <c r="Q24" s="749"/>
      <c r="R24" s="1411"/>
      <c r="S24" s="1412"/>
      <c r="T24" s="1411"/>
      <c r="U24" s="1412"/>
      <c r="V24" s="1411"/>
      <c r="W24" s="1412"/>
      <c r="X24" s="1398"/>
      <c r="Y24" s="1364"/>
      <c r="Z24" s="1385"/>
      <c r="AA24" s="1427">
        <v>1</v>
      </c>
      <c r="AB24" s="1427">
        <v>1</v>
      </c>
      <c r="AC24" s="1427">
        <v>1</v>
      </c>
    </row>
    <row r="25" ht="15" spans="1:29">
      <c r="A25" s="1189"/>
      <c r="B25" s="1560">
        <v>111</v>
      </c>
      <c r="C25" s="1225">
        <v>111</v>
      </c>
      <c r="D25" s="1226">
        <v>100</v>
      </c>
      <c r="E25" s="1225"/>
      <c r="F25" s="1609">
        <f>SUMIF(80:80,E25,81:81)-SUMIF(80:80,C25,81:81)+100</f>
        <v>100</v>
      </c>
      <c r="G25" s="1225"/>
      <c r="H25" s="1226">
        <f>SUMIF(80:80,G25,81:81)-SUMIF(80:80,C25,81:81)+100</f>
        <v>100</v>
      </c>
      <c r="I25" s="1225"/>
      <c r="J25" s="1226">
        <f>SUMIF(80:80,I25,81:81)-SUMIF(80:80,C25,81:81)+100</f>
        <v>100</v>
      </c>
      <c r="K25" s="1368"/>
      <c r="L25" s="1736"/>
      <c r="M25" s="1727"/>
      <c r="N25" s="1727"/>
      <c r="O25" s="1735"/>
      <c r="P25" s="1364"/>
      <c r="Q25" s="749">
        <f>B25</f>
        <v>111</v>
      </c>
      <c r="R25" s="1411" t="s">
        <v>1490</v>
      </c>
      <c r="S25" s="1412">
        <f>F25</f>
        <v>100</v>
      </c>
      <c r="T25" s="1411" t="s">
        <v>1490</v>
      </c>
      <c r="U25" s="1412">
        <f>H25</f>
        <v>100</v>
      </c>
      <c r="V25" s="1411" t="s">
        <v>1490</v>
      </c>
      <c r="W25" s="1412">
        <f>J25</f>
        <v>100</v>
      </c>
      <c r="X25" s="1398"/>
      <c r="Y25" s="1364"/>
      <c r="Z25" s="1385">
        <f>Q25</f>
        <v>111</v>
      </c>
      <c r="AA25" s="1427">
        <f t="shared" si="3"/>
        <v>1</v>
      </c>
      <c r="AB25" s="1427">
        <f t="shared" si="4"/>
        <v>1</v>
      </c>
      <c r="AC25" s="1427">
        <f t="shared" si="5"/>
        <v>1</v>
      </c>
    </row>
    <row r="26" ht="15" spans="1:29">
      <c r="A26" s="1217"/>
      <c r="B26" s="1560">
        <v>111</v>
      </c>
      <c r="C26" s="1225">
        <v>111</v>
      </c>
      <c r="D26" s="1226">
        <v>100</v>
      </c>
      <c r="E26" s="1225"/>
      <c r="F26" s="1609">
        <f>SUMIF(82:82,E26,83:83)-SUMIF(82:82,C26,83:83)+100</f>
        <v>100</v>
      </c>
      <c r="G26" s="1225"/>
      <c r="H26" s="1226">
        <f>SUMIF(82:82,G26,83:83)-SUMIF(82:82,C26,83:83)+100</f>
        <v>100</v>
      </c>
      <c r="I26" s="1225"/>
      <c r="J26" s="1226">
        <f>SUMIF(82:82,I26,83:83)-SUMIF(82:82,C26,83:83)+100</f>
        <v>100</v>
      </c>
      <c r="K26" s="1368"/>
      <c r="L26" s="1736"/>
      <c r="M26" s="1727"/>
      <c r="N26" s="1727"/>
      <c r="O26" s="1735"/>
      <c r="P26" s="1364"/>
      <c r="Q26" s="749">
        <f t="shared" ref="Q26:Q40" si="11">B26</f>
        <v>111</v>
      </c>
      <c r="R26" s="1411" t="s">
        <v>1490</v>
      </c>
      <c r="S26" s="1412">
        <f>F26</f>
        <v>100</v>
      </c>
      <c r="T26" s="1411" t="s">
        <v>1490</v>
      </c>
      <c r="U26" s="1412">
        <f>H26</f>
        <v>100</v>
      </c>
      <c r="V26" s="1411" t="s">
        <v>1490</v>
      </c>
      <c r="W26" s="1412">
        <f>J26</f>
        <v>100</v>
      </c>
      <c r="X26" s="1398"/>
      <c r="Y26" s="1364"/>
      <c r="Z26" s="1385">
        <f>Q26</f>
        <v>111</v>
      </c>
      <c r="AA26" s="1427">
        <f t="shared" si="3"/>
        <v>1</v>
      </c>
      <c r="AB26" s="1427">
        <f t="shared" si="4"/>
        <v>1</v>
      </c>
      <c r="AC26" s="1427">
        <f t="shared" si="5"/>
        <v>1</v>
      </c>
    </row>
    <row r="27" s="1164" customFormat="1" ht="15" spans="1:29">
      <c r="A27" s="1220"/>
      <c r="B27" s="1560">
        <v>111</v>
      </c>
      <c r="C27" s="1225">
        <v>111</v>
      </c>
      <c r="D27" s="1722">
        <v>100</v>
      </c>
      <c r="E27" s="1225"/>
      <c r="F27" s="1723">
        <f>SUMIF(84:84,E27,85:85)-SUMIF(84:84,C27,85:85)+100</f>
        <v>100</v>
      </c>
      <c r="G27" s="1225"/>
      <c r="H27" s="1722">
        <f>SUMIF(84:84,G27,85:85)-SUMIF(84:84,C27,85:85)+100</f>
        <v>100</v>
      </c>
      <c r="I27" s="1225"/>
      <c r="J27" s="1722">
        <f>SUMIF(84:84,I27,85:85)-SUMIF(84:84,C27,85:85)+100</f>
        <v>100</v>
      </c>
      <c r="K27" s="1368"/>
      <c r="L27" s="1728"/>
      <c r="M27" s="1729"/>
      <c r="N27" s="1729"/>
      <c r="O27" s="1730"/>
      <c r="P27" s="1364"/>
      <c r="Q27" s="1410">
        <f t="shared" si="11"/>
        <v>111</v>
      </c>
      <c r="R27" s="1406" t="s">
        <v>1490</v>
      </c>
      <c r="S27" s="1407">
        <f>F27</f>
        <v>100</v>
      </c>
      <c r="T27" s="1406" t="s">
        <v>1490</v>
      </c>
      <c r="U27" s="1407">
        <f>H27</f>
        <v>100</v>
      </c>
      <c r="V27" s="1406" t="s">
        <v>1490</v>
      </c>
      <c r="W27" s="1407">
        <f>J27</f>
        <v>100</v>
      </c>
      <c r="X27" s="1408"/>
      <c r="Y27" s="1364"/>
      <c r="Z27" s="1426">
        <f>Q27</f>
        <v>111</v>
      </c>
      <c r="AA27" s="1427">
        <f t="shared" si="3"/>
        <v>1</v>
      </c>
      <c r="AB27" s="1427">
        <f t="shared" si="4"/>
        <v>1</v>
      </c>
      <c r="AC27" s="1427">
        <f t="shared" si="5"/>
        <v>1</v>
      </c>
    </row>
    <row r="28" ht="15.75" spans="1:29">
      <c r="A28" s="1227"/>
      <c r="B28" s="1560">
        <v>111</v>
      </c>
      <c r="C28" s="1229">
        <v>111</v>
      </c>
      <c r="D28" s="1230">
        <v>100</v>
      </c>
      <c r="E28" s="1225"/>
      <c r="F28" s="1622">
        <f>SUMIF(86:86,E28,87:87)-SUMIF(86:86,C28,87:87)+100</f>
        <v>100</v>
      </c>
      <c r="G28" s="1603"/>
      <c r="H28" s="1230">
        <f>SUMIF(86:86,G28,87:87)-SUMIF(86:86,C28,87:87)+100</f>
        <v>100</v>
      </c>
      <c r="I28" s="1603"/>
      <c r="J28" s="1230">
        <f>SUMIF(86:86,I28,87:87)-SUMIF(86:86,C28,87:87)+100</f>
        <v>100</v>
      </c>
      <c r="K28" s="1368"/>
      <c r="L28" s="1736"/>
      <c r="M28" s="1727"/>
      <c r="N28" s="1727"/>
      <c r="O28" s="1735"/>
      <c r="P28" s="1364"/>
      <c r="Q28" s="749">
        <f t="shared" si="11"/>
        <v>111</v>
      </c>
      <c r="R28" s="1411" t="s">
        <v>1490</v>
      </c>
      <c r="S28" s="1412">
        <f t="shared" ref="S28:S40" si="12">F28</f>
        <v>100</v>
      </c>
      <c r="T28" s="1411" t="s">
        <v>1490</v>
      </c>
      <c r="U28" s="1412">
        <f t="shared" ref="U28:U40" si="13">H28</f>
        <v>100</v>
      </c>
      <c r="V28" s="1411" t="s">
        <v>1490</v>
      </c>
      <c r="W28" s="1412">
        <f t="shared" ref="W28:W40" si="14">J28</f>
        <v>100</v>
      </c>
      <c r="X28" s="1398"/>
      <c r="Y28" s="1364"/>
      <c r="Z28" s="1385">
        <f t="shared" ref="Z28:Z40" si="15">Q28</f>
        <v>111</v>
      </c>
      <c r="AA28" s="1427">
        <f t="shared" si="3"/>
        <v>1</v>
      </c>
      <c r="AB28" s="1427">
        <f t="shared" si="4"/>
        <v>1</v>
      </c>
      <c r="AC28" s="1427">
        <f t="shared" si="5"/>
        <v>1</v>
      </c>
    </row>
    <row r="29" ht="30.6" spans="1:29">
      <c r="A29" s="1613" t="s">
        <v>1508</v>
      </c>
      <c r="B29" s="1210" t="s">
        <v>1509</v>
      </c>
      <c r="C29" s="1614"/>
      <c r="D29" s="1267">
        <v>100</v>
      </c>
      <c r="E29" s="1614"/>
      <c r="F29" s="1609">
        <f>SUMIF(88:88,E29,89:89)-SUMIF(88:88,C29,89:89)+100</f>
        <v>100</v>
      </c>
      <c r="G29" s="1614"/>
      <c r="H29" s="1226">
        <f>SUMIF(88:88,G29,89:89)-SUMIF(88:88,C29,89:89)+100</f>
        <v>100</v>
      </c>
      <c r="I29" s="1614"/>
      <c r="J29" s="1267">
        <f>SUMIF(88:88,I29,89:89)-SUMIF(88:88,C29,89:89)+100</f>
        <v>100</v>
      </c>
      <c r="K29" s="1369"/>
      <c r="L29" s="1736"/>
      <c r="M29" s="1727"/>
      <c r="N29" s="1727"/>
      <c r="O29" s="1735"/>
      <c r="P29" s="1370" t="s">
        <v>1510</v>
      </c>
      <c r="Q29" s="749" t="str">
        <f t="shared" si="11"/>
        <v>建筑类型</v>
      </c>
      <c r="R29" s="1411" t="s">
        <v>1490</v>
      </c>
      <c r="S29" s="1412">
        <f t="shared" si="12"/>
        <v>100</v>
      </c>
      <c r="T29" s="1411" t="s">
        <v>1490</v>
      </c>
      <c r="U29" s="1412">
        <f t="shared" si="13"/>
        <v>100</v>
      </c>
      <c r="V29" s="1411" t="s">
        <v>1490</v>
      </c>
      <c r="W29" s="1412">
        <f t="shared" si="14"/>
        <v>100</v>
      </c>
      <c r="X29" s="1398"/>
      <c r="Y29" s="1373" t="s">
        <v>1510</v>
      </c>
      <c r="Z29" s="1385" t="str">
        <f t="shared" si="15"/>
        <v>建筑类型</v>
      </c>
      <c r="AA29" s="1427">
        <f t="shared" si="3"/>
        <v>1</v>
      </c>
      <c r="AB29" s="1427">
        <f t="shared" si="4"/>
        <v>1</v>
      </c>
      <c r="AC29" s="1427">
        <f t="shared" si="5"/>
        <v>1</v>
      </c>
    </row>
    <row r="30" s="1166" customFormat="1" ht="15" spans="1:29">
      <c r="A30" s="1273"/>
      <c r="B30" s="1214" t="s">
        <v>1511</v>
      </c>
      <c r="C30" s="1603"/>
      <c r="D30" s="1216">
        <v>100</v>
      </c>
      <c r="E30" s="1219"/>
      <c r="F30" s="1602" t="e">
        <f>LOOKUP(E30,91:91,92:92)-LOOKUP(C30,91:91,92:92)+100</f>
        <v>#N/A</v>
      </c>
      <c r="G30" s="1218"/>
      <c r="H30" s="1216" t="e">
        <f>LOOKUP(G30,91:91,92:92)-LOOKUP(C30,91:91,92:92)+100</f>
        <v>#N/A</v>
      </c>
      <c r="I30" s="1218"/>
      <c r="J30" s="1216" t="e">
        <f>LOOKUP(I30,91:91,92:92)-LOOKUP(C30,91:91,92:92)+100</f>
        <v>#N/A</v>
      </c>
      <c r="K30" s="1368"/>
      <c r="L30" s="1734"/>
      <c r="M30" s="1737"/>
      <c r="N30" s="1737"/>
      <c r="O30" s="1738"/>
      <c r="P30" s="1373"/>
      <c r="Q30" s="1648" t="str">
        <f t="shared" si="11"/>
        <v>项目建筑规模</v>
      </c>
      <c r="R30" s="1413" t="s">
        <v>1490</v>
      </c>
      <c r="S30" s="1414" t="e">
        <f t="shared" si="12"/>
        <v>#N/A</v>
      </c>
      <c r="T30" s="1413" t="s">
        <v>1490</v>
      </c>
      <c r="U30" s="1414" t="e">
        <f t="shared" si="13"/>
        <v>#N/A</v>
      </c>
      <c r="V30" s="1413" t="s">
        <v>1490</v>
      </c>
      <c r="W30" s="1414" t="e">
        <f t="shared" si="14"/>
        <v>#N/A</v>
      </c>
      <c r="X30" s="1415"/>
      <c r="Y30" s="1373"/>
      <c r="Z30" s="1428" t="str">
        <f t="shared" si="15"/>
        <v>项目建筑规模</v>
      </c>
      <c r="AA30" s="1427" t="e">
        <f t="shared" si="3"/>
        <v>#N/A</v>
      </c>
      <c r="AB30" s="1427" t="e">
        <f t="shared" si="4"/>
        <v>#N/A</v>
      </c>
      <c r="AC30" s="1427" t="e">
        <f t="shared" si="5"/>
        <v>#N/A</v>
      </c>
    </row>
    <row r="31" ht="15" spans="1:29">
      <c r="A31" s="1268"/>
      <c r="B31" s="1214" t="s">
        <v>1512</v>
      </c>
      <c r="C31" s="1619"/>
      <c r="D31" s="1226">
        <v>100</v>
      </c>
      <c r="E31" s="1619"/>
      <c r="F31" s="1609">
        <f>SUMIF(93:93,E31,94:94)-SUMIF(93:93,C31,94:94)+100</f>
        <v>100</v>
      </c>
      <c r="G31" s="1619"/>
      <c r="H31" s="1226">
        <f>SUMIF(93:93,G31,94:94)-SUMIF(93:93,C31,94:94)+100</f>
        <v>100</v>
      </c>
      <c r="I31" s="1619"/>
      <c r="J31" s="1226">
        <f>SUMIF(93:93,I31,94:94)-SUMIF(93:93,C31,94:94)+100</f>
        <v>100</v>
      </c>
      <c r="K31" s="1369"/>
      <c r="L31" s="1736"/>
      <c r="M31" s="1727"/>
      <c r="N31" s="1727"/>
      <c r="O31" s="1735"/>
      <c r="P31" s="1373"/>
      <c r="Q31" s="749" t="str">
        <f t="shared" si="11"/>
        <v>建筑结构</v>
      </c>
      <c r="R31" s="1411" t="s">
        <v>1490</v>
      </c>
      <c r="S31" s="1412">
        <f t="shared" si="12"/>
        <v>100</v>
      </c>
      <c r="T31" s="1411" t="s">
        <v>1490</v>
      </c>
      <c r="U31" s="1412">
        <f t="shared" si="13"/>
        <v>100</v>
      </c>
      <c r="V31" s="1411" t="s">
        <v>1490</v>
      </c>
      <c r="W31" s="1412">
        <f t="shared" si="14"/>
        <v>100</v>
      </c>
      <c r="X31" s="1398"/>
      <c r="Y31" s="1373"/>
      <c r="Z31" s="1385" t="str">
        <f t="shared" si="15"/>
        <v>建筑结构</v>
      </c>
      <c r="AA31" s="1427">
        <f t="shared" si="3"/>
        <v>1</v>
      </c>
      <c r="AB31" s="1427">
        <f t="shared" si="4"/>
        <v>1</v>
      </c>
      <c r="AC31" s="1427">
        <f t="shared" si="5"/>
        <v>1</v>
      </c>
    </row>
    <row r="32" ht="15" spans="1:29">
      <c r="A32" s="1268"/>
      <c r="B32" s="1214" t="s">
        <v>1514</v>
      </c>
      <c r="C32" s="1619"/>
      <c r="D32" s="1226">
        <v>100</v>
      </c>
      <c r="E32" s="1619"/>
      <c r="F32" s="1609">
        <f>SUMIF(95:95,E32,96:96)-SUMIF(95:95,C32,96:96)+100</f>
        <v>100</v>
      </c>
      <c r="G32" s="1619"/>
      <c r="H32" s="1226">
        <f>SUMIF(95:95,G32,96:96)-SUMIF(95:95,C32,96:96)+100</f>
        <v>100</v>
      </c>
      <c r="I32" s="1619"/>
      <c r="J32" s="1226">
        <f>SUMIF(95:95,I32,96:96)-SUMIF(95:95,C32,96:96)+100</f>
        <v>100</v>
      </c>
      <c r="K32" s="1369"/>
      <c r="L32" s="1736"/>
      <c r="M32" s="1727"/>
      <c r="N32" s="1727"/>
      <c r="O32" s="1735"/>
      <c r="P32" s="1373"/>
      <c r="Q32" s="749" t="str">
        <f t="shared" si="11"/>
        <v>公共部分装修</v>
      </c>
      <c r="R32" s="1411" t="s">
        <v>1490</v>
      </c>
      <c r="S32" s="1412">
        <f t="shared" si="12"/>
        <v>100</v>
      </c>
      <c r="T32" s="1411" t="s">
        <v>1490</v>
      </c>
      <c r="U32" s="1412">
        <f t="shared" si="13"/>
        <v>100</v>
      </c>
      <c r="V32" s="1411" t="s">
        <v>1490</v>
      </c>
      <c r="W32" s="1412">
        <f t="shared" si="14"/>
        <v>100</v>
      </c>
      <c r="X32" s="1398"/>
      <c r="Y32" s="1373"/>
      <c r="Z32" s="1385" t="str">
        <f t="shared" si="15"/>
        <v>公共部分装修</v>
      </c>
      <c r="AA32" s="1427">
        <f t="shared" si="3"/>
        <v>1</v>
      </c>
      <c r="AB32" s="1427">
        <f t="shared" si="4"/>
        <v>1</v>
      </c>
      <c r="AC32" s="1427">
        <f t="shared" si="5"/>
        <v>1</v>
      </c>
    </row>
    <row r="33" ht="15" spans="1:29">
      <c r="A33" s="1268"/>
      <c r="B33" s="1214" t="s">
        <v>636</v>
      </c>
      <c r="C33" s="1603"/>
      <c r="D33" s="1226">
        <v>100</v>
      </c>
      <c r="E33" s="1616"/>
      <c r="F33" s="1609" t="e">
        <f>LOOKUP(E33,98:98,99:99)-LOOKUP(C33,98:98,99:99)+100</f>
        <v>#N/A</v>
      </c>
      <c r="G33" s="1616"/>
      <c r="H33" s="1609" t="e">
        <f>LOOKUP(G33,98:98,99:99)-LOOKUP(C33,98:98,99:99)+100</f>
        <v>#N/A</v>
      </c>
      <c r="I33" s="1616"/>
      <c r="J33" s="1226" t="e">
        <f>LOOKUP(I33,98:98,99:99)-LOOKUP(C33,98:98,99:99)+100</f>
        <v>#N/A</v>
      </c>
      <c r="K33" s="1369"/>
      <c r="L33" s="1736"/>
      <c r="M33" s="1727"/>
      <c r="N33" s="1727"/>
      <c r="O33" s="1735"/>
      <c r="P33" s="1373"/>
      <c r="Q33" s="749" t="str">
        <f t="shared" si="11"/>
        <v>成新度</v>
      </c>
      <c r="R33" s="1411" t="s">
        <v>1490</v>
      </c>
      <c r="S33" s="1412" t="e">
        <f t="shared" si="12"/>
        <v>#N/A</v>
      </c>
      <c r="T33" s="1411" t="s">
        <v>1490</v>
      </c>
      <c r="U33" s="1412" t="e">
        <f t="shared" si="13"/>
        <v>#N/A</v>
      </c>
      <c r="V33" s="1411" t="s">
        <v>1490</v>
      </c>
      <c r="W33" s="1412" t="e">
        <f t="shared" si="14"/>
        <v>#N/A</v>
      </c>
      <c r="X33" s="1398"/>
      <c r="Y33" s="1373"/>
      <c r="Z33" s="1385" t="str">
        <f t="shared" si="15"/>
        <v>成新度</v>
      </c>
      <c r="AA33" s="1427" t="e">
        <f t="shared" si="3"/>
        <v>#N/A</v>
      </c>
      <c r="AB33" s="1427" t="e">
        <f t="shared" si="4"/>
        <v>#N/A</v>
      </c>
      <c r="AC33" s="1427" t="e">
        <f t="shared" si="5"/>
        <v>#N/A</v>
      </c>
    </row>
    <row r="34" s="1164" customFormat="1" ht="15" spans="1:29">
      <c r="A34" s="1270"/>
      <c r="B34" s="1214" t="s">
        <v>1515</v>
      </c>
      <c r="C34" s="1619"/>
      <c r="D34" s="1216">
        <v>100</v>
      </c>
      <c r="E34" s="1619"/>
      <c r="F34" s="1609">
        <f>SUMIF(100:100,E34,101:101)-SUMIF(100:100,C34,101:101)+100</f>
        <v>100</v>
      </c>
      <c r="G34" s="1619"/>
      <c r="H34" s="1226">
        <f>SUMIF(100:100,G34,101:101)-SUMIF(100:100,C34,101:101)+100</f>
        <v>100</v>
      </c>
      <c r="I34" s="1619"/>
      <c r="J34" s="1226">
        <f>SUMIF(100:100,I34,101:101)-SUMIF(100:100,C34,101:101)+100</f>
        <v>100</v>
      </c>
      <c r="K34" s="1369"/>
      <c r="L34" s="1728"/>
      <c r="M34" s="1729"/>
      <c r="N34" s="1729"/>
      <c r="O34" s="1730"/>
      <c r="P34" s="1373"/>
      <c r="Q34" s="1410" t="str">
        <f t="shared" si="11"/>
        <v>物业管理</v>
      </c>
      <c r="R34" s="1406" t="s">
        <v>1490</v>
      </c>
      <c r="S34" s="1407">
        <f t="shared" si="12"/>
        <v>100</v>
      </c>
      <c r="T34" s="1406" t="s">
        <v>1490</v>
      </c>
      <c r="U34" s="1407">
        <f t="shared" si="13"/>
        <v>100</v>
      </c>
      <c r="V34" s="1406" t="s">
        <v>1490</v>
      </c>
      <c r="W34" s="1407">
        <f t="shared" si="14"/>
        <v>100</v>
      </c>
      <c r="X34" s="1408"/>
      <c r="Y34" s="1373"/>
      <c r="Z34" s="1426" t="str">
        <f t="shared" si="15"/>
        <v>物业管理</v>
      </c>
      <c r="AA34" s="1425">
        <f t="shared" si="3"/>
        <v>1</v>
      </c>
      <c r="AB34" s="1425">
        <f t="shared" si="4"/>
        <v>1</v>
      </c>
      <c r="AC34" s="1425">
        <f t="shared" si="5"/>
        <v>1</v>
      </c>
    </row>
    <row r="35" ht="15" spans="1:29">
      <c r="A35" s="1268"/>
      <c r="B35" s="1214" t="s">
        <v>1516</v>
      </c>
      <c r="C35" s="1619"/>
      <c r="D35" s="1226">
        <v>100</v>
      </c>
      <c r="E35" s="1619"/>
      <c r="F35" s="1609">
        <f>SUMIF(102:102,E35,103:103)-SUMIF(102:102,C35,103:103)+100</f>
        <v>100</v>
      </c>
      <c r="G35" s="1619"/>
      <c r="H35" s="1226">
        <f>SUMIF(102:102,G35,103:103)-SUMIF(102:102,C35,103:103)+100</f>
        <v>100</v>
      </c>
      <c r="I35" s="1619"/>
      <c r="J35" s="1226">
        <f>SUMIF(102:102,I35,103:103)-SUMIF(102:102,C35,103:103)+100</f>
        <v>100</v>
      </c>
      <c r="K35" s="1369"/>
      <c r="L35" s="1736"/>
      <c r="M35" s="1727"/>
      <c r="N35" s="1727"/>
      <c r="O35" s="1735"/>
      <c r="P35" s="1373" t="s">
        <v>1510</v>
      </c>
      <c r="Q35" s="749" t="str">
        <f t="shared" si="11"/>
        <v>市政基础设施</v>
      </c>
      <c r="R35" s="1411" t="s">
        <v>1490</v>
      </c>
      <c r="S35" s="1412">
        <f t="shared" si="12"/>
        <v>100</v>
      </c>
      <c r="T35" s="1411" t="s">
        <v>1490</v>
      </c>
      <c r="U35" s="1412">
        <f t="shared" si="13"/>
        <v>100</v>
      </c>
      <c r="V35" s="1411" t="s">
        <v>1490</v>
      </c>
      <c r="W35" s="1412">
        <f t="shared" si="14"/>
        <v>100</v>
      </c>
      <c r="X35" s="1398"/>
      <c r="Y35" s="1373" t="s">
        <v>1510</v>
      </c>
      <c r="Z35" s="1385" t="str">
        <f t="shared" si="15"/>
        <v>市政基础设施</v>
      </c>
      <c r="AA35" s="1427">
        <f t="shared" si="3"/>
        <v>1</v>
      </c>
      <c r="AB35" s="1427">
        <f t="shared" si="4"/>
        <v>1</v>
      </c>
      <c r="AC35" s="1427">
        <f t="shared" si="5"/>
        <v>1</v>
      </c>
    </row>
    <row r="36" ht="15" spans="1:29">
      <c r="A36" s="1268"/>
      <c r="B36" s="1214" t="s">
        <v>1519</v>
      </c>
      <c r="C36" s="1619"/>
      <c r="D36" s="1226">
        <v>100</v>
      </c>
      <c r="E36" s="1619"/>
      <c r="F36" s="1609">
        <f>SUMIF(104:104,E36,105:105)-SUMIF(104:104,C36,105:105)+100</f>
        <v>100</v>
      </c>
      <c r="G36" s="1619"/>
      <c r="H36" s="1226">
        <f>SUMIF(104:104,G36,105:105)-SUMIF(104:104,C36,105:105)+100</f>
        <v>100</v>
      </c>
      <c r="I36" s="1619"/>
      <c r="J36" s="1226">
        <f>SUMIF(104:104,I36,105:105)-SUMIF(104:104,C36,105:105)+100</f>
        <v>100</v>
      </c>
      <c r="K36" s="1369"/>
      <c r="L36" s="1736"/>
      <c r="M36" s="1727"/>
      <c r="N36" s="1727"/>
      <c r="O36" s="1735"/>
      <c r="P36" s="1373"/>
      <c r="Q36" s="749" t="str">
        <f t="shared" si="11"/>
        <v>内部装修</v>
      </c>
      <c r="R36" s="1411" t="s">
        <v>1490</v>
      </c>
      <c r="S36" s="1412">
        <f t="shared" si="12"/>
        <v>100</v>
      </c>
      <c r="T36" s="1411" t="s">
        <v>1490</v>
      </c>
      <c r="U36" s="1412">
        <f t="shared" si="13"/>
        <v>100</v>
      </c>
      <c r="V36" s="1411" t="s">
        <v>1490</v>
      </c>
      <c r="W36" s="1412">
        <f t="shared" si="14"/>
        <v>100</v>
      </c>
      <c r="X36" s="1398"/>
      <c r="Y36" s="1373"/>
      <c r="Z36" s="1385" t="str">
        <f t="shared" si="15"/>
        <v>内部装修</v>
      </c>
      <c r="AA36" s="1427">
        <f t="shared" si="3"/>
        <v>1</v>
      </c>
      <c r="AB36" s="1427">
        <f t="shared" si="4"/>
        <v>1</v>
      </c>
      <c r="AC36" s="1427">
        <f t="shared" si="5"/>
        <v>1</v>
      </c>
    </row>
    <row r="37" ht="15" spans="1:29">
      <c r="A37" s="1268"/>
      <c r="B37" s="1214" t="s">
        <v>1612</v>
      </c>
      <c r="C37" s="1251"/>
      <c r="D37" s="1226">
        <v>100</v>
      </c>
      <c r="E37" s="1251"/>
      <c r="F37" s="1609">
        <f>SUMIF(106:106,E37,107:107)-SUMIF(106:106,C37,107:107)+100</f>
        <v>100</v>
      </c>
      <c r="G37" s="1251"/>
      <c r="H37" s="1226">
        <f>SUMIF(106:106,G37,107:107)-SUMIF(106:106,C37,107:107)+100</f>
        <v>100</v>
      </c>
      <c r="I37" s="1251"/>
      <c r="J37" s="1226">
        <f>SUMIF(106:106,I37,107:107)-SUMIF(106:106,C37,107:107)+100</f>
        <v>100</v>
      </c>
      <c r="K37" s="1369"/>
      <c r="L37" s="1736"/>
      <c r="M37" s="1727"/>
      <c r="N37" s="1727"/>
      <c r="O37" s="1735"/>
      <c r="P37" s="1373"/>
      <c r="Q37" s="749" t="str">
        <f t="shared" si="11"/>
        <v>内部装修状况</v>
      </c>
      <c r="R37" s="1411" t="s">
        <v>1490</v>
      </c>
      <c r="S37" s="1412">
        <f t="shared" si="12"/>
        <v>100</v>
      </c>
      <c r="T37" s="1411" t="s">
        <v>1490</v>
      </c>
      <c r="U37" s="1412">
        <f t="shared" si="13"/>
        <v>100</v>
      </c>
      <c r="V37" s="1411" t="s">
        <v>1490</v>
      </c>
      <c r="W37" s="1412">
        <f t="shared" si="14"/>
        <v>100</v>
      </c>
      <c r="X37" s="1398"/>
      <c r="Y37" s="1373"/>
      <c r="Z37" s="1385" t="str">
        <f t="shared" si="15"/>
        <v>内部装修状况</v>
      </c>
      <c r="AA37" s="1427">
        <f t="shared" si="3"/>
        <v>1</v>
      </c>
      <c r="AB37" s="1427">
        <f t="shared" si="4"/>
        <v>1</v>
      </c>
      <c r="AC37" s="1427">
        <f t="shared" si="5"/>
        <v>1</v>
      </c>
    </row>
    <row r="38" s="1166" customFormat="1" ht="15" spans="1:29">
      <c r="A38" s="1273"/>
      <c r="B38" s="1560">
        <v>111</v>
      </c>
      <c r="C38" s="1603"/>
      <c r="D38" s="1226">
        <v>100</v>
      </c>
      <c r="E38" s="1225"/>
      <c r="F38" s="1609">
        <f>SUMIF(108:108,E38,109:109)-SUMIF(108:108,C38,109:109)+100</f>
        <v>100</v>
      </c>
      <c r="G38" s="1603"/>
      <c r="H38" s="1226">
        <f>SUMIF(108:108,G38,109:109)-SUMIF(108:108,C38,109:109)+100</f>
        <v>100</v>
      </c>
      <c r="I38" s="1603"/>
      <c r="J38" s="1226">
        <f>SUMIF(108:108,I38,109:1038)-SUMIF(108:108,C38,109:109)+100</f>
        <v>100</v>
      </c>
      <c r="K38" s="1368"/>
      <c r="L38" s="1734"/>
      <c r="M38" s="1737"/>
      <c r="N38" s="1737"/>
      <c r="O38" s="1738"/>
      <c r="P38" s="1373"/>
      <c r="Q38" s="1648">
        <f t="shared" si="11"/>
        <v>111</v>
      </c>
      <c r="R38" s="1413" t="s">
        <v>1490</v>
      </c>
      <c r="S38" s="1414">
        <f t="shared" si="12"/>
        <v>100</v>
      </c>
      <c r="T38" s="1413" t="s">
        <v>1490</v>
      </c>
      <c r="U38" s="1414">
        <f t="shared" si="13"/>
        <v>100</v>
      </c>
      <c r="V38" s="1413" t="s">
        <v>1490</v>
      </c>
      <c r="W38" s="1414">
        <f t="shared" si="14"/>
        <v>100</v>
      </c>
      <c r="X38" s="1415"/>
      <c r="Y38" s="1373"/>
      <c r="Z38" s="1428">
        <f t="shared" si="15"/>
        <v>111</v>
      </c>
      <c r="AA38" s="1427">
        <f t="shared" si="3"/>
        <v>1</v>
      </c>
      <c r="AB38" s="1427">
        <f t="shared" si="4"/>
        <v>1</v>
      </c>
      <c r="AC38" s="1427">
        <f t="shared" si="5"/>
        <v>1</v>
      </c>
    </row>
    <row r="39" ht="15" spans="1:29">
      <c r="A39" s="1268"/>
      <c r="B39" s="1560">
        <v>111</v>
      </c>
      <c r="C39" s="1603"/>
      <c r="D39" s="1226">
        <v>100</v>
      </c>
      <c r="E39" s="1225"/>
      <c r="F39" s="1609">
        <f>SUMIF(110:110,E39,111:111)-SUMIF(110:110,C39,111:111)+100</f>
        <v>100</v>
      </c>
      <c r="G39" s="1603"/>
      <c r="H39" s="1226">
        <f>SUMIF(110:110,G39,111:111)-SUMIF(110:110,C39,111:111)+100</f>
        <v>100</v>
      </c>
      <c r="I39" s="1603"/>
      <c r="J39" s="1226">
        <f>SUMIF(110:110,I39,111:111)-SUMIF(110:110,C39,111:111)+100</f>
        <v>100</v>
      </c>
      <c r="K39" s="1368"/>
      <c r="L39" s="1736"/>
      <c r="M39" s="1727"/>
      <c r="N39" s="1727"/>
      <c r="O39" s="1735"/>
      <c r="P39" s="1373"/>
      <c r="Q39" s="749">
        <f t="shared" si="11"/>
        <v>111</v>
      </c>
      <c r="R39" s="1411" t="s">
        <v>1490</v>
      </c>
      <c r="S39" s="1412">
        <f t="shared" si="12"/>
        <v>100</v>
      </c>
      <c r="T39" s="1411" t="s">
        <v>1490</v>
      </c>
      <c r="U39" s="1412">
        <f t="shared" si="13"/>
        <v>100</v>
      </c>
      <c r="V39" s="1411" t="s">
        <v>1490</v>
      </c>
      <c r="W39" s="1412">
        <f t="shared" si="14"/>
        <v>100</v>
      </c>
      <c r="X39" s="1398"/>
      <c r="Y39" s="1373"/>
      <c r="Z39" s="1385">
        <f t="shared" si="15"/>
        <v>111</v>
      </c>
      <c r="AA39" s="1427">
        <f t="shared" si="3"/>
        <v>1</v>
      </c>
      <c r="AB39" s="1427">
        <f t="shared" si="4"/>
        <v>1</v>
      </c>
      <c r="AC39" s="1427">
        <f t="shared" si="5"/>
        <v>1</v>
      </c>
    </row>
    <row r="40" ht="15.75" spans="1:29">
      <c r="A40" s="1621"/>
      <c r="B40" s="1228">
        <v>111</v>
      </c>
      <c r="C40" s="1229"/>
      <c r="D40" s="1230">
        <v>100</v>
      </c>
      <c r="E40" s="1225"/>
      <c r="F40" s="1622">
        <f>SUMIF(112:112,E40,113:113)-SUMIF(112:112,C40,113:113)+100</f>
        <v>100</v>
      </c>
      <c r="G40" s="1603"/>
      <c r="H40" s="1230">
        <f>SUMIF(112:112,G40,113:113)-SUMIF(112:112,C40,113:113)+100</f>
        <v>100</v>
      </c>
      <c r="I40" s="1603"/>
      <c r="J40" s="1230">
        <f>SUMIF(112:112,I40,113:113)-SUMIF(112:112,C40,113:113)+100</f>
        <v>100</v>
      </c>
      <c r="K40" s="1368"/>
      <c r="L40" s="1736"/>
      <c r="M40" s="1727"/>
      <c r="N40" s="1727"/>
      <c r="O40" s="1735"/>
      <c r="P40" s="1739"/>
      <c r="Q40" s="749">
        <f t="shared" si="11"/>
        <v>111</v>
      </c>
      <c r="R40" s="1411" t="s">
        <v>1490</v>
      </c>
      <c r="S40" s="1412">
        <f t="shared" si="12"/>
        <v>100</v>
      </c>
      <c r="T40" s="1411" t="s">
        <v>1490</v>
      </c>
      <c r="U40" s="1412">
        <f t="shared" si="13"/>
        <v>100</v>
      </c>
      <c r="V40" s="1411" t="s">
        <v>1490</v>
      </c>
      <c r="W40" s="1412">
        <f t="shared" si="14"/>
        <v>100</v>
      </c>
      <c r="X40" s="1398"/>
      <c r="Y40" s="1739"/>
      <c r="Z40" s="1385">
        <f t="shared" si="15"/>
        <v>111</v>
      </c>
      <c r="AA40" s="1427">
        <f t="shared" si="3"/>
        <v>1</v>
      </c>
      <c r="AB40" s="1427">
        <f t="shared" si="4"/>
        <v>1</v>
      </c>
      <c r="AC40" s="1427">
        <f t="shared" si="5"/>
        <v>1</v>
      </c>
    </row>
    <row r="41" ht="14.4" spans="1:29">
      <c r="A41" s="1275" t="s">
        <v>1521</v>
      </c>
      <c r="B41" s="1623"/>
      <c r="C41" s="1624" t="s">
        <v>124</v>
      </c>
      <c r="D41" s="1625"/>
      <c r="E41" s="1626"/>
      <c r="F41" s="1627"/>
      <c r="G41" s="1628"/>
      <c r="H41" s="1629"/>
      <c r="I41" s="1626"/>
      <c r="J41" s="1629"/>
      <c r="K41" s="1376"/>
      <c r="L41" s="1740"/>
      <c r="M41" s="1328"/>
      <c r="N41" s="1727"/>
      <c r="O41" s="1328"/>
      <c r="P41" s="749" t="str">
        <f>A41</f>
        <v>成交单价（元/平方米）</v>
      </c>
      <c r="Q41" s="749"/>
      <c r="R41" s="1427">
        <f>E41</f>
        <v>0</v>
      </c>
      <c r="S41" s="1427"/>
      <c r="T41" s="1427">
        <f>G41</f>
        <v>0</v>
      </c>
      <c r="U41" s="1427"/>
      <c r="V41" s="1427">
        <f>I41</f>
        <v>0</v>
      </c>
      <c r="W41" s="1427"/>
      <c r="X41" s="1333"/>
      <c r="Y41" s="1429"/>
      <c r="Z41" s="1333"/>
      <c r="AA41" s="1333"/>
      <c r="AB41" s="1333"/>
      <c r="AC41" s="1333"/>
    </row>
    <row r="42" ht="15.15" spans="1:29">
      <c r="A42" s="1283" t="s">
        <v>1522</v>
      </c>
      <c r="B42" s="1630"/>
      <c r="C42" s="1631" t="e">
        <f>R43</f>
        <v>#DIV/0!</v>
      </c>
      <c r="D42" s="1286" t="s">
        <v>1523</v>
      </c>
      <c r="E42" s="1632" t="e">
        <f>R42</f>
        <v>#DIV/0!</v>
      </c>
      <c r="F42" s="1287"/>
      <c r="G42" s="1631" t="e">
        <f>T42</f>
        <v>#DIV/0!</v>
      </c>
      <c r="H42" s="1287"/>
      <c r="I42" s="1632" t="e">
        <f>V42</f>
        <v>#DIV/0!</v>
      </c>
      <c r="J42" s="1287"/>
      <c r="K42" s="1378">
        <f>F42+H42+J42</f>
        <v>0</v>
      </c>
      <c r="L42" s="1740"/>
      <c r="M42" s="1328"/>
      <c r="N42" s="1727"/>
      <c r="O42" s="1328"/>
      <c r="P42" s="749" t="str">
        <f>A42</f>
        <v>比较价值（元/平方米）</v>
      </c>
      <c r="Q42" s="749"/>
      <c r="R42" s="1427" t="e">
        <f>IF(F1="售价",ROUND(PRODUCT(R41,AA7:AA40),0),ROUND(PRODUCT(R41,AA7:AA40),1))</f>
        <v>#DIV/0!</v>
      </c>
      <c r="S42" s="1427"/>
      <c r="T42" s="1427" t="e">
        <f>IF(F1="售价",ROUND(PRODUCT(T41,AB7:AB40),0),ROUND(PRODUCT(T41,AB7:AB40),1))</f>
        <v>#DIV/0!</v>
      </c>
      <c r="U42" s="1427"/>
      <c r="V42" s="1427" t="e">
        <f>IF(F1="售价",ROUND(PRODUCT(V41,AC7:AC40),0),ROUND(PRODUCT(V41,AC7:AC40),1))</f>
        <v>#DIV/0!</v>
      </c>
      <c r="W42" s="1427"/>
      <c r="X42" s="1333"/>
      <c r="Y42" s="1333"/>
      <c r="Z42" s="1333"/>
      <c r="AA42" s="1333"/>
      <c r="AB42" s="1333"/>
      <c r="AC42" s="1333"/>
    </row>
    <row r="43" ht="15.15" spans="1:29">
      <c r="A43" s="1289" t="s">
        <v>1524</v>
      </c>
      <c r="B43" s="1290"/>
      <c r="C43" s="1633" t="e">
        <f>R43</f>
        <v>#DIV/0!</v>
      </c>
      <c r="D43" s="1633"/>
      <c r="E43" s="1633"/>
      <c r="F43" s="1633"/>
      <c r="G43" s="1633"/>
      <c r="H43" s="1633"/>
      <c r="I43" s="1633"/>
      <c r="J43" s="1633"/>
      <c r="K43" s="1379"/>
      <c r="L43" s="1740"/>
      <c r="M43" s="1328"/>
      <c r="N43" s="1328"/>
      <c r="O43" s="1328"/>
      <c r="P43" s="1380" t="str">
        <f>A43</f>
        <v>估价对象XX用房的比较价值（楼面单价，元/平方米）</v>
      </c>
      <c r="Q43" s="1417"/>
      <c r="R43" s="1755" t="e">
        <f>IF(F1="售价",ROUND(IF(D42="简单平均",AVERAGE(R42:V42),R42*F42+T42*H42+V42*J42),0),ROUND(IF(D42="简单平均",AVERAGE(R42:V42),R42*F42+T42*H42+V42*J42),1))</f>
        <v>#DIV/0!</v>
      </c>
      <c r="S43" s="1755"/>
      <c r="T43" s="1755"/>
      <c r="U43" s="1755"/>
      <c r="V43" s="1755"/>
      <c r="W43" s="1755"/>
      <c r="X43" s="1333"/>
      <c r="Y43" s="1333"/>
      <c r="Z43" s="1333"/>
      <c r="AA43" s="1333"/>
      <c r="AB43" s="1333"/>
      <c r="AC43" s="1333"/>
    </row>
    <row r="44" spans="1:15">
      <c r="A44" s="1292"/>
      <c r="B44" s="1292"/>
      <c r="C44" s="1292"/>
      <c r="D44" s="1292"/>
      <c r="E44" s="1292"/>
      <c r="F44" s="1292"/>
      <c r="G44" s="1293"/>
      <c r="H44" s="1292"/>
      <c r="I44" s="1292"/>
      <c r="J44" s="1292"/>
      <c r="K44" s="1381"/>
      <c r="L44" s="1390"/>
      <c r="M44" s="1328"/>
      <c r="N44" s="1328"/>
      <c r="O44" s="1328"/>
    </row>
    <row r="45" spans="1:15">
      <c r="A45" s="1292"/>
      <c r="B45" s="1292"/>
      <c r="C45" s="1292"/>
      <c r="D45" s="1292"/>
      <c r="E45" s="1292"/>
      <c r="F45" s="1292"/>
      <c r="G45" s="1292"/>
      <c r="H45" s="1292"/>
      <c r="I45" s="1292"/>
      <c r="J45" s="1292"/>
      <c r="K45" s="1381"/>
      <c r="L45" s="1390"/>
      <c r="M45" s="1328"/>
      <c r="N45" s="1328"/>
      <c r="O45" s="1328"/>
    </row>
    <row r="46" ht="13.5" customHeight="1" spans="1:15">
      <c r="A46" s="1292"/>
      <c r="B46" s="1292"/>
      <c r="C46" s="1294" t="s">
        <v>1525</v>
      </c>
      <c r="D46" s="793"/>
      <c r="E46" s="1295" t="e">
        <f>IF(E41&lt;E42,E42/E41-1,E41/E42-1)</f>
        <v>#DIV/0!</v>
      </c>
      <c r="F46" s="1296" t="e">
        <f>IF(OR(E46&gt;=0.3,E46&lt;=-0.3),"超过30%","")</f>
        <v>#DIV/0!</v>
      </c>
      <c r="G46" s="1295" t="e">
        <f>IF(G41&lt;G42,G42/G41-1,G41/G42-1)</f>
        <v>#DIV/0!</v>
      </c>
      <c r="H46" s="1296" t="e">
        <f>IF(OR(G46&gt;=0.3,G46&lt;=-0.3),"超过30%","")</f>
        <v>#DIV/0!</v>
      </c>
      <c r="I46" s="1295" t="e">
        <f>IF(I41&lt;I42,I42/I41-1,I41/I42-1)</f>
        <v>#DIV/0!</v>
      </c>
      <c r="J46" s="1296" t="e">
        <f>IF(OR(I46&gt;=0.3,I46&lt;=-0.3),"超过30%","")</f>
        <v>#DIV/0!</v>
      </c>
      <c r="K46" s="1381"/>
      <c r="L46" s="1390"/>
      <c r="M46" s="1328"/>
      <c r="N46" s="1328"/>
      <c r="O46" s="1328"/>
    </row>
    <row r="47" ht="13.5" customHeight="1" spans="1:15">
      <c r="A47" s="1292"/>
      <c r="B47" s="1292"/>
      <c r="C47" s="1294" t="s">
        <v>1526</v>
      </c>
      <c r="D47" s="792"/>
      <c r="E47" s="1295" t="e">
        <f>IF(E42&lt;G42,G42/E42-1,E42/G42-1)</f>
        <v>#DIV/0!</v>
      </c>
      <c r="F47" s="1296" t="e">
        <f>IF(OR(E47&gt;=0.2,E47&lt;=-0.2),"超过20%","")</f>
        <v>#DIV/0!</v>
      </c>
      <c r="G47" s="1295" t="e">
        <f>IF(G42&lt;I42,I42/G42-1,G42/I42-1)</f>
        <v>#DIV/0!</v>
      </c>
      <c r="H47" s="1296" t="e">
        <f>IF(OR(G47&gt;=0.2,G47&lt;=-0.2),"超过20%","")</f>
        <v>#DIV/0!</v>
      </c>
      <c r="I47" s="1295" t="e">
        <f>IF(I42&lt;E42,E42/I42-1,I42/E42-1)</f>
        <v>#DIV/0!</v>
      </c>
      <c r="J47" s="1296" t="e">
        <f>IF(OR(I47&gt;=0.2,I47&lt;=-0.2),"超过20%","")</f>
        <v>#DIV/0!</v>
      </c>
      <c r="K47" s="1381"/>
      <c r="L47" s="1390"/>
      <c r="M47" s="1328"/>
      <c r="N47" s="1328"/>
      <c r="O47" s="1328"/>
    </row>
    <row r="48" s="1167" customFormat="1" ht="13.5" customHeight="1" spans="1:15">
      <c r="A48" s="1297"/>
      <c r="B48" s="1297"/>
      <c r="C48" s="1294" t="s">
        <v>1527</v>
      </c>
      <c r="D48" s="792"/>
      <c r="E48" s="1295" t="e">
        <f>IF(E41&lt;G41,G41/E41-1,E41/G41-1)</f>
        <v>#DIV/0!</v>
      </c>
      <c r="F48" s="1296" t="e">
        <f>IF(OR(E48&gt;=0.3,E48&lt;=-0.3),"超过30%","")</f>
        <v>#DIV/0!</v>
      </c>
      <c r="G48" s="1295" t="e">
        <f>IF(G41&lt;I41,I41/G41-1,G41/I41-1)</f>
        <v>#DIV/0!</v>
      </c>
      <c r="H48" s="1296" t="e">
        <f>IF(OR(G48&gt;=0.3,G48&lt;=-0.3),"超过30%","")</f>
        <v>#DIV/0!</v>
      </c>
      <c r="I48" s="1295" t="e">
        <f>IF(I41&lt;E41,E41/I41-1,I41/E41-1)</f>
        <v>#DIV/0!</v>
      </c>
      <c r="J48" s="1296" t="e">
        <f>IF(OR(I48&gt;=0.3,I48&lt;=-0.3),"超过30%","")</f>
        <v>#DIV/0!</v>
      </c>
      <c r="K48" s="1383"/>
      <c r="L48" s="1741"/>
      <c r="M48" s="1742"/>
      <c r="N48" s="1742"/>
      <c r="O48" s="1742"/>
    </row>
    <row r="49" s="1167" customFormat="1" spans="1:15">
      <c r="A49" s="1297"/>
      <c r="B49" s="1298"/>
      <c r="C49" s="1634"/>
      <c r="D49" s="1297"/>
      <c r="E49" s="1297"/>
      <c r="F49" s="1297"/>
      <c r="G49" s="1297"/>
      <c r="H49" s="1297"/>
      <c r="I49" s="1297"/>
      <c r="J49" s="1297"/>
      <c r="K49" s="1383"/>
      <c r="L49" s="1741"/>
      <c r="M49" s="1742"/>
      <c r="N49" s="1742"/>
      <c r="O49" s="1742"/>
    </row>
    <row r="50" spans="1:15">
      <c r="A50" s="1292"/>
      <c r="B50" s="1298"/>
      <c r="C50" s="1634"/>
      <c r="D50" s="1292"/>
      <c r="E50" s="1292"/>
      <c r="F50" s="1292"/>
      <c r="G50" s="1292"/>
      <c r="H50" s="1292"/>
      <c r="I50" s="1292"/>
      <c r="J50" s="1292"/>
      <c r="K50" s="1381"/>
      <c r="L50" s="1390"/>
      <c r="M50" s="1328"/>
      <c r="N50" s="1328"/>
      <c r="O50" s="1328"/>
    </row>
    <row r="51" ht="21.15" spans="1:17">
      <c r="A51" s="1332" t="s">
        <v>1528</v>
      </c>
      <c r="B51" s="1333"/>
      <c r="C51" s="1334"/>
      <c r="D51" s="1334"/>
      <c r="E51" s="1334"/>
      <c r="F51" s="1335"/>
      <c r="G51" s="1335"/>
      <c r="H51" s="1334"/>
      <c r="I51" s="1334"/>
      <c r="J51" s="1334"/>
      <c r="K51" s="1578"/>
      <c r="L51" s="1579"/>
      <c r="M51" s="1393"/>
      <c r="N51" s="1393"/>
      <c r="O51" s="1393"/>
      <c r="P51" s="1743"/>
      <c r="Q51" s="1745"/>
    </row>
    <row r="52" s="1169" customFormat="1" ht="14.4" spans="1:16">
      <c r="A52" s="1635" t="s">
        <v>1488</v>
      </c>
      <c r="B52" s="1636"/>
      <c r="C52" s="1637" t="str">
        <f>YEAR(C7)&amp;"-"&amp;MONTH(C7)</f>
        <v>2023-4</v>
      </c>
      <c r="D52" s="1638">
        <f>EDATE(C52,-1)</f>
        <v>44986</v>
      </c>
      <c r="E52" s="1638">
        <f t="shared" ref="E52:O52" si="16">EDATE(D52,-1)</f>
        <v>44958</v>
      </c>
      <c r="F52" s="1638">
        <f t="shared" si="16"/>
        <v>44927</v>
      </c>
      <c r="G52" s="1638">
        <f t="shared" si="16"/>
        <v>44896</v>
      </c>
      <c r="H52" s="1638">
        <f t="shared" si="16"/>
        <v>44866</v>
      </c>
      <c r="I52" s="1638">
        <f t="shared" si="16"/>
        <v>44835</v>
      </c>
      <c r="J52" s="1638">
        <f t="shared" si="16"/>
        <v>44805</v>
      </c>
      <c r="K52" s="1638">
        <f t="shared" si="16"/>
        <v>44774</v>
      </c>
      <c r="L52" s="1638">
        <f t="shared" si="16"/>
        <v>44743</v>
      </c>
      <c r="M52" s="1638">
        <f t="shared" si="16"/>
        <v>44713</v>
      </c>
      <c r="N52" s="1638">
        <f t="shared" si="16"/>
        <v>44682</v>
      </c>
      <c r="O52" s="1638">
        <f t="shared" si="16"/>
        <v>44652</v>
      </c>
      <c r="P52" s="1744"/>
    </row>
    <row r="53" s="1164" customFormat="1" spans="1:16">
      <c r="A53" s="1639"/>
      <c r="B53" s="1441"/>
      <c r="C53" s="1640">
        <v>100</v>
      </c>
      <c r="D53" s="1445"/>
      <c r="E53" s="1445"/>
      <c r="F53" s="1445"/>
      <c r="G53" s="1445"/>
      <c r="H53" s="1445"/>
      <c r="I53" s="1445"/>
      <c r="J53" s="1445"/>
      <c r="K53" s="1445"/>
      <c r="L53" s="1445"/>
      <c r="M53" s="1647"/>
      <c r="N53" s="1445"/>
      <c r="O53" s="1493"/>
      <c r="P53" s="1745"/>
    </row>
    <row r="54" s="1164" customFormat="1" ht="15.15" spans="1:17">
      <c r="A54" s="1436" t="s">
        <v>1529</v>
      </c>
      <c r="B54" s="1437"/>
      <c r="C54" s="1438"/>
      <c r="D54" s="1439"/>
      <c r="E54" s="1439"/>
      <c r="F54" s="1439"/>
      <c r="G54" s="1439"/>
      <c r="H54" s="1439"/>
      <c r="I54" s="1439"/>
      <c r="J54" s="1439"/>
      <c r="K54" s="1439"/>
      <c r="L54" s="1439"/>
      <c r="M54" s="1487"/>
      <c r="N54" s="1746"/>
      <c r="O54" s="1747"/>
      <c r="P54" s="1745"/>
      <c r="Q54" s="1745"/>
    </row>
    <row r="55" s="1164" customFormat="1" ht="14.4" spans="1:17">
      <c r="A55" s="1440" t="s">
        <v>1491</v>
      </c>
      <c r="B55" s="1441"/>
      <c r="C55" s="1442" t="s">
        <v>1530</v>
      </c>
      <c r="D55" s="1443"/>
      <c r="E55" s="1443"/>
      <c r="F55" s="1443"/>
      <c r="G55" s="1443"/>
      <c r="H55" s="1443"/>
      <c r="I55" s="1443"/>
      <c r="J55" s="1443"/>
      <c r="K55" s="1443"/>
      <c r="L55" s="1489"/>
      <c r="M55" s="1490"/>
      <c r="N55" s="1748"/>
      <c r="O55" s="1748"/>
      <c r="P55" s="1749"/>
      <c r="Q55" s="1745"/>
    </row>
    <row r="56" s="1164" customFormat="1" ht="14.55" spans="1:17">
      <c r="A56" s="1440"/>
      <c r="B56" s="1441"/>
      <c r="C56" s="1444">
        <v>100</v>
      </c>
      <c r="D56" s="1445"/>
      <c r="E56" s="1445"/>
      <c r="F56" s="1445"/>
      <c r="G56" s="1445"/>
      <c r="H56" s="1445"/>
      <c r="I56" s="1445"/>
      <c r="J56" s="1445"/>
      <c r="K56" s="1445"/>
      <c r="L56" s="1445"/>
      <c r="M56" s="1493"/>
      <c r="N56" s="1748"/>
      <c r="O56" s="1748"/>
      <c r="P56" s="1745"/>
      <c r="Q56" s="1745"/>
    </row>
    <row r="57" ht="14.4" spans="1:17">
      <c r="A57" s="1446" t="s">
        <v>1531</v>
      </c>
      <c r="B57" s="1447" t="s">
        <v>1494</v>
      </c>
      <c r="C57" s="1469">
        <f>C9</f>
        <v>0</v>
      </c>
      <c r="D57" s="1374"/>
      <c r="E57" s="1374"/>
      <c r="F57" s="1374"/>
      <c r="G57" s="1374"/>
      <c r="H57" s="1374"/>
      <c r="I57" s="1374"/>
      <c r="J57" s="1374"/>
      <c r="K57" s="1494"/>
      <c r="L57" s="1495"/>
      <c r="M57" s="1496"/>
      <c r="N57" s="1750"/>
      <c r="O57" s="1750"/>
      <c r="P57" s="1751"/>
      <c r="Q57" s="1745"/>
    </row>
    <row r="58" ht="14.55" spans="1:17">
      <c r="A58" s="1448"/>
      <c r="B58" s="1449"/>
      <c r="C58" s="1450">
        <v>100</v>
      </c>
      <c r="D58" s="1450"/>
      <c r="E58" s="1450"/>
      <c r="F58" s="1450"/>
      <c r="G58" s="1450"/>
      <c r="H58" s="1450"/>
      <c r="I58" s="1450"/>
      <c r="J58" s="1450"/>
      <c r="K58" s="1450"/>
      <c r="L58" s="1450"/>
      <c r="M58" s="1499"/>
      <c r="N58" s="1752"/>
      <c r="O58" s="1752"/>
      <c r="P58" s="1751"/>
      <c r="Q58" s="1745"/>
    </row>
    <row r="59" ht="29.55" spans="1:17">
      <c r="A59" s="1448"/>
      <c r="B59" s="1451" t="s">
        <v>1497</v>
      </c>
      <c r="C59" s="1476"/>
      <c r="D59" s="1476"/>
      <c r="E59" s="1476"/>
      <c r="F59" s="1476"/>
      <c r="G59" s="1476"/>
      <c r="H59" s="1476"/>
      <c r="I59" s="1476"/>
      <c r="J59" s="1476"/>
      <c r="K59" s="1527"/>
      <c r="L59" s="1528"/>
      <c r="M59" s="1529"/>
      <c r="N59" s="1750"/>
      <c r="O59" s="1750"/>
      <c r="P59" s="1751"/>
      <c r="Q59" s="1745"/>
    </row>
    <row r="60" ht="14.55" spans="1:17">
      <c r="A60" s="1448"/>
      <c r="B60" s="1453"/>
      <c r="C60" s="1450"/>
      <c r="D60" s="1450"/>
      <c r="E60" s="1450"/>
      <c r="F60" s="1450"/>
      <c r="G60" s="1450"/>
      <c r="H60" s="1450"/>
      <c r="I60" s="1450"/>
      <c r="J60" s="1450"/>
      <c r="K60" s="1450"/>
      <c r="L60" s="1450"/>
      <c r="M60" s="1499"/>
      <c r="N60" s="1752"/>
      <c r="O60" s="1752"/>
      <c r="P60" s="1751"/>
      <c r="Q60" s="1745"/>
    </row>
    <row r="61" ht="15.15" spans="1:17">
      <c r="A61" s="1448"/>
      <c r="B61" s="1455" t="s">
        <v>1498</v>
      </c>
      <c r="C61" s="1456" t="str">
        <f>C62&amp;"（含）"&amp;"-"&amp;D62</f>
        <v>0（含）-2</v>
      </c>
      <c r="D61" s="1456" t="str">
        <f t="shared" ref="D61:L61" si="17">D62&amp;"（含）"&amp;"-"&amp;E62</f>
        <v>2（含）-</v>
      </c>
      <c r="E61" s="1456" t="str">
        <f t="shared" si="17"/>
        <v>（含）-</v>
      </c>
      <c r="F61" s="1456" t="str">
        <f t="shared" si="17"/>
        <v>（含）-</v>
      </c>
      <c r="G61" s="1456" t="str">
        <f t="shared" si="17"/>
        <v>（含）-</v>
      </c>
      <c r="H61" s="1456" t="str">
        <f t="shared" si="17"/>
        <v>（含）-</v>
      </c>
      <c r="I61" s="1456" t="str">
        <f t="shared" si="17"/>
        <v>（含）-</v>
      </c>
      <c r="J61" s="1456" t="str">
        <f t="shared" si="17"/>
        <v>（含）-</v>
      </c>
      <c r="K61" s="1456" t="str">
        <f t="shared" si="17"/>
        <v>（含）-</v>
      </c>
      <c r="L61" s="1456" t="str">
        <f t="shared" si="17"/>
        <v>（含）-</v>
      </c>
      <c r="M61" s="1238" t="str">
        <f>M62&amp;"（含）"&amp;"-"&amp;P62</f>
        <v>（含）-</v>
      </c>
      <c r="N61" s="1752"/>
      <c r="O61" s="1752"/>
      <c r="P61" s="1751"/>
      <c r="Q61" s="1745"/>
    </row>
    <row r="62" spans="1:17">
      <c r="A62" s="1448"/>
      <c r="B62" s="1457"/>
      <c r="C62" s="1223">
        <v>0</v>
      </c>
      <c r="D62" s="1223">
        <v>2</v>
      </c>
      <c r="E62" s="1223"/>
      <c r="F62" s="1223"/>
      <c r="G62" s="1223"/>
      <c r="H62" s="1223"/>
      <c r="I62" s="1223"/>
      <c r="J62" s="1223"/>
      <c r="K62" s="1505"/>
      <c r="L62" s="1506"/>
      <c r="M62" s="1507"/>
      <c r="N62" s="1750"/>
      <c r="O62" s="1750"/>
      <c r="P62" s="1751"/>
      <c r="Q62" s="1745"/>
    </row>
    <row r="63" ht="14.55" spans="1:17">
      <c r="A63" s="1448"/>
      <c r="B63" s="1449"/>
      <c r="C63" s="1454">
        <v>100</v>
      </c>
      <c r="D63" s="1454">
        <f t="shared" ref="D63:M63" si="18">C63-$K11</f>
        <v>100</v>
      </c>
      <c r="E63" s="1454">
        <f t="shared" si="18"/>
        <v>100</v>
      </c>
      <c r="F63" s="1454">
        <f t="shared" si="18"/>
        <v>100</v>
      </c>
      <c r="G63" s="1454">
        <f t="shared" si="18"/>
        <v>100</v>
      </c>
      <c r="H63" s="1454">
        <f t="shared" si="18"/>
        <v>100</v>
      </c>
      <c r="I63" s="1454">
        <f t="shared" si="18"/>
        <v>100</v>
      </c>
      <c r="J63" s="1454">
        <f t="shared" si="18"/>
        <v>100</v>
      </c>
      <c r="K63" s="1454">
        <f t="shared" si="18"/>
        <v>100</v>
      </c>
      <c r="L63" s="1454">
        <f t="shared" si="18"/>
        <v>100</v>
      </c>
      <c r="M63" s="1504">
        <f t="shared" si="18"/>
        <v>100</v>
      </c>
      <c r="N63" s="1752"/>
      <c r="O63" s="1752"/>
      <c r="P63" s="1751"/>
      <c r="Q63" s="1745"/>
    </row>
    <row r="64" s="1166" customFormat="1" ht="14.55" spans="1:17">
      <c r="A64" s="1458"/>
      <c r="B64" s="1451">
        <f>B12</f>
        <v>111</v>
      </c>
      <c r="C64" s="1459"/>
      <c r="D64" s="1459"/>
      <c r="E64" s="1459"/>
      <c r="F64" s="1459"/>
      <c r="G64" s="1459"/>
      <c r="H64" s="1460"/>
      <c r="I64" s="1460"/>
      <c r="J64" s="1460"/>
      <c r="K64" s="1460"/>
      <c r="L64" s="1508"/>
      <c r="M64" s="1509"/>
      <c r="N64" s="1753"/>
      <c r="O64" s="1753"/>
      <c r="P64" s="1754"/>
      <c r="Q64" s="1756"/>
    </row>
    <row r="65" s="1166" customFormat="1" ht="14.55" spans="1:17">
      <c r="A65" s="1458"/>
      <c r="B65" s="1453"/>
      <c r="C65" s="1461"/>
      <c r="D65" s="1450"/>
      <c r="E65" s="1450"/>
      <c r="F65" s="1450"/>
      <c r="G65" s="1450"/>
      <c r="H65" s="1450"/>
      <c r="I65" s="1450"/>
      <c r="J65" s="1450"/>
      <c r="K65" s="1450"/>
      <c r="L65" s="1450"/>
      <c r="M65" s="1499"/>
      <c r="N65" s="1752"/>
      <c r="O65" s="1752"/>
      <c r="P65" s="1754"/>
      <c r="Q65" s="1756"/>
    </row>
    <row r="66" s="1166" customFormat="1" ht="14.55" spans="1:17">
      <c r="A66" s="1458"/>
      <c r="B66" s="1451">
        <f>B13</f>
        <v>111</v>
      </c>
      <c r="C66" s="1459"/>
      <c r="D66" s="1459"/>
      <c r="E66" s="1459"/>
      <c r="F66" s="1459"/>
      <c r="G66" s="1459"/>
      <c r="H66" s="1460"/>
      <c r="I66" s="1460"/>
      <c r="J66" s="1460"/>
      <c r="K66" s="1460"/>
      <c r="L66" s="1508"/>
      <c r="M66" s="1509"/>
      <c r="N66" s="1753"/>
      <c r="O66" s="1753"/>
      <c r="P66" s="1758"/>
      <c r="Q66" s="1762"/>
    </row>
    <row r="67" s="1166" customFormat="1" ht="14.55" spans="1:17">
      <c r="A67" s="1458"/>
      <c r="B67" s="1453"/>
      <c r="C67" s="1461"/>
      <c r="D67" s="1450"/>
      <c r="E67" s="1450"/>
      <c r="F67" s="1450"/>
      <c r="G67" s="1461"/>
      <c r="H67" s="1462"/>
      <c r="I67" s="1462"/>
      <c r="J67" s="1462"/>
      <c r="K67" s="1462"/>
      <c r="L67" s="1462"/>
      <c r="M67" s="1512"/>
      <c r="N67" s="1753"/>
      <c r="O67" s="1753"/>
      <c r="P67" s="1754"/>
      <c r="Q67" s="1756"/>
    </row>
    <row r="68" s="1166" customFormat="1" ht="14.55" spans="1:17">
      <c r="A68" s="1458"/>
      <c r="B68" s="1455">
        <f>B14</f>
        <v>111</v>
      </c>
      <c r="C68" s="1443"/>
      <c r="D68" s="1443"/>
      <c r="E68" s="1443"/>
      <c r="F68" s="1443"/>
      <c r="G68" s="1443"/>
      <c r="H68" s="1463"/>
      <c r="I68" s="1463"/>
      <c r="J68" s="1463"/>
      <c r="K68" s="1463"/>
      <c r="L68" s="1513"/>
      <c r="M68" s="1514"/>
      <c r="N68" s="1753"/>
      <c r="O68" s="1753"/>
      <c r="P68" s="1759"/>
      <c r="Q68" s="1756"/>
    </row>
    <row r="69" s="1166" customFormat="1" ht="14.55" spans="1:17">
      <c r="A69" s="1464"/>
      <c r="B69" s="1465"/>
      <c r="C69" s="1466"/>
      <c r="D69" s="1466"/>
      <c r="E69" s="1466"/>
      <c r="F69" s="1466"/>
      <c r="G69" s="1466"/>
      <c r="H69" s="1467"/>
      <c r="I69" s="1467"/>
      <c r="J69" s="1467"/>
      <c r="K69" s="1467"/>
      <c r="L69" s="1467"/>
      <c r="M69" s="1516"/>
      <c r="N69" s="1753"/>
      <c r="O69" s="1753"/>
      <c r="P69" s="1754"/>
      <c r="Q69" s="1756"/>
    </row>
    <row r="70" ht="14.4" spans="1:17">
      <c r="A70" s="1446" t="s">
        <v>1499</v>
      </c>
      <c r="B70" s="1447" t="s">
        <v>1611</v>
      </c>
      <c r="C70" s="1468" t="s">
        <v>1532</v>
      </c>
      <c r="D70" s="1468" t="s">
        <v>1533</v>
      </c>
      <c r="E70" s="1468" t="s">
        <v>1534</v>
      </c>
      <c r="F70" s="1468" t="s">
        <v>1535</v>
      </c>
      <c r="G70" s="1468" t="s">
        <v>1536</v>
      </c>
      <c r="H70" s="1469"/>
      <c r="I70" s="1469"/>
      <c r="J70" s="1469"/>
      <c r="K70" s="1517"/>
      <c r="L70" s="1518"/>
      <c r="M70" s="1519"/>
      <c r="N70" s="1750"/>
      <c r="O70" s="1750"/>
      <c r="P70" s="1760"/>
      <c r="Q70" s="1745"/>
    </row>
    <row r="71" ht="14.55" spans="1:17">
      <c r="A71" s="1448"/>
      <c r="B71" s="1453"/>
      <c r="C71" s="1454">
        <v>100</v>
      </c>
      <c r="D71" s="1454">
        <f>C71-$K15</f>
        <v>100</v>
      </c>
      <c r="E71" s="1454">
        <f>D71-$K15</f>
        <v>100</v>
      </c>
      <c r="F71" s="1454">
        <f>E71-$K15</f>
        <v>100</v>
      </c>
      <c r="G71" s="1454">
        <f>F71-$K15</f>
        <v>100</v>
      </c>
      <c r="H71" s="1454"/>
      <c r="I71" s="1454"/>
      <c r="J71" s="1454"/>
      <c r="K71" s="1454"/>
      <c r="L71" s="1454"/>
      <c r="M71" s="1504"/>
      <c r="N71" s="1752"/>
      <c r="O71" s="1752"/>
      <c r="P71" s="1751"/>
      <c r="Q71" s="1745"/>
    </row>
    <row r="72" ht="15.15" spans="1:17">
      <c r="A72" s="1448"/>
      <c r="B72" s="1451" t="s">
        <v>1502</v>
      </c>
      <c r="C72" s="1470" t="s">
        <v>1532</v>
      </c>
      <c r="D72" s="1470" t="s">
        <v>1533</v>
      </c>
      <c r="E72" s="1470" t="s">
        <v>1534</v>
      </c>
      <c r="F72" s="1470" t="s">
        <v>1535</v>
      </c>
      <c r="G72" s="1470" t="s">
        <v>1536</v>
      </c>
      <c r="H72" s="1452"/>
      <c r="I72" s="1452"/>
      <c r="J72" s="1452"/>
      <c r="K72" s="1501"/>
      <c r="L72" s="1502"/>
      <c r="M72" s="1503"/>
      <c r="N72" s="1750"/>
      <c r="O72" s="1750"/>
      <c r="P72" s="1751"/>
      <c r="Q72" s="1745"/>
    </row>
    <row r="73" ht="14.55" spans="1:17">
      <c r="A73" s="1448"/>
      <c r="B73" s="1453"/>
      <c r="C73" s="1454">
        <v>100</v>
      </c>
      <c r="D73" s="1454">
        <f>C73-$K17</f>
        <v>100</v>
      </c>
      <c r="E73" s="1454">
        <f>D73-$K17</f>
        <v>100</v>
      </c>
      <c r="F73" s="1454">
        <f>E73-$K17</f>
        <v>100</v>
      </c>
      <c r="G73" s="1454">
        <f>F73-$K17</f>
        <v>100</v>
      </c>
      <c r="H73" s="1454"/>
      <c r="I73" s="1454"/>
      <c r="J73" s="1454"/>
      <c r="K73" s="1454"/>
      <c r="L73" s="1454"/>
      <c r="M73" s="1504"/>
      <c r="N73" s="1752"/>
      <c r="O73" s="1752"/>
      <c r="P73" s="1751"/>
      <c r="Q73" s="1745"/>
    </row>
    <row r="74" ht="15.15" spans="1:17">
      <c r="A74" s="1448"/>
      <c r="B74" s="1451" t="s">
        <v>1503</v>
      </c>
      <c r="C74" s="1470" t="s">
        <v>1532</v>
      </c>
      <c r="D74" s="1470" t="s">
        <v>1533</v>
      </c>
      <c r="E74" s="1470" t="s">
        <v>1534</v>
      </c>
      <c r="F74" s="1470" t="s">
        <v>1535</v>
      </c>
      <c r="G74" s="1470" t="s">
        <v>1536</v>
      </c>
      <c r="H74" s="1452"/>
      <c r="I74" s="1452"/>
      <c r="J74" s="1452"/>
      <c r="K74" s="1501"/>
      <c r="L74" s="1502"/>
      <c r="M74" s="1503"/>
      <c r="N74" s="1750"/>
      <c r="O74" s="1750"/>
      <c r="P74" s="1751"/>
      <c r="Q74" s="1745"/>
    </row>
    <row r="75" ht="14.55" spans="1:17">
      <c r="A75" s="1448"/>
      <c r="B75" s="1453"/>
      <c r="C75" s="1454">
        <v>100</v>
      </c>
      <c r="D75" s="1454">
        <f>C75-$K19</f>
        <v>100</v>
      </c>
      <c r="E75" s="1454">
        <f>D75-$K19</f>
        <v>100</v>
      </c>
      <c r="F75" s="1454">
        <f>E75-$K19</f>
        <v>100</v>
      </c>
      <c r="G75" s="1454">
        <f>F75-$K19</f>
        <v>100</v>
      </c>
      <c r="H75" s="1454"/>
      <c r="I75" s="1454"/>
      <c r="J75" s="1454"/>
      <c r="K75" s="1454"/>
      <c r="L75" s="1454"/>
      <c r="M75" s="1504"/>
      <c r="N75" s="1752"/>
      <c r="O75" s="1752"/>
      <c r="P75" s="1751"/>
      <c r="Q75" s="1745"/>
    </row>
    <row r="76" ht="15.15" spans="1:17">
      <c r="A76" s="1448"/>
      <c r="B76" s="1455" t="s">
        <v>1504</v>
      </c>
      <c r="C76" s="1475" t="s">
        <v>1537</v>
      </c>
      <c r="D76" s="1475" t="s">
        <v>1538</v>
      </c>
      <c r="E76" s="1475" t="s">
        <v>1539</v>
      </c>
      <c r="F76" s="1475" t="s">
        <v>1540</v>
      </c>
      <c r="G76" s="1475" t="s">
        <v>1541</v>
      </c>
      <c r="H76" s="1452"/>
      <c r="I76" s="1452"/>
      <c r="J76" s="1452"/>
      <c r="K76" s="1452"/>
      <c r="L76" s="1452"/>
      <c r="M76" s="1653"/>
      <c r="N76" s="1752"/>
      <c r="O76" s="1752"/>
      <c r="P76" s="1751"/>
      <c r="Q76" s="1745"/>
    </row>
    <row r="77" ht="14.55" spans="1:17">
      <c r="A77" s="1448"/>
      <c r="B77" s="1455"/>
      <c r="C77" s="1454">
        <v>100</v>
      </c>
      <c r="D77" s="1454">
        <f>C77-$K21</f>
        <v>100</v>
      </c>
      <c r="E77" s="1454">
        <f>D77-$K21</f>
        <v>100</v>
      </c>
      <c r="F77" s="1454">
        <f>E77-$K21</f>
        <v>100</v>
      </c>
      <c r="G77" s="1454">
        <f>F77-$K21</f>
        <v>100</v>
      </c>
      <c r="H77" s="1475"/>
      <c r="I77" s="1475"/>
      <c r="J77" s="1475"/>
      <c r="K77" s="1475"/>
      <c r="L77" s="1475"/>
      <c r="M77" s="1240"/>
      <c r="N77" s="1752"/>
      <c r="O77" s="1752"/>
      <c r="P77" s="1751"/>
      <c r="Q77" s="1745"/>
    </row>
    <row r="78" ht="15.15" spans="1:17">
      <c r="A78" s="1448"/>
      <c r="B78" s="1451" t="s">
        <v>1585</v>
      </c>
      <c r="C78" s="1470" t="s">
        <v>1532</v>
      </c>
      <c r="D78" s="1470" t="s">
        <v>1533</v>
      </c>
      <c r="E78" s="1470" t="s">
        <v>1534</v>
      </c>
      <c r="F78" s="1470" t="s">
        <v>1535</v>
      </c>
      <c r="G78" s="1470" t="s">
        <v>1536</v>
      </c>
      <c r="H78" s="1452"/>
      <c r="I78" s="1452"/>
      <c r="J78" s="1452"/>
      <c r="K78" s="1501"/>
      <c r="L78" s="1502"/>
      <c r="M78" s="1503"/>
      <c r="N78" s="1750"/>
      <c r="O78" s="1750"/>
      <c r="P78" s="1751"/>
      <c r="Q78" s="1745"/>
    </row>
    <row r="79" ht="14.55" spans="1:17">
      <c r="A79" s="1448"/>
      <c r="B79" s="1453"/>
      <c r="C79" s="1454">
        <v>100</v>
      </c>
      <c r="D79" s="1454">
        <f>C79-$K23</f>
        <v>100</v>
      </c>
      <c r="E79" s="1454">
        <f>D79-$K23</f>
        <v>100</v>
      </c>
      <c r="F79" s="1454">
        <f>E79-$K23</f>
        <v>100</v>
      </c>
      <c r="G79" s="1454">
        <f>F79-$K23</f>
        <v>100</v>
      </c>
      <c r="H79" s="1454"/>
      <c r="I79" s="1454"/>
      <c r="J79" s="1454"/>
      <c r="K79" s="1454"/>
      <c r="L79" s="1454"/>
      <c r="M79" s="1504"/>
      <c r="N79" s="1752"/>
      <c r="O79" s="1752"/>
      <c r="P79" s="1751"/>
      <c r="Q79" s="1745"/>
    </row>
    <row r="80" s="1164" customFormat="1" ht="14.55" spans="1:17">
      <c r="A80" s="1471"/>
      <c r="B80" s="1451">
        <f>B25</f>
        <v>111</v>
      </c>
      <c r="C80" s="1459"/>
      <c r="D80" s="1459"/>
      <c r="E80" s="1459"/>
      <c r="F80" s="1459"/>
      <c r="G80" s="1459"/>
      <c r="H80" s="1459"/>
      <c r="I80" s="1459"/>
      <c r="J80" s="1459"/>
      <c r="K80" s="1459"/>
      <c r="L80" s="1654"/>
      <c r="M80" s="1655"/>
      <c r="N80" s="1748"/>
      <c r="O80" s="1748"/>
      <c r="P80" s="1751"/>
      <c r="Q80" s="1745"/>
    </row>
    <row r="81" s="1164" customFormat="1" ht="14.55" spans="1:17">
      <c r="A81" s="1471"/>
      <c r="B81" s="1453"/>
      <c r="C81" s="1461"/>
      <c r="D81" s="1450"/>
      <c r="E81" s="1450"/>
      <c r="F81" s="1450"/>
      <c r="G81" s="1450"/>
      <c r="H81" s="1450"/>
      <c r="I81" s="1450"/>
      <c r="J81" s="1450"/>
      <c r="K81" s="1450"/>
      <c r="L81" s="1450"/>
      <c r="M81" s="1499"/>
      <c r="N81" s="1752"/>
      <c r="O81" s="1752"/>
      <c r="P81" s="1751"/>
      <c r="Q81" s="1745"/>
    </row>
    <row r="82" s="1164" customFormat="1" ht="14.55" spans="1:17">
      <c r="A82" s="1471"/>
      <c r="B82" s="1451">
        <f>B26</f>
        <v>111</v>
      </c>
      <c r="C82" s="1459"/>
      <c r="D82" s="1459"/>
      <c r="E82" s="1459"/>
      <c r="F82" s="1459"/>
      <c r="G82" s="1459"/>
      <c r="H82" s="1459"/>
      <c r="I82" s="1459"/>
      <c r="J82" s="1459"/>
      <c r="K82" s="1459"/>
      <c r="L82" s="1654"/>
      <c r="M82" s="1655"/>
      <c r="N82" s="1748"/>
      <c r="O82" s="1748"/>
      <c r="P82" s="1751"/>
      <c r="Q82" s="1745"/>
    </row>
    <row r="83" s="1164" customFormat="1" ht="14.55" spans="1:17">
      <c r="A83" s="1471"/>
      <c r="B83" s="1453"/>
      <c r="C83" s="1461"/>
      <c r="D83" s="1450"/>
      <c r="E83" s="1450"/>
      <c r="F83" s="1450"/>
      <c r="G83" s="1450"/>
      <c r="H83" s="1450"/>
      <c r="I83" s="1450"/>
      <c r="J83" s="1450"/>
      <c r="K83" s="1450"/>
      <c r="L83" s="1450"/>
      <c r="M83" s="1499"/>
      <c r="N83" s="1752"/>
      <c r="O83" s="1752"/>
      <c r="P83" s="1751"/>
      <c r="Q83" s="1745"/>
    </row>
    <row r="84" s="1166" customFormat="1" ht="14.55" spans="1:17">
      <c r="A84" s="1458"/>
      <c r="B84" s="1451">
        <f>B27</f>
        <v>111</v>
      </c>
      <c r="C84" s="1459"/>
      <c r="D84" s="1459"/>
      <c r="E84" s="1459"/>
      <c r="F84" s="1459"/>
      <c r="G84" s="1459"/>
      <c r="H84" s="1459"/>
      <c r="I84" s="1459"/>
      <c r="J84" s="1459"/>
      <c r="K84" s="1459"/>
      <c r="L84" s="1654"/>
      <c r="M84" s="1655"/>
      <c r="N84" s="1753"/>
      <c r="O84" s="1753"/>
      <c r="P84" s="1754"/>
      <c r="Q84" s="1756"/>
    </row>
    <row r="85" s="1166" customFormat="1" ht="14.55" spans="1:17">
      <c r="A85" s="1458"/>
      <c r="B85" s="1453"/>
      <c r="C85" s="1461"/>
      <c r="D85" s="1450"/>
      <c r="E85" s="1450"/>
      <c r="F85" s="1450"/>
      <c r="G85" s="1450"/>
      <c r="H85" s="1450"/>
      <c r="I85" s="1450"/>
      <c r="J85" s="1450"/>
      <c r="K85" s="1450"/>
      <c r="L85" s="1450"/>
      <c r="M85" s="1499"/>
      <c r="N85" s="1753"/>
      <c r="O85" s="1753"/>
      <c r="P85" s="1754"/>
      <c r="Q85" s="1756"/>
    </row>
    <row r="86" ht="14.55" spans="1:17">
      <c r="A86" s="1448"/>
      <c r="B86" s="1455">
        <f>B28</f>
        <v>111</v>
      </c>
      <c r="C86" s="1443"/>
      <c r="D86" s="1443"/>
      <c r="E86" s="1443"/>
      <c r="F86" s="1443"/>
      <c r="G86" s="1477"/>
      <c r="H86" s="1477"/>
      <c r="I86" s="1477"/>
      <c r="J86" s="1477"/>
      <c r="K86" s="1530"/>
      <c r="L86" s="1531"/>
      <c r="M86" s="1532"/>
      <c r="N86" s="1750"/>
      <c r="O86" s="1750"/>
      <c r="P86" s="1751"/>
      <c r="Q86" s="1745"/>
    </row>
    <row r="87" ht="14.55" spans="1:17">
      <c r="A87" s="1757"/>
      <c r="B87" s="1465"/>
      <c r="C87" s="1466"/>
      <c r="D87" s="1466"/>
      <c r="E87" s="1466"/>
      <c r="F87" s="1466"/>
      <c r="G87" s="1478"/>
      <c r="H87" s="1478"/>
      <c r="I87" s="1478"/>
      <c r="J87" s="1478"/>
      <c r="K87" s="1478"/>
      <c r="L87" s="1478"/>
      <c r="M87" s="1533"/>
      <c r="N87" s="1752"/>
      <c r="O87" s="1752"/>
      <c r="P87" s="1751"/>
      <c r="Q87" s="1745"/>
    </row>
    <row r="88" ht="14.4" spans="1:17">
      <c r="A88" s="1446" t="s">
        <v>1508</v>
      </c>
      <c r="B88" s="1447" t="s">
        <v>1509</v>
      </c>
      <c r="C88" s="1374"/>
      <c r="D88" s="1374"/>
      <c r="E88" s="1374"/>
      <c r="F88" s="1374"/>
      <c r="G88" s="1374"/>
      <c r="H88" s="1374"/>
      <c r="I88" s="1374"/>
      <c r="J88" s="1374"/>
      <c r="K88" s="1494"/>
      <c r="L88" s="1495"/>
      <c r="M88" s="1496"/>
      <c r="N88" s="1750"/>
      <c r="O88" s="1750"/>
      <c r="P88" s="1751"/>
      <c r="Q88" s="1745"/>
    </row>
    <row r="89" ht="14.55" spans="1:17">
      <c r="A89" s="1448"/>
      <c r="B89" s="1453"/>
      <c r="C89" s="1454">
        <v>100</v>
      </c>
      <c r="D89" s="1454">
        <f t="shared" ref="D89:M89" si="19">C89-$K29</f>
        <v>100</v>
      </c>
      <c r="E89" s="1454">
        <f t="shared" si="19"/>
        <v>100</v>
      </c>
      <c r="F89" s="1454">
        <f t="shared" si="19"/>
        <v>100</v>
      </c>
      <c r="G89" s="1454">
        <f t="shared" si="19"/>
        <v>100</v>
      </c>
      <c r="H89" s="1454">
        <f t="shared" si="19"/>
        <v>100</v>
      </c>
      <c r="I89" s="1454">
        <f t="shared" si="19"/>
        <v>100</v>
      </c>
      <c r="J89" s="1454">
        <f t="shared" si="19"/>
        <v>100</v>
      </c>
      <c r="K89" s="1454">
        <f t="shared" si="19"/>
        <v>100</v>
      </c>
      <c r="L89" s="1454">
        <f t="shared" si="19"/>
        <v>100</v>
      </c>
      <c r="M89" s="1504">
        <f t="shared" si="19"/>
        <v>100</v>
      </c>
      <c r="N89" s="1752"/>
      <c r="O89" s="1752"/>
      <c r="P89" s="1751"/>
      <c r="Q89" s="1745"/>
    </row>
    <row r="90" ht="15.15" spans="1:17">
      <c r="A90" s="1448"/>
      <c r="B90" s="1451" t="s">
        <v>1511</v>
      </c>
      <c r="C90" s="1470" t="str">
        <f>C91&amp;"(含)"&amp;"-"&amp;D91</f>
        <v>(含)-</v>
      </c>
      <c r="D90" s="1470" t="str">
        <f t="shared" ref="D90:L90" si="20">D91&amp;"(含)"&amp;"-"&amp;E91</f>
        <v>(含)-</v>
      </c>
      <c r="E90" s="1470" t="str">
        <f t="shared" si="20"/>
        <v>(含)-</v>
      </c>
      <c r="F90" s="1470" t="str">
        <f t="shared" si="20"/>
        <v>(含)-</v>
      </c>
      <c r="G90" s="1470" t="str">
        <f t="shared" si="20"/>
        <v>(含)-</v>
      </c>
      <c r="H90" s="1470" t="str">
        <f t="shared" si="20"/>
        <v>(含)-</v>
      </c>
      <c r="I90" s="1470" t="str">
        <f t="shared" si="20"/>
        <v>(含)-</v>
      </c>
      <c r="J90" s="1470" t="str">
        <f t="shared" si="20"/>
        <v>(含)-</v>
      </c>
      <c r="K90" s="1470" t="str">
        <f t="shared" si="20"/>
        <v>(含)-</v>
      </c>
      <c r="L90" s="1470" t="str">
        <f t="shared" si="20"/>
        <v>(含)-</v>
      </c>
      <c r="M90" s="1522" t="str">
        <f>M91&amp;"(含)"&amp;"-"&amp;P91</f>
        <v>(含)-</v>
      </c>
      <c r="N90" s="1748"/>
      <c r="O90" s="1748"/>
      <c r="P90" s="1751"/>
      <c r="Q90" s="1745"/>
    </row>
    <row r="91" s="1166" customFormat="1" spans="1:17">
      <c r="A91" s="1479"/>
      <c r="B91" s="1480"/>
      <c r="C91" s="1435"/>
      <c r="D91" s="1435"/>
      <c r="E91" s="1435"/>
      <c r="F91" s="1435"/>
      <c r="G91" s="1435"/>
      <c r="H91" s="1435"/>
      <c r="I91" s="1435"/>
      <c r="J91" s="1534"/>
      <c r="K91" s="1534"/>
      <c r="L91" s="1535"/>
      <c r="M91" s="1536"/>
      <c r="N91" s="1753"/>
      <c r="O91" s="1753"/>
      <c r="P91" s="1754"/>
      <c r="Q91" s="1756"/>
    </row>
    <row r="92" s="1166" customFormat="1" ht="14.55" spans="1:17">
      <c r="A92" s="1458"/>
      <c r="B92" s="1453"/>
      <c r="C92" s="1461"/>
      <c r="D92" s="1450"/>
      <c r="E92" s="1450"/>
      <c r="F92" s="1450"/>
      <c r="G92" s="1450"/>
      <c r="H92" s="1450"/>
      <c r="I92" s="1450"/>
      <c r="J92" s="1450"/>
      <c r="K92" s="1450"/>
      <c r="L92" s="1450"/>
      <c r="M92" s="1499"/>
      <c r="N92" s="1752"/>
      <c r="O92" s="1752"/>
      <c r="P92" s="1754"/>
      <c r="Q92" s="1756"/>
    </row>
    <row r="93" ht="15.15" spans="1:17">
      <c r="A93" s="1482"/>
      <c r="B93" s="1451" t="s">
        <v>1512</v>
      </c>
      <c r="C93" s="1459"/>
      <c r="D93" s="1459"/>
      <c r="E93" s="1476"/>
      <c r="F93" s="1476"/>
      <c r="G93" s="1476"/>
      <c r="H93" s="1476"/>
      <c r="I93" s="1476"/>
      <c r="J93" s="1476"/>
      <c r="K93" s="1527"/>
      <c r="L93" s="1528"/>
      <c r="M93" s="1529"/>
      <c r="N93" s="1750"/>
      <c r="O93" s="1750"/>
      <c r="P93" s="1751"/>
      <c r="Q93" s="1745"/>
    </row>
    <row r="94" ht="14.55" spans="1:17">
      <c r="A94" s="1448"/>
      <c r="B94" s="1453"/>
      <c r="C94" s="1454">
        <v>100</v>
      </c>
      <c r="D94" s="1454">
        <f t="shared" ref="D94:M94" si="21">C94-$K31</f>
        <v>100</v>
      </c>
      <c r="E94" s="1454">
        <f t="shared" si="21"/>
        <v>100</v>
      </c>
      <c r="F94" s="1454">
        <f t="shared" si="21"/>
        <v>100</v>
      </c>
      <c r="G94" s="1454">
        <f t="shared" si="21"/>
        <v>100</v>
      </c>
      <c r="H94" s="1454">
        <f t="shared" si="21"/>
        <v>100</v>
      </c>
      <c r="I94" s="1454">
        <f t="shared" si="21"/>
        <v>100</v>
      </c>
      <c r="J94" s="1454">
        <f t="shared" si="21"/>
        <v>100</v>
      </c>
      <c r="K94" s="1454">
        <f t="shared" si="21"/>
        <v>100</v>
      </c>
      <c r="L94" s="1454">
        <f t="shared" si="21"/>
        <v>100</v>
      </c>
      <c r="M94" s="1504">
        <f t="shared" si="21"/>
        <v>100</v>
      </c>
      <c r="N94" s="1752"/>
      <c r="O94" s="1752"/>
      <c r="P94" s="1751"/>
      <c r="Q94" s="1745"/>
    </row>
    <row r="95" ht="15.15" spans="1:17">
      <c r="A95" s="1482"/>
      <c r="B95" s="1451" t="s">
        <v>1514</v>
      </c>
      <c r="C95" s="1459"/>
      <c r="D95" s="1459"/>
      <c r="E95" s="1459"/>
      <c r="F95" s="1476"/>
      <c r="G95" s="1476"/>
      <c r="H95" s="1476"/>
      <c r="I95" s="1476"/>
      <c r="J95" s="1476"/>
      <c r="K95" s="1527"/>
      <c r="L95" s="1528"/>
      <c r="M95" s="1529"/>
      <c r="N95" s="1750"/>
      <c r="O95" s="1750"/>
      <c r="P95" s="1751"/>
      <c r="Q95" s="1745"/>
    </row>
    <row r="96" ht="14.55" spans="1:17">
      <c r="A96" s="1448"/>
      <c r="B96" s="1453"/>
      <c r="C96" s="1454">
        <v>100</v>
      </c>
      <c r="D96" s="1454">
        <f t="shared" ref="D96:M96" si="22">C96-$K32</f>
        <v>100</v>
      </c>
      <c r="E96" s="1454">
        <f t="shared" si="22"/>
        <v>100</v>
      </c>
      <c r="F96" s="1454">
        <f t="shared" si="22"/>
        <v>100</v>
      </c>
      <c r="G96" s="1454">
        <f t="shared" si="22"/>
        <v>100</v>
      </c>
      <c r="H96" s="1454">
        <f t="shared" si="22"/>
        <v>100</v>
      </c>
      <c r="I96" s="1454">
        <f t="shared" si="22"/>
        <v>100</v>
      </c>
      <c r="J96" s="1454">
        <f t="shared" si="22"/>
        <v>100</v>
      </c>
      <c r="K96" s="1454">
        <f t="shared" si="22"/>
        <v>100</v>
      </c>
      <c r="L96" s="1454">
        <f t="shared" si="22"/>
        <v>100</v>
      </c>
      <c r="M96" s="1504">
        <f t="shared" si="22"/>
        <v>100</v>
      </c>
      <c r="N96" s="1752"/>
      <c r="O96" s="1752"/>
      <c r="P96" s="1751"/>
      <c r="Q96" s="1745"/>
    </row>
    <row r="97" ht="15.15" spans="1:17">
      <c r="A97" s="1482"/>
      <c r="B97" s="1451" t="s">
        <v>636</v>
      </c>
      <c r="C97" s="1470" t="str">
        <f>C98&amp;"(含)"&amp;"-"&amp;D98</f>
        <v>0.5(含)-0.6</v>
      </c>
      <c r="D97" s="1470" t="str">
        <f>D98&amp;"(含)"&amp;"-"&amp;E98</f>
        <v>0.6(含)-0.7</v>
      </c>
      <c r="E97" s="1470" t="str">
        <f>E98&amp;"(含)"&amp;"-"&amp;F98</f>
        <v>0.7(含)-0.8</v>
      </c>
      <c r="F97" s="1470" t="str">
        <f>F98&amp;"(含)"&amp;"-"&amp;G98</f>
        <v>0.8(含)-0.9</v>
      </c>
      <c r="G97" s="1470" t="str">
        <f>G98&amp;"(含)"&amp;"-"&amp;ROUND(H98,0)&amp;"(含)"</f>
        <v>0.9(含)-1(含)</v>
      </c>
      <c r="H97" s="1470"/>
      <c r="I97" s="1476"/>
      <c r="J97" s="1476"/>
      <c r="K97" s="1527"/>
      <c r="L97" s="1528"/>
      <c r="M97" s="1529"/>
      <c r="N97" s="1750"/>
      <c r="O97" s="1750"/>
      <c r="P97" s="1751"/>
      <c r="Q97" s="1745"/>
    </row>
    <row r="98" spans="1:17">
      <c r="A98" s="1482"/>
      <c r="B98" s="1455"/>
      <c r="C98" s="928">
        <v>0.5</v>
      </c>
      <c r="D98" s="928">
        <v>0.6</v>
      </c>
      <c r="E98" s="928">
        <v>0.7</v>
      </c>
      <c r="F98" s="928">
        <v>0.8</v>
      </c>
      <c r="G98" s="928">
        <v>0.9</v>
      </c>
      <c r="H98" s="928">
        <v>1.0001</v>
      </c>
      <c r="I98" s="1715"/>
      <c r="J98" s="1715"/>
      <c r="K98" s="1716"/>
      <c r="L98" s="1717"/>
      <c r="M98" s="1718"/>
      <c r="N98" s="1750"/>
      <c r="O98" s="1750"/>
      <c r="P98" s="1751"/>
      <c r="Q98" s="1745"/>
    </row>
    <row r="99" ht="14.55" spans="1:17">
      <c r="A99" s="1448"/>
      <c r="B99" s="1453"/>
      <c r="C99" s="1472">
        <v>100</v>
      </c>
      <c r="D99" s="1454">
        <f>C99+$K33</f>
        <v>100</v>
      </c>
      <c r="E99" s="1454">
        <f t="shared" ref="E99:M99" si="23">D99+$K33</f>
        <v>100</v>
      </c>
      <c r="F99" s="1454">
        <f t="shared" si="23"/>
        <v>100</v>
      </c>
      <c r="G99" s="1454">
        <f t="shared" si="23"/>
        <v>100</v>
      </c>
      <c r="H99" s="1454">
        <f t="shared" si="23"/>
        <v>100</v>
      </c>
      <c r="I99" s="1454">
        <f t="shared" si="23"/>
        <v>100</v>
      </c>
      <c r="J99" s="1454">
        <f t="shared" si="23"/>
        <v>100</v>
      </c>
      <c r="K99" s="1454">
        <f t="shared" si="23"/>
        <v>100</v>
      </c>
      <c r="L99" s="1454">
        <f t="shared" si="23"/>
        <v>100</v>
      </c>
      <c r="M99" s="1454">
        <f t="shared" si="23"/>
        <v>100</v>
      </c>
      <c r="N99" s="1752"/>
      <c r="O99" s="1752"/>
      <c r="P99" s="1751"/>
      <c r="Q99" s="1745"/>
    </row>
    <row r="100" s="1166" customFormat="1" ht="15.15" spans="1:17">
      <c r="A100" s="1479"/>
      <c r="B100" s="1451" t="s">
        <v>1515</v>
      </c>
      <c r="C100" s="1459"/>
      <c r="D100" s="1459"/>
      <c r="E100" s="1459"/>
      <c r="F100" s="1459"/>
      <c r="G100" s="1459"/>
      <c r="H100" s="1476"/>
      <c r="I100" s="1476"/>
      <c r="J100" s="1476"/>
      <c r="K100" s="1527"/>
      <c r="L100" s="1528"/>
      <c r="M100" s="1529"/>
      <c r="N100" s="1753"/>
      <c r="O100" s="1753"/>
      <c r="P100" s="1754"/>
      <c r="Q100" s="1756"/>
    </row>
    <row r="101" s="1166" customFormat="1" ht="14.55" spans="1:17">
      <c r="A101" s="1458"/>
      <c r="B101" s="1453"/>
      <c r="C101" s="1454">
        <v>100</v>
      </c>
      <c r="D101" s="1454">
        <f>C101-$K34</f>
        <v>100</v>
      </c>
      <c r="E101" s="1454">
        <f t="shared" ref="E101:M101" si="24">D101-$K34</f>
        <v>100</v>
      </c>
      <c r="F101" s="1454">
        <f t="shared" si="24"/>
        <v>100</v>
      </c>
      <c r="G101" s="1454">
        <f t="shared" si="24"/>
        <v>100</v>
      </c>
      <c r="H101" s="1454">
        <f t="shared" si="24"/>
        <v>100</v>
      </c>
      <c r="I101" s="1454">
        <f t="shared" si="24"/>
        <v>100</v>
      </c>
      <c r="J101" s="1454">
        <f t="shared" si="24"/>
        <v>100</v>
      </c>
      <c r="K101" s="1454">
        <f t="shared" si="24"/>
        <v>100</v>
      </c>
      <c r="L101" s="1454">
        <f t="shared" si="24"/>
        <v>100</v>
      </c>
      <c r="M101" s="1454">
        <f t="shared" si="24"/>
        <v>100</v>
      </c>
      <c r="N101" s="1753"/>
      <c r="O101" s="1753"/>
      <c r="P101" s="1754"/>
      <c r="Q101" s="1756"/>
    </row>
    <row r="102" ht="15.15" spans="1:17">
      <c r="A102" s="1482"/>
      <c r="B102" s="1451" t="s">
        <v>1516</v>
      </c>
      <c r="C102" s="1459"/>
      <c r="D102" s="1459"/>
      <c r="E102" s="1459"/>
      <c r="F102" s="1459"/>
      <c r="G102" s="1459"/>
      <c r="H102" s="1476"/>
      <c r="I102" s="1476"/>
      <c r="J102" s="1476"/>
      <c r="K102" s="1527"/>
      <c r="L102" s="1528"/>
      <c r="M102" s="1529"/>
      <c r="N102" s="1750"/>
      <c r="O102" s="1750"/>
      <c r="P102" s="1751"/>
      <c r="Q102" s="1745"/>
    </row>
    <row r="103" ht="14.55" spans="1:17">
      <c r="A103" s="1448"/>
      <c r="B103" s="1453"/>
      <c r="C103" s="1454">
        <v>100</v>
      </c>
      <c r="D103" s="1454">
        <f t="shared" ref="D103:M103" si="25">C103-$K35</f>
        <v>100</v>
      </c>
      <c r="E103" s="1454">
        <f t="shared" si="25"/>
        <v>100</v>
      </c>
      <c r="F103" s="1454">
        <f t="shared" si="25"/>
        <v>100</v>
      </c>
      <c r="G103" s="1454">
        <f t="shared" si="25"/>
        <v>100</v>
      </c>
      <c r="H103" s="1454">
        <f t="shared" si="25"/>
        <v>100</v>
      </c>
      <c r="I103" s="1454">
        <f t="shared" si="25"/>
        <v>100</v>
      </c>
      <c r="J103" s="1454">
        <f t="shared" si="25"/>
        <v>100</v>
      </c>
      <c r="K103" s="1454">
        <f t="shared" si="25"/>
        <v>100</v>
      </c>
      <c r="L103" s="1454">
        <f t="shared" si="25"/>
        <v>100</v>
      </c>
      <c r="M103" s="1504">
        <f t="shared" si="25"/>
        <v>100</v>
      </c>
      <c r="N103" s="1752"/>
      <c r="O103" s="1752"/>
      <c r="P103" s="1751"/>
      <c r="Q103" s="1745"/>
    </row>
    <row r="104" ht="15.15" spans="1:17">
      <c r="A104" s="1482"/>
      <c r="B104" s="1451" t="s">
        <v>1519</v>
      </c>
      <c r="C104" s="1459"/>
      <c r="D104" s="1459"/>
      <c r="E104" s="1459"/>
      <c r="F104" s="1459"/>
      <c r="G104" s="1459"/>
      <c r="H104" s="1476"/>
      <c r="I104" s="1476"/>
      <c r="J104" s="1476"/>
      <c r="K104" s="1527"/>
      <c r="L104" s="1528"/>
      <c r="M104" s="1529"/>
      <c r="N104" s="1750"/>
      <c r="O104" s="1750"/>
      <c r="P104" s="1751"/>
      <c r="Q104" s="1745"/>
    </row>
    <row r="105" ht="14.55" spans="1:17">
      <c r="A105" s="1448"/>
      <c r="B105" s="1453"/>
      <c r="C105" s="1454">
        <v>100</v>
      </c>
      <c r="D105" s="1454">
        <f>C105-$K36</f>
        <v>100</v>
      </c>
      <c r="E105" s="1454">
        <f>D105-$K36</f>
        <v>100</v>
      </c>
      <c r="F105" s="1454">
        <f>E105-$K36</f>
        <v>100</v>
      </c>
      <c r="G105" s="1454">
        <f>F105-$K36</f>
        <v>100</v>
      </c>
      <c r="H105" s="1454"/>
      <c r="I105" s="1454"/>
      <c r="J105" s="1454"/>
      <c r="K105" s="1454"/>
      <c r="L105" s="1454"/>
      <c r="M105" s="1504"/>
      <c r="N105" s="1752"/>
      <c r="O105" s="1752"/>
      <c r="P105" s="1751"/>
      <c r="Q105" s="1745"/>
    </row>
    <row r="106" ht="29.55" spans="1:17">
      <c r="A106" s="1482"/>
      <c r="B106" s="1651" t="s">
        <v>1613</v>
      </c>
      <c r="C106" s="1470" t="s">
        <v>1532</v>
      </c>
      <c r="D106" s="1470" t="s">
        <v>1533</v>
      </c>
      <c r="E106" s="1470" t="s">
        <v>1534</v>
      </c>
      <c r="F106" s="1470" t="s">
        <v>1535</v>
      </c>
      <c r="G106" s="1470" t="s">
        <v>1536</v>
      </c>
      <c r="H106" s="1452"/>
      <c r="I106" s="1452"/>
      <c r="J106" s="1452"/>
      <c r="K106" s="1501"/>
      <c r="L106" s="1502"/>
      <c r="M106" s="1503"/>
      <c r="N106" s="1752"/>
      <c r="O106" s="1752"/>
      <c r="P106" s="1761"/>
      <c r="Q106" s="1763"/>
    </row>
    <row r="107" ht="14.55" spans="1:17">
      <c r="A107" s="1448"/>
      <c r="B107" s="1453"/>
      <c r="C107" s="1472">
        <v>100</v>
      </c>
      <c r="D107" s="1454">
        <f t="shared" ref="D107:M107" si="26">C107-$K37</f>
        <v>100</v>
      </c>
      <c r="E107" s="1454">
        <f t="shared" si="26"/>
        <v>100</v>
      </c>
      <c r="F107" s="1454">
        <f t="shared" si="26"/>
        <v>100</v>
      </c>
      <c r="G107" s="1454">
        <f t="shared" si="26"/>
        <v>100</v>
      </c>
      <c r="H107" s="1454">
        <f t="shared" si="26"/>
        <v>100</v>
      </c>
      <c r="I107" s="1454">
        <f t="shared" si="26"/>
        <v>100</v>
      </c>
      <c r="J107" s="1454">
        <f t="shared" si="26"/>
        <v>100</v>
      </c>
      <c r="K107" s="1454">
        <f t="shared" si="26"/>
        <v>100</v>
      </c>
      <c r="L107" s="1454">
        <f t="shared" si="26"/>
        <v>100</v>
      </c>
      <c r="M107" s="1454">
        <f t="shared" si="26"/>
        <v>100</v>
      </c>
      <c r="N107" s="1752"/>
      <c r="O107" s="1752"/>
      <c r="P107" s="1751"/>
      <c r="Q107" s="1745"/>
    </row>
    <row r="108" s="1166" customFormat="1" ht="14.55" spans="1:17">
      <c r="A108" s="1479"/>
      <c r="B108" s="1451">
        <f>B38</f>
        <v>111</v>
      </c>
      <c r="C108" s="1459"/>
      <c r="D108" s="1459"/>
      <c r="E108" s="1459"/>
      <c r="F108" s="1459"/>
      <c r="G108" s="1459"/>
      <c r="H108" s="1460"/>
      <c r="I108" s="1460"/>
      <c r="J108" s="1460"/>
      <c r="K108" s="1460"/>
      <c r="L108" s="1508"/>
      <c r="M108" s="1509"/>
      <c r="N108" s="1753"/>
      <c r="O108" s="1753"/>
      <c r="P108" s="1754"/>
      <c r="Q108" s="1756"/>
    </row>
    <row r="109" s="1166" customFormat="1" ht="14.55" spans="1:17">
      <c r="A109" s="1458"/>
      <c r="B109" s="1449"/>
      <c r="C109" s="1461"/>
      <c r="D109" s="1450"/>
      <c r="E109" s="1450"/>
      <c r="F109" s="1450"/>
      <c r="G109" s="1461"/>
      <c r="H109" s="1462"/>
      <c r="I109" s="1462"/>
      <c r="J109" s="1462"/>
      <c r="K109" s="1462"/>
      <c r="L109" s="1462"/>
      <c r="M109" s="1512"/>
      <c r="N109" s="1753"/>
      <c r="O109" s="1753"/>
      <c r="P109" s="1754"/>
      <c r="Q109" s="1756"/>
    </row>
    <row r="110" ht="14.55" spans="1:17">
      <c r="A110" s="1482"/>
      <c r="B110" s="1451">
        <f>B39</f>
        <v>111</v>
      </c>
      <c r="C110" s="1459"/>
      <c r="D110" s="1459"/>
      <c r="E110" s="1459"/>
      <c r="F110" s="1459"/>
      <c r="G110" s="1459"/>
      <c r="H110" s="1460"/>
      <c r="I110" s="1460"/>
      <c r="J110" s="1460"/>
      <c r="K110" s="1460"/>
      <c r="L110" s="1508"/>
      <c r="M110" s="1509"/>
      <c r="N110" s="1750"/>
      <c r="O110" s="1750"/>
      <c r="P110" s="1751"/>
      <c r="Q110" s="1745"/>
    </row>
    <row r="111" ht="14.55" spans="1:17">
      <c r="A111" s="1448"/>
      <c r="B111" s="1453"/>
      <c r="C111" s="1461"/>
      <c r="D111" s="1450"/>
      <c r="E111" s="1450"/>
      <c r="F111" s="1450"/>
      <c r="G111" s="1461"/>
      <c r="H111" s="1462"/>
      <c r="I111" s="1462"/>
      <c r="J111" s="1462"/>
      <c r="K111" s="1462"/>
      <c r="L111" s="1462"/>
      <c r="M111" s="1512"/>
      <c r="N111" s="1752"/>
      <c r="O111" s="1752"/>
      <c r="P111" s="1751"/>
      <c r="Q111" s="1745"/>
    </row>
    <row r="112" ht="14.55" spans="1:17">
      <c r="A112" s="1482"/>
      <c r="B112" s="1455">
        <f>B40</f>
        <v>111</v>
      </c>
      <c r="C112" s="1443"/>
      <c r="D112" s="1443"/>
      <c r="E112" s="1443"/>
      <c r="F112" s="1443"/>
      <c r="G112" s="1477"/>
      <c r="H112" s="1477"/>
      <c r="I112" s="1477"/>
      <c r="J112" s="1477"/>
      <c r="K112" s="1443"/>
      <c r="L112" s="1489"/>
      <c r="M112" s="1532"/>
      <c r="N112" s="1750"/>
      <c r="O112" s="1750"/>
      <c r="P112" s="1751"/>
      <c r="Q112" s="1745"/>
    </row>
    <row r="113" ht="14.55" spans="1:17">
      <c r="A113" s="1757"/>
      <c r="B113" s="1465"/>
      <c r="C113" s="1466"/>
      <c r="D113" s="1466"/>
      <c r="E113" s="1466"/>
      <c r="F113" s="1466"/>
      <c r="G113" s="1478"/>
      <c r="H113" s="1478"/>
      <c r="I113" s="1478"/>
      <c r="J113" s="1478"/>
      <c r="K113" s="1478"/>
      <c r="L113" s="1478"/>
      <c r="M113" s="1533"/>
      <c r="N113" s="1752"/>
      <c r="O113" s="1752"/>
      <c r="P113" s="1751"/>
      <c r="Q113" s="17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021" customWidth="1"/>
    <col min="2" max="16384" width="9" style="1021"/>
  </cols>
  <sheetData>
    <row r="1" ht="22.2" spans="1:1">
      <c r="A1" s="3716" t="s">
        <v>82</v>
      </c>
    </row>
    <row r="2" spans="1:1">
      <c r="A2" s="3717"/>
    </row>
    <row r="3" ht="17.4" spans="1:1">
      <c r="A3" s="3718" t="str">
        <f>项目基本情况!B5&amp;"："</f>
        <v>：</v>
      </c>
    </row>
    <row r="4" ht="17.4" spans="1:1">
      <c r="A4" s="3719" t="str">
        <f>"受贵公司委托，我公司对"&amp;项目基本情况!S1&amp;"进行了预评估。"</f>
        <v>受贵公司委托，我公司对北京市房地产抵押价值进行了预评估。</v>
      </c>
    </row>
    <row r="5" ht="17.4" spans="1:1">
      <c r="A5" s="3720" t="s">
        <v>83</v>
      </c>
    </row>
    <row r="6" ht="17.4" spans="1:1">
      <c r="A6" s="3721" t="s">
        <v>84</v>
      </c>
    </row>
    <row r="7" ht="52.2" spans="1:1">
      <c r="A7" s="37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估价对象为北京市房地产，为所有。根据《国有土地使用证》[]，估价对象（分摊）出让国有建设用地使用权面积为3208.2平方米，建筑面积为10109.15平方米。</v>
      </c>
    </row>
    <row r="8" ht="52.2" spans="1:1">
      <c r="A8" s="3722" t="s">
        <v>85</v>
      </c>
    </row>
    <row r="9" ht="17.4" spans="1:1">
      <c r="A9" s="3721" t="s">
        <v>86</v>
      </c>
    </row>
    <row r="10" ht="52.2" spans="1:1">
      <c r="A10" s="37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估价对象为北京市房地产,属开发建设的办公项目，该项目尚在开发建设中。根据《国有土地使用证》[]，估价对象（分摊）出让国有建设用地使用权面积为3208.2平方米，规划建筑面积为10109.15平方米。</v>
      </c>
    </row>
    <row r="11" ht="69.6" spans="1:1">
      <c r="A11" s="3722" t="s">
        <v>87</v>
      </c>
    </row>
    <row r="12" ht="17.4" spans="1:1">
      <c r="A12" s="3720" t="s">
        <v>88</v>
      </c>
    </row>
    <row r="13" ht="38.25" customHeight="1" spans="1:1">
      <c r="A13" s="37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24" t="s">
        <v>89</v>
      </c>
    </row>
    <row r="15" ht="17.4" spans="1:1">
      <c r="A15" s="3725" t="str">
        <f>TEXT(项目基本情况!D3,"yyyy年m月d日;;")&amp;IF(项目基本情况!D3=项目基本情况!B3,"（评估专业人员实地查勘之日）","")</f>
        <v>2023年4月6日</v>
      </c>
    </row>
    <row r="16" ht="17.4" spans="1:1">
      <c r="A16" s="3724" t="s">
        <v>90</v>
      </c>
    </row>
    <row r="17" ht="69.6" spans="1:1">
      <c r="A17" s="3719" t="s">
        <v>91</v>
      </c>
    </row>
    <row r="18" ht="69.6" spans="1:1">
      <c r="A18" s="37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6日，估价对象规划用途为，土地取得方式为出让，出让国有建设用地使用权剩余土地使用年限为，假定未设立法定优先受偿款下的房地产市场价值。</v>
      </c>
    </row>
    <row r="19" ht="157.5" customHeight="1" spans="1:1">
      <c r="A19" s="37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2" spans="1:1">
      <c r="A20" s="371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2" spans="1:1">
      <c r="A21" s="37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24" t="s">
        <v>92</v>
      </c>
    </row>
    <row r="24" ht="17.4" spans="1:1">
      <c r="A24" s="3673" t="str">
        <f>"本次评估采用的主估价方法为"&amp;结果表!K4&amp;"和"&amp;结果表!L4&amp;"。"</f>
        <v>本次评估采用的主估价方法为比较法和收益法。</v>
      </c>
    </row>
    <row r="25" ht="17.4" spans="1:1">
      <c r="A25" s="3673"/>
    </row>
    <row r="26" ht="17.4" spans="1:1">
      <c r="A26" s="3726" t="s">
        <v>93</v>
      </c>
    </row>
    <row r="27" spans="1:1">
      <c r="A27" s="1914"/>
    </row>
    <row r="28" spans="1:1">
      <c r="A28" s="1914"/>
    </row>
    <row r="29" spans="1:1">
      <c r="A29" s="1914"/>
    </row>
    <row r="30" spans="1:1">
      <c r="A30" s="1914"/>
    </row>
    <row r="31" spans="1:1">
      <c r="A31" s="1914"/>
    </row>
    <row r="32" spans="1:1">
      <c r="A32" s="1914"/>
    </row>
    <row r="33" spans="1:1">
      <c r="A33" s="1914"/>
    </row>
    <row r="34" spans="1:1">
      <c r="A34" s="1914"/>
    </row>
    <row r="35" spans="1:1">
      <c r="A35" s="1914"/>
    </row>
    <row r="36" spans="1:1">
      <c r="A36" s="1914"/>
    </row>
    <row r="37" spans="1:1">
      <c r="A37" s="1914"/>
    </row>
    <row r="38" spans="1:1">
      <c r="A38" s="1914"/>
    </row>
    <row r="39" spans="1:1">
      <c r="A39" s="1914"/>
    </row>
    <row r="40" spans="1:1">
      <c r="A40" s="1914"/>
    </row>
    <row r="41" spans="1:1">
      <c r="A41" s="1914"/>
    </row>
    <row r="42" spans="1:1">
      <c r="A42" s="1914"/>
    </row>
    <row r="43" spans="1:1">
      <c r="A43" s="1914"/>
    </row>
    <row r="44" spans="1:1">
      <c r="A44" s="1914"/>
    </row>
    <row r="45" spans="1:1">
      <c r="A45" s="1914"/>
    </row>
    <row r="46" spans="1:1">
      <c r="A46" s="1914"/>
    </row>
    <row r="47" spans="1:1">
      <c r="A47" s="1914"/>
    </row>
    <row r="48" spans="1:1">
      <c r="A48" s="191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70" customWidth="1"/>
    <col min="2" max="2" width="15.7777777777778" style="1170" customWidth="1"/>
    <col min="3" max="3" width="14.3333333333333" style="1170" customWidth="1"/>
    <col min="4" max="4" width="12.2222222222222" style="1170" customWidth="1"/>
    <col min="5" max="5" width="14.3333333333333" style="1170" customWidth="1"/>
    <col min="6" max="6" width="12.2222222222222" style="1170" customWidth="1"/>
    <col min="7" max="7" width="14.4444444444444" style="1170" customWidth="1"/>
    <col min="8" max="8" width="12.2222222222222" style="1170" customWidth="1"/>
    <col min="9" max="9" width="15.4444444444444" style="1170" customWidth="1"/>
    <col min="10" max="10" width="12.2222222222222" style="1170" customWidth="1"/>
    <col min="11" max="11" width="12.2222222222222" style="1171" customWidth="1"/>
    <col min="12" max="12" width="12.2222222222222" style="1172" customWidth="1"/>
    <col min="13" max="15" width="12.2222222222222" style="1170" customWidth="1"/>
    <col min="16" max="16" width="4.77777777777778" style="1663" customWidth="1"/>
    <col min="17" max="17" width="19.4444444444444" style="1170" customWidth="1"/>
    <col min="18" max="22" width="6.11111111111111" style="1170" customWidth="1"/>
    <col min="23" max="23" width="5.77777777777778" style="1170" customWidth="1"/>
    <col min="24" max="24" width="4.22222222222222" style="1170" customWidth="1"/>
    <col min="25" max="25" width="3.44444444444444" style="1170" customWidth="1"/>
    <col min="26" max="26" width="19.7777777777778" style="1170" customWidth="1"/>
    <col min="27" max="28" width="9.33333333333333" style="1170" customWidth="1"/>
    <col min="29" max="16384" width="9" style="1170"/>
  </cols>
  <sheetData>
    <row r="1" s="1582" customFormat="1" ht="28.5" customHeight="1" spans="1:29">
      <c r="A1" s="1583" t="s">
        <v>1614</v>
      </c>
      <c r="B1" s="1584" t="s">
        <v>1615</v>
      </c>
      <c r="C1" s="1585" t="s">
        <v>1472</v>
      </c>
      <c r="D1" s="1586"/>
      <c r="E1" s="1587"/>
      <c r="F1" s="1588"/>
      <c r="G1" s="1664" t="s">
        <v>1473</v>
      </c>
      <c r="H1" s="1665"/>
      <c r="I1" s="1665"/>
      <c r="J1" s="1665"/>
      <c r="K1" s="1694"/>
      <c r="L1" s="1695"/>
      <c r="M1" s="1696"/>
      <c r="N1" s="1696"/>
      <c r="O1" s="1696"/>
      <c r="P1" s="1697"/>
      <c r="Q1" s="1585"/>
      <c r="R1" s="1585"/>
      <c r="S1" s="1585"/>
      <c r="T1" s="1585"/>
      <c r="U1" s="1585"/>
      <c r="V1" s="1585"/>
      <c r="W1" s="1585"/>
      <c r="X1" s="1585"/>
      <c r="Y1" s="1585"/>
      <c r="Z1" s="1585"/>
      <c r="AA1" s="1585"/>
      <c r="AB1" s="1585"/>
      <c r="AC1" s="1650"/>
    </row>
    <row r="2" s="1163" customFormat="1" ht="28.5" customHeight="1" spans="1:29">
      <c r="A2" s="1591" t="s">
        <v>989</v>
      </c>
      <c r="B2" s="1592" t="b">
        <f ca="1">IF(E1="项目模式",IF(C2="——",IF(B37="元/平方米",ROUND(C39*D3/10000,0),ROUND(F3*C39/10000,0)),IF(B37="元/平方米",ROUND(C39*D3/10000,0),ROUND(F3*C39/10000,0))-D2),IF(E1="单套模式",IF(C2="——",IF(B37="元/平方米",ROUND(C39*D3/10000,0),ROUND(F3*C39/10000,0)),IF(B37="元/平方米",ROUND(C39*D3/10000,0),ROUND(F3*C39/10000,0))-D2)))</f>
        <v>0</v>
      </c>
      <c r="C2" s="1593"/>
      <c r="D2" s="1545" t="e">
        <f ca="1">IF(E1="项目模式",SUMIF(INDIRECT("'"&amp;F2&amp;"'"&amp;"!A:A"),"承租人权益价值",INDIRECT("'"&amp;F2&amp;"'"&amp;"!c:c")),SUMIF(INDIRECT("'"&amp;F2&amp;"'"&amp;"!A:A"),"承租人权益价值（单套）",INDIRECT("'"&amp;F2&amp;"'"&amp;"!c:c")))</f>
        <v>#REF!</v>
      </c>
      <c r="E2" s="1594" t="s">
        <v>990</v>
      </c>
      <c r="F2" s="1595"/>
      <c r="G2" s="1179"/>
      <c r="H2" s="1179"/>
      <c r="I2" s="1179"/>
      <c r="J2" s="1179"/>
      <c r="K2" s="1340"/>
      <c r="L2" s="1341"/>
      <c r="M2" s="1342"/>
      <c r="N2" s="1342"/>
      <c r="O2" s="1342"/>
      <c r="P2" s="1698"/>
      <c r="Q2" s="1339"/>
      <c r="R2" s="1339"/>
      <c r="S2" s="1339"/>
      <c r="T2" s="1339"/>
      <c r="U2" s="1339"/>
      <c r="V2" s="1339"/>
      <c r="W2" s="1339"/>
      <c r="X2" s="1339"/>
      <c r="Y2" s="1339"/>
      <c r="Z2" s="1339"/>
      <c r="AA2" s="1339"/>
      <c r="AB2" s="1339"/>
      <c r="AC2" s="1420"/>
    </row>
    <row r="3" s="1163" customFormat="1" ht="28.5" customHeight="1" spans="1:29">
      <c r="A3" s="397" t="s">
        <v>991</v>
      </c>
      <c r="B3" s="1181" t="e">
        <f ca="1">IF(AND(C2="——",B37="元/平方米"),C39,ROUND(B2*10000/D3,0))</f>
        <v>#DIV/0!</v>
      </c>
      <c r="C3" s="1596" t="s">
        <v>1474</v>
      </c>
      <c r="D3" s="1597">
        <f>SUMIF('数据-汇总表'!$C19:$C33,D1,'数据-汇总表'!$E19:$E33)</f>
        <v>0</v>
      </c>
      <c r="E3" s="1596" t="s">
        <v>1616</v>
      </c>
      <c r="F3" s="1597">
        <f>SUMIF('数据-取费表'!A5:A15,D1,'数据-取费表'!AH5:AH15)</f>
        <v>0</v>
      </c>
      <c r="G3" s="1179"/>
      <c r="H3" s="1179"/>
      <c r="I3" s="1179"/>
      <c r="J3" s="1179"/>
      <c r="K3" s="1340"/>
      <c r="L3" s="1341"/>
      <c r="M3" s="1342" t="e">
        <f ca="1">IF(C2="——",IF(B37="元/平方米",ROUND(C39*D3/10000,0),ROUND(F3*C39/10000,0)),IF(B37="元/平方米",ROUND(C39*D3/10000,0),ROUND(F3*C39/10000,0))-D2)</f>
        <v>#DIV/0!</v>
      </c>
      <c r="N3" s="1342"/>
      <c r="O3" s="1342"/>
      <c r="P3" s="1698"/>
      <c r="Q3" s="1339"/>
      <c r="R3" s="1339"/>
      <c r="S3" s="1339"/>
      <c r="T3" s="1339"/>
      <c r="U3" s="1339"/>
      <c r="V3" s="1339"/>
      <c r="W3" s="1339"/>
      <c r="X3" s="1339"/>
      <c r="Y3" s="1339"/>
      <c r="Z3" s="1339"/>
      <c r="AA3" s="1339"/>
      <c r="AB3" s="1421"/>
      <c r="AC3" s="1422"/>
    </row>
    <row r="4" ht="14.4" spans="1:29">
      <c r="A4" s="1183" t="s">
        <v>1475</v>
      </c>
      <c r="B4" s="1184"/>
      <c r="C4" s="1185" t="s">
        <v>1476</v>
      </c>
      <c r="D4" s="1186"/>
      <c r="E4" s="1187" t="s">
        <v>1477</v>
      </c>
      <c r="F4" s="1188"/>
      <c r="G4" s="1185" t="s">
        <v>1478</v>
      </c>
      <c r="H4" s="1186"/>
      <c r="I4" s="1185" t="s">
        <v>1479</v>
      </c>
      <c r="J4" s="1186"/>
      <c r="K4" s="1343" t="s">
        <v>1480</v>
      </c>
      <c r="L4" s="1344"/>
      <c r="M4" s="1345"/>
      <c r="N4" s="1345"/>
      <c r="O4" s="1345"/>
      <c r="P4" s="1346" t="s">
        <v>1481</v>
      </c>
      <c r="Q4" s="1395"/>
      <c r="R4" s="1396" t="s">
        <v>1477</v>
      </c>
      <c r="S4" s="1397"/>
      <c r="T4" s="1396" t="s">
        <v>1478</v>
      </c>
      <c r="U4" s="1397"/>
      <c r="V4" s="1385" t="s">
        <v>1479</v>
      </c>
      <c r="W4" s="1385"/>
      <c r="X4" s="1398"/>
      <c r="Y4" s="1396" t="s">
        <v>1481</v>
      </c>
      <c r="Z4" s="1397"/>
      <c r="AA4" s="1423" t="s">
        <v>1477</v>
      </c>
      <c r="AB4" s="1398" t="s">
        <v>1478</v>
      </c>
      <c r="AC4" s="1423" t="s">
        <v>1479</v>
      </c>
    </row>
    <row r="5" spans="1:29">
      <c r="A5" s="1189"/>
      <c r="B5" s="1190"/>
      <c r="C5" s="1191" t="s">
        <v>1482</v>
      </c>
      <c r="D5" s="1192"/>
      <c r="E5" s="1193" t="s">
        <v>1483</v>
      </c>
      <c r="F5" s="1194"/>
      <c r="G5" s="1191" t="s">
        <v>1484</v>
      </c>
      <c r="H5" s="1192"/>
      <c r="I5" s="1191" t="s">
        <v>1485</v>
      </c>
      <c r="J5" s="1192"/>
      <c r="K5" s="1343"/>
      <c r="L5" s="1344"/>
      <c r="M5" s="1345"/>
      <c r="N5" s="1345"/>
      <c r="O5" s="1345"/>
      <c r="P5" s="1347"/>
      <c r="Q5" s="1399"/>
      <c r="R5" s="1400"/>
      <c r="S5" s="1401"/>
      <c r="T5" s="1400"/>
      <c r="U5" s="1401"/>
      <c r="V5" s="1385"/>
      <c r="W5" s="1385"/>
      <c r="X5" s="1398"/>
      <c r="Y5" s="1400"/>
      <c r="Z5" s="1401"/>
      <c r="AA5" s="1398"/>
      <c r="AB5" s="1398"/>
      <c r="AC5" s="1398"/>
    </row>
    <row r="6" ht="15.15" spans="1:29">
      <c r="A6" s="1195"/>
      <c r="B6" s="1196"/>
      <c r="C6" s="1546" t="s">
        <v>1486</v>
      </c>
      <c r="D6" s="1547"/>
      <c r="E6" s="1548" t="s">
        <v>1486</v>
      </c>
      <c r="F6" s="1549"/>
      <c r="G6" s="1546" t="s">
        <v>1486</v>
      </c>
      <c r="H6" s="1547"/>
      <c r="I6" s="1546" t="s">
        <v>1486</v>
      </c>
      <c r="J6" s="1547"/>
      <c r="K6" s="1343" t="s">
        <v>1487</v>
      </c>
      <c r="L6" s="1344"/>
      <c r="M6" s="1345"/>
      <c r="N6" s="1345"/>
      <c r="O6" s="1345"/>
      <c r="P6" s="1348"/>
      <c r="Q6" s="1402"/>
      <c r="R6" s="1400"/>
      <c r="S6" s="1401"/>
      <c r="T6" s="1403"/>
      <c r="U6" s="1404"/>
      <c r="V6" s="1385"/>
      <c r="W6" s="1385"/>
      <c r="X6" s="1398"/>
      <c r="Y6" s="1403"/>
      <c r="Z6" s="1404"/>
      <c r="AA6" s="1424"/>
      <c r="AB6" s="1424"/>
      <c r="AC6" s="1424"/>
    </row>
    <row r="7" s="1164" customFormat="1" ht="15.15" spans="1:29">
      <c r="A7" s="1201" t="s">
        <v>1488</v>
      </c>
      <c r="B7" s="1202"/>
      <c r="C7" s="1203">
        <f>'数据-取费表'!B2</f>
        <v>45022</v>
      </c>
      <c r="D7" s="1204">
        <v>100</v>
      </c>
      <c r="E7" s="1205"/>
      <c r="F7" s="1206">
        <f>SUMIF(48:48,YEAR(E7)&amp;"-"&amp;MONTH(E7),49:49)</f>
        <v>0</v>
      </c>
      <c r="G7" s="1205"/>
      <c r="H7" s="1204">
        <f>SUMIF(48:48,YEAR(G7)&amp;"-"&amp;MONTH(G7),49:49)</f>
        <v>0</v>
      </c>
      <c r="I7" s="1205"/>
      <c r="J7" s="1204">
        <f>SUMIF(48:48,YEAR(I7)&amp;"-"&amp;MONTH(I7),49:49)</f>
        <v>0</v>
      </c>
      <c r="K7" s="1349"/>
      <c r="L7" s="1350"/>
      <c r="M7" s="1351"/>
      <c r="N7" s="1351"/>
      <c r="O7" s="1351"/>
      <c r="P7" s="1352" t="s">
        <v>1489</v>
      </c>
      <c r="Q7" s="1405"/>
      <c r="R7" s="1406" t="s">
        <v>1490</v>
      </c>
      <c r="S7" s="1407">
        <f t="shared" ref="S7:S14" si="0">F7</f>
        <v>0</v>
      </c>
      <c r="T7" s="1406" t="s">
        <v>1490</v>
      </c>
      <c r="U7" s="1407">
        <f t="shared" ref="U7:U14" si="1">H7</f>
        <v>0</v>
      </c>
      <c r="V7" s="1406" t="s">
        <v>1490</v>
      </c>
      <c r="W7" s="1407">
        <f t="shared" ref="W7:W14" si="2">J7</f>
        <v>0</v>
      </c>
      <c r="X7" s="1408"/>
      <c r="Y7" s="1352" t="s">
        <v>1489</v>
      </c>
      <c r="Z7" s="1409"/>
      <c r="AA7" s="1425" t="e">
        <f>D7/F7</f>
        <v>#DIV/0!</v>
      </c>
      <c r="AB7" s="1425" t="e">
        <f>D7/H7</f>
        <v>#DIV/0!</v>
      </c>
      <c r="AC7" s="1425" t="e">
        <f>D7/J7</f>
        <v>#DIV/0!</v>
      </c>
    </row>
    <row r="8" s="1164" customFormat="1" ht="15.15" spans="1:29">
      <c r="A8" s="1201" t="s">
        <v>1491</v>
      </c>
      <c r="B8" s="1202"/>
      <c r="C8" s="1208"/>
      <c r="D8" s="1204">
        <v>100</v>
      </c>
      <c r="E8" s="1208"/>
      <c r="F8" s="1206">
        <f>SUMIF(51:51,E8,52:52)-SUMIF(51:51,C8,52:52)+100</f>
        <v>100</v>
      </c>
      <c r="G8" s="1208"/>
      <c r="H8" s="1204">
        <f>SUMIF(51:51,G8,52:52)-SUMIF(51:51,C8,52:52)+100</f>
        <v>100</v>
      </c>
      <c r="I8" s="1208"/>
      <c r="J8" s="1204">
        <f>SUMIF(51:51,I8,52:52)-SUMIF(51:51,C8,52:52)+100</f>
        <v>100</v>
      </c>
      <c r="K8" s="1349"/>
      <c r="L8" s="1350"/>
      <c r="M8" s="1351"/>
      <c r="N8" s="1351"/>
      <c r="O8" s="1351"/>
      <c r="P8" s="1352" t="s">
        <v>1492</v>
      </c>
      <c r="Q8" s="1409"/>
      <c r="R8" s="1406" t="s">
        <v>1490</v>
      </c>
      <c r="S8" s="1407">
        <f t="shared" si="0"/>
        <v>100</v>
      </c>
      <c r="T8" s="1406" t="s">
        <v>1490</v>
      </c>
      <c r="U8" s="1407">
        <f t="shared" si="1"/>
        <v>100</v>
      </c>
      <c r="V8" s="1406" t="s">
        <v>1490</v>
      </c>
      <c r="W8" s="1407">
        <f t="shared" si="2"/>
        <v>100</v>
      </c>
      <c r="X8" s="1408"/>
      <c r="Y8" s="1352" t="s">
        <v>1492</v>
      </c>
      <c r="Z8" s="1409"/>
      <c r="AA8" s="1425">
        <f t="shared" ref="AA8:AA36" si="3">D8/F8</f>
        <v>1</v>
      </c>
      <c r="AB8" s="1425">
        <f t="shared" ref="AB8:AB36" si="4">D8/H8</f>
        <v>1</v>
      </c>
      <c r="AC8" s="1425">
        <f t="shared" ref="AC8:AC36" si="5">D8/J8</f>
        <v>1</v>
      </c>
    </row>
    <row r="9" s="1164" customFormat="1" ht="14.4" spans="1:29">
      <c r="A9" s="1666" t="s">
        <v>1493</v>
      </c>
      <c r="B9" s="1667" t="s">
        <v>1494</v>
      </c>
      <c r="C9" s="1598"/>
      <c r="D9" s="1212">
        <v>100</v>
      </c>
      <c r="E9" s="1599"/>
      <c r="F9" s="1212">
        <f>SUMIF(53:53,E9,54:54)-SUMIF(53:53,C9,54:54)+100</f>
        <v>100</v>
      </c>
      <c r="G9" s="1668"/>
      <c r="H9" s="1212">
        <f>SUMIF(53:53,G9,54:54)-SUMIF(53:53,C9,54:54)+100</f>
        <v>100</v>
      </c>
      <c r="I9" s="1668"/>
      <c r="J9" s="1212">
        <f>SUMIF(53:53,I9,54:54)-SUMIF(53:53,C9,54:54)+100</f>
        <v>100</v>
      </c>
      <c r="K9" s="1349"/>
      <c r="L9" s="1350"/>
      <c r="M9" s="1351"/>
      <c r="N9" s="1351"/>
      <c r="O9" s="1351"/>
      <c r="P9" s="749" t="s">
        <v>1495</v>
      </c>
      <c r="Q9" s="1410" t="str">
        <f t="shared" ref="Q9:Q14" si="6">B9</f>
        <v>用途</v>
      </c>
      <c r="R9" s="1406" t="s">
        <v>1490</v>
      </c>
      <c r="S9" s="1407">
        <f t="shared" si="0"/>
        <v>100</v>
      </c>
      <c r="T9" s="1406" t="s">
        <v>1490</v>
      </c>
      <c r="U9" s="1407">
        <f t="shared" si="1"/>
        <v>100</v>
      </c>
      <c r="V9" s="1406" t="s">
        <v>1490</v>
      </c>
      <c r="W9" s="1407">
        <f t="shared" si="2"/>
        <v>100</v>
      </c>
      <c r="X9" s="1408"/>
      <c r="Y9" s="1410" t="s">
        <v>1496</v>
      </c>
      <c r="Z9" s="1426" t="str">
        <f t="shared" ref="Z9:Z14" si="7">Q9</f>
        <v>用途</v>
      </c>
      <c r="AA9" s="1425">
        <f t="shared" si="3"/>
        <v>1</v>
      </c>
      <c r="AB9" s="1425">
        <f t="shared" si="4"/>
        <v>1</v>
      </c>
      <c r="AC9" s="1425">
        <f t="shared" si="5"/>
        <v>1</v>
      </c>
    </row>
    <row r="10" s="1165" customFormat="1" ht="28.8" spans="1:29">
      <c r="A10" s="1669"/>
      <c r="B10" s="1670" t="s">
        <v>1497</v>
      </c>
      <c r="C10" s="1601"/>
      <c r="D10" s="1216">
        <v>100</v>
      </c>
      <c r="E10" s="1601"/>
      <c r="F10" s="1216">
        <f>SUMIF(55:55,E10,56:56)-SUMIF(55:55,C10,56:56)+100</f>
        <v>100</v>
      </c>
      <c r="G10" s="1671"/>
      <c r="H10" s="1216">
        <f>SUMIF(55:55,G10,56:56)-SUMIF(55:55,C10,56:56)+100</f>
        <v>100</v>
      </c>
      <c r="I10" s="1601"/>
      <c r="J10" s="1216">
        <f>SUMIF(55:55,I10,56:56)-SUMIF(55:55,C10,56:56)+100</f>
        <v>100</v>
      </c>
      <c r="K10" s="1349"/>
      <c r="L10" s="1355"/>
      <c r="M10" s="1356"/>
      <c r="N10" s="1356"/>
      <c r="O10" s="1356"/>
      <c r="P10" s="749"/>
      <c r="Q10" s="1410" t="str">
        <f t="shared" si="6"/>
        <v>土地使用年限（年）</v>
      </c>
      <c r="R10" s="1406" t="s">
        <v>1490</v>
      </c>
      <c r="S10" s="1407">
        <f t="shared" si="0"/>
        <v>100</v>
      </c>
      <c r="T10" s="1406" t="s">
        <v>1490</v>
      </c>
      <c r="U10" s="1407">
        <f t="shared" si="1"/>
        <v>100</v>
      </c>
      <c r="V10" s="1406" t="s">
        <v>1490</v>
      </c>
      <c r="W10" s="1407">
        <f t="shared" si="2"/>
        <v>100</v>
      </c>
      <c r="X10" s="1408"/>
      <c r="Y10" s="1410"/>
      <c r="Z10" s="1426" t="str">
        <f t="shared" si="7"/>
        <v>土地使用年限（年）</v>
      </c>
      <c r="AA10" s="1425">
        <f t="shared" si="3"/>
        <v>1</v>
      </c>
      <c r="AB10" s="1425">
        <f t="shared" si="4"/>
        <v>1</v>
      </c>
      <c r="AC10" s="1425">
        <f t="shared" si="5"/>
        <v>1</v>
      </c>
    </row>
    <row r="11" ht="15" spans="1:29">
      <c r="A11" s="1672"/>
      <c r="B11" s="1673">
        <v>111</v>
      </c>
      <c r="C11" s="1215"/>
      <c r="D11" s="1216">
        <v>100</v>
      </c>
      <c r="E11" s="1215"/>
      <c r="F11" s="1216">
        <f>SUMIF(57:57,E11,58:58)-SUMIF(57:57,C11,58:58)+100</f>
        <v>100</v>
      </c>
      <c r="G11" s="1215"/>
      <c r="H11" s="1216">
        <f>SUMIF(57:57,G11,58:58)-SUMIF(57:57,C11,58:58)+100</f>
        <v>100</v>
      </c>
      <c r="I11" s="1215"/>
      <c r="J11" s="1216">
        <f>SUMIF(57:57,I11,58:58)-SUMIF(57:57,C11,58:58)+100</f>
        <v>100</v>
      </c>
      <c r="K11" s="1368"/>
      <c r="L11" s="1359"/>
      <c r="M11" s="1345"/>
      <c r="N11" s="1345"/>
      <c r="O11" s="1345"/>
      <c r="P11" s="749"/>
      <c r="Q11" s="1410">
        <f t="shared" si="6"/>
        <v>111</v>
      </c>
      <c r="R11" s="1406" t="s">
        <v>1490</v>
      </c>
      <c r="S11" s="1407">
        <f t="shared" si="0"/>
        <v>100</v>
      </c>
      <c r="T11" s="1406" t="s">
        <v>1490</v>
      </c>
      <c r="U11" s="1407">
        <f t="shared" si="1"/>
        <v>100</v>
      </c>
      <c r="V11" s="1406" t="s">
        <v>1490</v>
      </c>
      <c r="W11" s="1407">
        <f t="shared" si="2"/>
        <v>100</v>
      </c>
      <c r="X11" s="1408"/>
      <c r="Y11" s="1410"/>
      <c r="Z11" s="1426">
        <f t="shared" si="7"/>
        <v>111</v>
      </c>
      <c r="AA11" s="1425">
        <f t="shared" si="3"/>
        <v>1</v>
      </c>
      <c r="AB11" s="1425">
        <f t="shared" si="4"/>
        <v>1</v>
      </c>
      <c r="AC11" s="1425">
        <f t="shared" si="5"/>
        <v>1</v>
      </c>
    </row>
    <row r="12" s="1164" customFormat="1" ht="15" spans="1:29">
      <c r="A12" s="1674"/>
      <c r="B12" s="1673">
        <v>111</v>
      </c>
      <c r="C12" s="1215"/>
      <c r="D12" s="1222">
        <v>100</v>
      </c>
      <c r="E12" s="1215"/>
      <c r="F12" s="1216">
        <f>SUMIF(59:59,E12,60:60)-SUMIF(59:59,C12,60:60)+100</f>
        <v>100</v>
      </c>
      <c r="G12" s="1215"/>
      <c r="H12" s="1216">
        <f>SUMIF(59:59,G12,60:60)-SUMIF(59:59,C12,60:60)+100</f>
        <v>100</v>
      </c>
      <c r="I12" s="1215"/>
      <c r="J12" s="1216">
        <f>SUMIF(59:59,I12,60:60)-SUMIF(59:59,C12,60:60)+100</f>
        <v>100</v>
      </c>
      <c r="K12" s="1368"/>
      <c r="L12" s="1350"/>
      <c r="M12" s="1351"/>
      <c r="N12" s="1351"/>
      <c r="O12" s="1351"/>
      <c r="P12" s="749"/>
      <c r="Q12" s="1410">
        <f t="shared" si="6"/>
        <v>111</v>
      </c>
      <c r="R12" s="1406" t="s">
        <v>1490</v>
      </c>
      <c r="S12" s="1407">
        <f t="shared" si="0"/>
        <v>100</v>
      </c>
      <c r="T12" s="1406" t="s">
        <v>1490</v>
      </c>
      <c r="U12" s="1407">
        <f t="shared" si="1"/>
        <v>100</v>
      </c>
      <c r="V12" s="1406" t="s">
        <v>1490</v>
      </c>
      <c r="W12" s="1407">
        <f t="shared" si="2"/>
        <v>100</v>
      </c>
      <c r="X12" s="1408"/>
      <c r="Y12" s="1410"/>
      <c r="Z12" s="1426">
        <f t="shared" si="7"/>
        <v>111</v>
      </c>
      <c r="AA12" s="1425">
        <f t="shared" si="3"/>
        <v>1</v>
      </c>
      <c r="AB12" s="1425">
        <f t="shared" si="4"/>
        <v>1</v>
      </c>
      <c r="AC12" s="1425">
        <f t="shared" si="5"/>
        <v>1</v>
      </c>
    </row>
    <row r="13" ht="15.75" spans="1:29">
      <c r="A13" s="1675"/>
      <c r="B13" s="1673">
        <v>111</v>
      </c>
      <c r="C13" s="1225"/>
      <c r="D13" s="1226">
        <v>100</v>
      </c>
      <c r="E13" s="1215"/>
      <c r="F13" s="1216">
        <f>SUMIF(61:61,E13,62:62)-SUMIF(61:61,C13,62:62)+100</f>
        <v>100</v>
      </c>
      <c r="G13" s="1215"/>
      <c r="H13" s="1226">
        <f>SUMIF(61:61,G13,62:62)-SUMIF(61:61,C13,62:62)+100</f>
        <v>100</v>
      </c>
      <c r="I13" s="1215"/>
      <c r="J13" s="1226">
        <f>SUMIF(61:61,I13,62:62)-SUMIF(61:61,C13,62:62)+100</f>
        <v>100</v>
      </c>
      <c r="K13" s="1368"/>
      <c r="L13" s="1361"/>
      <c r="M13" s="1345"/>
      <c r="N13" s="1345"/>
      <c r="O13" s="1345"/>
      <c r="P13" s="749"/>
      <c r="Q13" s="1410">
        <f t="shared" si="6"/>
        <v>111</v>
      </c>
      <c r="R13" s="1406" t="s">
        <v>1490</v>
      </c>
      <c r="S13" s="1407">
        <f t="shared" si="0"/>
        <v>100</v>
      </c>
      <c r="T13" s="1406" t="s">
        <v>1490</v>
      </c>
      <c r="U13" s="1407">
        <f t="shared" si="1"/>
        <v>100</v>
      </c>
      <c r="V13" s="1406" t="s">
        <v>1490</v>
      </c>
      <c r="W13" s="1407">
        <f t="shared" si="2"/>
        <v>100</v>
      </c>
      <c r="X13" s="1408"/>
      <c r="Y13" s="1410"/>
      <c r="Z13" s="1426">
        <f t="shared" si="7"/>
        <v>111</v>
      </c>
      <c r="AA13" s="1425">
        <f t="shared" si="3"/>
        <v>1</v>
      </c>
      <c r="AB13" s="1425">
        <f t="shared" si="4"/>
        <v>1</v>
      </c>
      <c r="AC13" s="1425">
        <f t="shared" si="5"/>
        <v>1</v>
      </c>
    </row>
    <row r="14" ht="100.8" spans="1:29">
      <c r="A14" s="1183" t="s">
        <v>1499</v>
      </c>
      <c r="B14" s="1232" t="s">
        <v>1502</v>
      </c>
      <c r="C14" s="1233" t="str">
        <f>IF(B1="工业",估价对象房地状况!G4,估价对象房地状况!C6)</f>
        <v>估价对象周边道路状况、公共交通通达情况、停车便捷程度，综合评价交通便捷度较好</v>
      </c>
      <c r="D14" s="1234">
        <v>100</v>
      </c>
      <c r="E14" s="1235"/>
      <c r="F14" s="1605">
        <f>SUMIF(63:63,E15,64:64)-SUMIF(63:63,C15,64:64)+100</f>
        <v>100</v>
      </c>
      <c r="G14" s="1362"/>
      <c r="H14" s="1234">
        <f>SUMIF(63:63,G15,64:64)-SUMIF(63:63,C15,64:64)+100</f>
        <v>100</v>
      </c>
      <c r="I14" s="1235"/>
      <c r="J14" s="1234">
        <f>SUMIF(63:63,I15,64:64)-SUMIF(63:63,C15,64:64)+100</f>
        <v>100</v>
      </c>
      <c r="K14" s="1644"/>
      <c r="L14" s="1361"/>
      <c r="M14" s="1345"/>
      <c r="N14" s="1345"/>
      <c r="O14" s="1345"/>
      <c r="P14" s="1363" t="s">
        <v>1501</v>
      </c>
      <c r="Q14" s="749" t="str">
        <f t="shared" si="6"/>
        <v>交通便捷度</v>
      </c>
      <c r="R14" s="1411" t="s">
        <v>1490</v>
      </c>
      <c r="S14" s="1412">
        <f t="shared" si="0"/>
        <v>100</v>
      </c>
      <c r="T14" s="1411" t="s">
        <v>1490</v>
      </c>
      <c r="U14" s="1412">
        <f t="shared" si="1"/>
        <v>100</v>
      </c>
      <c r="V14" s="1411" t="s">
        <v>1490</v>
      </c>
      <c r="W14" s="1412">
        <f t="shared" si="2"/>
        <v>100</v>
      </c>
      <c r="X14" s="1398"/>
      <c r="Y14" s="1363" t="s">
        <v>1501</v>
      </c>
      <c r="Z14" s="1385" t="str">
        <f t="shared" si="7"/>
        <v>交通便捷度</v>
      </c>
      <c r="AA14" s="1427">
        <f t="shared" si="3"/>
        <v>1</v>
      </c>
      <c r="AB14" s="1427">
        <f t="shared" si="4"/>
        <v>1</v>
      </c>
      <c r="AC14" s="1427">
        <f t="shared" si="5"/>
        <v>1</v>
      </c>
    </row>
    <row r="15" ht="15" spans="1:29">
      <c r="A15" s="1189"/>
      <c r="B15" s="1676"/>
      <c r="C15" s="1237"/>
      <c r="D15" s="1238"/>
      <c r="E15" s="1237"/>
      <c r="F15" s="1606"/>
      <c r="G15" s="1237"/>
      <c r="H15" s="1240"/>
      <c r="I15" s="1237"/>
      <c r="J15" s="1238"/>
      <c r="K15" s="1645"/>
      <c r="L15" s="1361"/>
      <c r="M15" s="1345"/>
      <c r="N15" s="1345"/>
      <c r="O15" s="1345"/>
      <c r="P15" s="1364"/>
      <c r="Q15" s="749"/>
      <c r="R15" s="1411"/>
      <c r="S15" s="1412"/>
      <c r="T15" s="1411"/>
      <c r="U15" s="1412"/>
      <c r="V15" s="1411"/>
      <c r="W15" s="1412"/>
      <c r="X15" s="1398"/>
      <c r="Y15" s="1364"/>
      <c r="Z15" s="1385"/>
      <c r="AA15" s="1427">
        <v>1</v>
      </c>
      <c r="AB15" s="1427">
        <v>1</v>
      </c>
      <c r="AC15" s="1427">
        <v>1</v>
      </c>
    </row>
    <row r="16" ht="43.2" spans="1:29">
      <c r="A16" s="1189"/>
      <c r="B16" s="1241" t="s">
        <v>1503</v>
      </c>
      <c r="C16" s="1242" t="str">
        <f>IF(B1="工业",估价对象房地状况!G5,估价对象房地状况!C7)</f>
        <v>估价对象所在区域公共配套设施齐备情况</v>
      </c>
      <c r="D16" s="1244">
        <v>100</v>
      </c>
      <c r="E16" s="1558"/>
      <c r="F16" s="1607">
        <f>SUMIF(65:65,E17,66:66)-SUMIF(65:65,C17,66:66)+100</f>
        <v>100</v>
      </c>
      <c r="G16" s="1566"/>
      <c r="H16" s="1244">
        <f>SUMIF(65:65,G17,66:66)-SUMIF(65:65,C17,66:66)+100</f>
        <v>100</v>
      </c>
      <c r="I16" s="1558"/>
      <c r="J16" s="1244">
        <f>SUMIF(65:65,I17,66:66)-SUMIF(65:65,C17,66:66)+100</f>
        <v>100</v>
      </c>
      <c r="K16" s="1644"/>
      <c r="L16" s="1361"/>
      <c r="M16" s="1345"/>
      <c r="N16" s="1345"/>
      <c r="O16" s="1345"/>
      <c r="P16" s="1364"/>
      <c r="Q16" s="749" t="str">
        <f>B16</f>
        <v>公共配套设施</v>
      </c>
      <c r="R16" s="1411" t="s">
        <v>1490</v>
      </c>
      <c r="S16" s="1412">
        <f>F16</f>
        <v>100</v>
      </c>
      <c r="T16" s="1411" t="s">
        <v>1490</v>
      </c>
      <c r="U16" s="1412">
        <f>H16</f>
        <v>100</v>
      </c>
      <c r="V16" s="1411" t="s">
        <v>1490</v>
      </c>
      <c r="W16" s="1412">
        <f>J16</f>
        <v>100</v>
      </c>
      <c r="X16" s="1398"/>
      <c r="Y16" s="1364"/>
      <c r="Z16" s="1385" t="str">
        <f>Q16</f>
        <v>公共配套设施</v>
      </c>
      <c r="AA16" s="1427">
        <f t="shared" si="3"/>
        <v>1</v>
      </c>
      <c r="AB16" s="1427">
        <f t="shared" si="4"/>
        <v>1</v>
      </c>
      <c r="AC16" s="1427">
        <f t="shared" si="5"/>
        <v>1</v>
      </c>
    </row>
    <row r="17" ht="15" spans="1:29">
      <c r="A17" s="1189"/>
      <c r="B17" s="1245"/>
      <c r="C17" s="1556"/>
      <c r="D17" s="1238"/>
      <c r="E17" s="1237"/>
      <c r="F17" s="1606"/>
      <c r="G17" s="1237"/>
      <c r="H17" s="1238"/>
      <c r="I17" s="1237"/>
      <c r="J17" s="1238"/>
      <c r="K17" s="1645"/>
      <c r="L17" s="1361"/>
      <c r="M17" s="1345"/>
      <c r="N17" s="1345"/>
      <c r="O17" s="1345"/>
      <c r="P17" s="1364"/>
      <c r="Q17" s="749"/>
      <c r="R17" s="1411"/>
      <c r="S17" s="1412"/>
      <c r="T17" s="1411"/>
      <c r="U17" s="1412"/>
      <c r="V17" s="1411"/>
      <c r="W17" s="1412"/>
      <c r="X17" s="1398"/>
      <c r="Y17" s="1364"/>
      <c r="Z17" s="1385"/>
      <c r="AA17" s="1427">
        <v>1</v>
      </c>
      <c r="AB17" s="1427">
        <v>1</v>
      </c>
      <c r="AC17" s="1427">
        <v>1</v>
      </c>
    </row>
    <row r="18" ht="43.2" spans="1:29">
      <c r="A18" s="1189"/>
      <c r="B18" s="1248" t="s">
        <v>1504</v>
      </c>
      <c r="C18" s="1242" t="str">
        <f>IF(B1="工业",估价对象房地状况!G6,估价对象房地状况!C8)</f>
        <v>估价对象所在区域基础设施水平</v>
      </c>
      <c r="D18" s="1240">
        <v>100</v>
      </c>
      <c r="E18" s="1243"/>
      <c r="F18" s="1607">
        <f>SUMIF(67:67,E19,68:68)-SUMIF(67:67,C19,68:68)+100</f>
        <v>100</v>
      </c>
      <c r="G18" s="1365"/>
      <c r="H18" s="1244">
        <f>SUMIF(67:67,G19,68:68)-SUMIF(67:67,C19,68:68)+100</f>
        <v>100</v>
      </c>
      <c r="I18" s="1243"/>
      <c r="J18" s="1244">
        <f>SUMIF(67:67,I19,68:68)-SUMIF(67:67,C19,68:68)+100</f>
        <v>100</v>
      </c>
      <c r="K18" s="1644"/>
      <c r="L18" s="1361"/>
      <c r="M18" s="1345"/>
      <c r="N18" s="1345"/>
      <c r="O18" s="1345"/>
      <c r="P18" s="1364"/>
      <c r="Q18" s="749" t="str">
        <f>B18</f>
        <v>基础设施水平</v>
      </c>
      <c r="R18" s="1411" t="s">
        <v>1490</v>
      </c>
      <c r="S18" s="1412">
        <f>F18</f>
        <v>100</v>
      </c>
      <c r="T18" s="1411" t="s">
        <v>1490</v>
      </c>
      <c r="U18" s="1412">
        <f>H18</f>
        <v>100</v>
      </c>
      <c r="V18" s="1411" t="s">
        <v>1490</v>
      </c>
      <c r="W18" s="1412">
        <f>J18</f>
        <v>100</v>
      </c>
      <c r="X18" s="1398"/>
      <c r="Y18" s="1364"/>
      <c r="Z18" s="1385" t="str">
        <f>Q18</f>
        <v>基础设施水平</v>
      </c>
      <c r="AA18" s="1427">
        <f t="shared" ref="AA18" si="8">D18/F18</f>
        <v>1</v>
      </c>
      <c r="AB18" s="1427">
        <f t="shared" ref="AB18" si="9">D18/H18</f>
        <v>1</v>
      </c>
      <c r="AC18" s="1427">
        <f t="shared" ref="AC18" si="10">D18/J18</f>
        <v>1</v>
      </c>
    </row>
    <row r="19" ht="15" spans="1:29">
      <c r="A19" s="1189"/>
      <c r="B19" s="1248"/>
      <c r="C19" s="1556"/>
      <c r="D19" s="1240"/>
      <c r="E19" s="1556"/>
      <c r="F19" s="1608"/>
      <c r="G19" s="1556"/>
      <c r="H19" s="1238"/>
      <c r="I19" s="1237"/>
      <c r="J19" s="1238"/>
      <c r="K19" s="1646"/>
      <c r="L19" s="1361"/>
      <c r="M19" s="1345"/>
      <c r="N19" s="1345"/>
      <c r="O19" s="1345"/>
      <c r="P19" s="1364"/>
      <c r="Q19" s="749"/>
      <c r="R19" s="1411"/>
      <c r="S19" s="1412"/>
      <c r="T19" s="1411"/>
      <c r="U19" s="1412"/>
      <c r="V19" s="1411"/>
      <c r="W19" s="1412"/>
      <c r="X19" s="1398"/>
      <c r="Y19" s="1364"/>
      <c r="Z19" s="1385"/>
      <c r="AA19" s="1427">
        <v>1</v>
      </c>
      <c r="AB19" s="1427">
        <v>1</v>
      </c>
      <c r="AC19" s="1427">
        <v>1</v>
      </c>
    </row>
    <row r="20" ht="57.6" spans="1:29">
      <c r="A20" s="1189"/>
      <c r="B20" s="1241" t="s">
        <v>1505</v>
      </c>
      <c r="C20" s="1242" t="str">
        <f>IF(B1="工业",估价对象房地状况!G7,估价对象房地状况!C9)</f>
        <v>区域自然环境：；人文环境；综合评价环境状况一般</v>
      </c>
      <c r="D20" s="1244">
        <v>100</v>
      </c>
      <c r="E20" s="1558"/>
      <c r="F20" s="1607">
        <f>SUMIF(69:69,E21,70:70)-SUMIF(69:69,C21,70:70)+100</f>
        <v>100</v>
      </c>
      <c r="G20" s="1566"/>
      <c r="H20" s="1240">
        <f>SUMIF(69:69,G21,70:70)-SUMIF(69:69,C21,70:70)+100</f>
        <v>100</v>
      </c>
      <c r="I20" s="1243"/>
      <c r="J20" s="1240">
        <f>SUMIF(69:69,I21,70:70)-SUMIF(69:69,C21,70:70)+100</f>
        <v>100</v>
      </c>
      <c r="K20" s="1644"/>
      <c r="L20" s="1361"/>
      <c r="M20" s="1345"/>
      <c r="N20" s="1345"/>
      <c r="O20" s="1345"/>
      <c r="P20" s="1364"/>
      <c r="Q20" s="749" t="str">
        <f>B20</f>
        <v>自然及人文环境</v>
      </c>
      <c r="R20" s="1411" t="s">
        <v>1490</v>
      </c>
      <c r="S20" s="1412">
        <f>F20</f>
        <v>100</v>
      </c>
      <c r="T20" s="1411" t="s">
        <v>1490</v>
      </c>
      <c r="U20" s="1412">
        <f>H20</f>
        <v>100</v>
      </c>
      <c r="V20" s="1411" t="s">
        <v>1490</v>
      </c>
      <c r="W20" s="1412">
        <f>J20</f>
        <v>100</v>
      </c>
      <c r="X20" s="1398"/>
      <c r="Y20" s="1364"/>
      <c r="Z20" s="1385" t="str">
        <f>Q20</f>
        <v>自然及人文环境</v>
      </c>
      <c r="AA20" s="1427">
        <f t="shared" si="3"/>
        <v>1</v>
      </c>
      <c r="AB20" s="1427">
        <f t="shared" si="4"/>
        <v>1</v>
      </c>
      <c r="AC20" s="1427">
        <f t="shared" si="5"/>
        <v>1</v>
      </c>
    </row>
    <row r="21" ht="15" spans="1:29">
      <c r="A21" s="1189"/>
      <c r="B21" s="1245"/>
      <c r="C21" s="1237"/>
      <c r="D21" s="1238"/>
      <c r="E21" s="1237"/>
      <c r="F21" s="1606"/>
      <c r="G21" s="1237"/>
      <c r="H21" s="1238"/>
      <c r="I21" s="1237"/>
      <c r="J21" s="1238"/>
      <c r="K21" s="1645"/>
      <c r="L21" s="1361"/>
      <c r="M21" s="1345"/>
      <c r="N21" s="1345"/>
      <c r="O21" s="1345"/>
      <c r="P21" s="1364"/>
      <c r="Q21" s="749"/>
      <c r="R21" s="1411"/>
      <c r="S21" s="1412"/>
      <c r="T21" s="1411"/>
      <c r="U21" s="1412"/>
      <c r="V21" s="1411"/>
      <c r="W21" s="1412"/>
      <c r="X21" s="1398"/>
      <c r="Y21" s="1364"/>
      <c r="Z21" s="1385"/>
      <c r="AA21" s="1427">
        <v>1</v>
      </c>
      <c r="AB21" s="1427">
        <v>1</v>
      </c>
      <c r="AC21" s="1427">
        <v>1</v>
      </c>
    </row>
    <row r="22" ht="15" spans="1:29">
      <c r="A22" s="1189"/>
      <c r="B22" s="1241" t="s">
        <v>1567</v>
      </c>
      <c r="C22" s="1251"/>
      <c r="D22" s="1240">
        <v>100</v>
      </c>
      <c r="E22" s="1251"/>
      <c r="F22" s="1609">
        <f>SUMIF(71:71,E22,72:72)-SUMIF(71:71,C22,72:72)+100</f>
        <v>100</v>
      </c>
      <c r="G22" s="1251"/>
      <c r="H22" s="1226">
        <f>SUMIF(71:71,G22,72:72)-SUMIF(71:71,C22,72:72)+100</f>
        <v>100</v>
      </c>
      <c r="I22" s="1251"/>
      <c r="J22" s="1226">
        <f>SUMIF(71:71,I22,72:72)-SUMIF(71:71,C22,72:72)+100</f>
        <v>100</v>
      </c>
      <c r="K22" s="1369"/>
      <c r="L22" s="1361"/>
      <c r="M22" s="1345"/>
      <c r="N22" s="1345"/>
      <c r="O22" s="1345"/>
      <c r="P22" s="1364"/>
      <c r="Q22" s="749" t="str">
        <f>B22</f>
        <v>楼层</v>
      </c>
      <c r="R22" s="1411" t="s">
        <v>1490</v>
      </c>
      <c r="S22" s="1412">
        <f>F22</f>
        <v>100</v>
      </c>
      <c r="T22" s="1411" t="s">
        <v>1490</v>
      </c>
      <c r="U22" s="1412">
        <f>H22</f>
        <v>100</v>
      </c>
      <c r="V22" s="1411" t="s">
        <v>1490</v>
      </c>
      <c r="W22" s="1412">
        <f>J22</f>
        <v>100</v>
      </c>
      <c r="X22" s="1398"/>
      <c r="Y22" s="1364"/>
      <c r="Z22" s="1385" t="str">
        <f>Q22</f>
        <v>楼层</v>
      </c>
      <c r="AA22" s="1427">
        <f t="shared" si="3"/>
        <v>1</v>
      </c>
      <c r="AB22" s="1427">
        <f t="shared" si="4"/>
        <v>1</v>
      </c>
      <c r="AC22" s="1427">
        <f t="shared" si="5"/>
        <v>1</v>
      </c>
    </row>
    <row r="23" ht="15" spans="1:29">
      <c r="A23" s="1189"/>
      <c r="B23" s="1677">
        <v>111</v>
      </c>
      <c r="C23" s="1215"/>
      <c r="D23" s="1226">
        <v>100</v>
      </c>
      <c r="E23" s="1215"/>
      <c r="F23" s="1609">
        <f>SUMIF(73:73,E23,74:74)-SUMIF(73:73,C23,74:74)+100</f>
        <v>100</v>
      </c>
      <c r="G23" s="1215"/>
      <c r="H23" s="1226">
        <f>SUMIF(73:73,G23,74:74)-SUMIF(73:73,C23,74:74)+100</f>
        <v>100</v>
      </c>
      <c r="I23" s="1215"/>
      <c r="J23" s="1226">
        <f>SUMIF(73:73,I23,74:74)-SUMIF(73:73,C23,74:74)+100</f>
        <v>100</v>
      </c>
      <c r="K23" s="1368"/>
      <c r="L23" s="1361"/>
      <c r="M23" s="1345"/>
      <c r="N23" s="1345"/>
      <c r="O23" s="1345"/>
      <c r="P23" s="1364"/>
      <c r="Q23" s="749">
        <f>B23</f>
        <v>111</v>
      </c>
      <c r="R23" s="1411" t="s">
        <v>1490</v>
      </c>
      <c r="S23" s="1412">
        <f>F23</f>
        <v>100</v>
      </c>
      <c r="T23" s="1411" t="s">
        <v>1490</v>
      </c>
      <c r="U23" s="1412">
        <f>H23</f>
        <v>100</v>
      </c>
      <c r="V23" s="1411" t="s">
        <v>1490</v>
      </c>
      <c r="W23" s="1412">
        <f>J23</f>
        <v>100</v>
      </c>
      <c r="X23" s="1398"/>
      <c r="Y23" s="1364"/>
      <c r="Z23" s="1385">
        <f>Q23</f>
        <v>111</v>
      </c>
      <c r="AA23" s="1427">
        <f t="shared" si="3"/>
        <v>1</v>
      </c>
      <c r="AB23" s="1427">
        <f t="shared" si="4"/>
        <v>1</v>
      </c>
      <c r="AC23" s="1427">
        <f t="shared" si="5"/>
        <v>1</v>
      </c>
    </row>
    <row r="24" ht="15" spans="1:29">
      <c r="A24" s="1189"/>
      <c r="B24" s="1677">
        <v>111</v>
      </c>
      <c r="C24" s="1215"/>
      <c r="D24" s="1226">
        <v>100</v>
      </c>
      <c r="E24" s="1215"/>
      <c r="F24" s="1609">
        <f>SUMIF(75:75,E24,76:76)-SUMIF(75:75,C24,76:76)+100</f>
        <v>100</v>
      </c>
      <c r="G24" s="1215"/>
      <c r="H24" s="1226">
        <f>SUMIF(75:75,G24,76:76)-SUMIF(75:75,C24,76:76)+100</f>
        <v>100</v>
      </c>
      <c r="I24" s="1215"/>
      <c r="J24" s="1226">
        <f>SUMIF(75:75,I24,76:76)-SUMIF(75:75,C24,76:76)+100</f>
        <v>100</v>
      </c>
      <c r="K24" s="1368"/>
      <c r="L24" s="1361"/>
      <c r="M24" s="1345"/>
      <c r="N24" s="1345"/>
      <c r="O24" s="1345"/>
      <c r="P24" s="1364"/>
      <c r="Q24" s="749">
        <f t="shared" ref="Q24:Q36" si="11">B24</f>
        <v>111</v>
      </c>
      <c r="R24" s="1411" t="s">
        <v>1490</v>
      </c>
      <c r="S24" s="1412">
        <f>F24</f>
        <v>100</v>
      </c>
      <c r="T24" s="1411" t="s">
        <v>1490</v>
      </c>
      <c r="U24" s="1412">
        <f>H24</f>
        <v>100</v>
      </c>
      <c r="V24" s="1411" t="s">
        <v>1490</v>
      </c>
      <c r="W24" s="1412">
        <f>J24</f>
        <v>100</v>
      </c>
      <c r="X24" s="1398"/>
      <c r="Y24" s="1364"/>
      <c r="Z24" s="1385">
        <f>Q24</f>
        <v>111</v>
      </c>
      <c r="AA24" s="1427">
        <f t="shared" si="3"/>
        <v>1</v>
      </c>
      <c r="AB24" s="1427">
        <f t="shared" si="4"/>
        <v>1</v>
      </c>
      <c r="AC24" s="1427">
        <f t="shared" si="5"/>
        <v>1</v>
      </c>
    </row>
    <row r="25" s="1164" customFormat="1" ht="15.75" spans="1:29">
      <c r="A25" s="1247"/>
      <c r="B25" s="1678">
        <v>111</v>
      </c>
      <c r="C25" s="1229"/>
      <c r="D25" s="1679">
        <v>100</v>
      </c>
      <c r="E25" s="1680"/>
      <c r="F25" s="1681">
        <f>SUMIF(77:77,E25,78:78)-SUMIF(77:77,C25,78:78)+100</f>
        <v>100</v>
      </c>
      <c r="G25" s="1680"/>
      <c r="H25" s="1679">
        <f>SUMIF(77:77,G25,78:78)-SUMIF(77:77,C25,78:78)+100</f>
        <v>100</v>
      </c>
      <c r="I25" s="1680"/>
      <c r="J25" s="1679">
        <f>SUMIF(77:77,I25,78:78)-SUMIF(77:77,C25,78:78)+100</f>
        <v>100</v>
      </c>
      <c r="K25" s="1368"/>
      <c r="L25" s="1350"/>
      <c r="M25" s="1351"/>
      <c r="N25" s="1351"/>
      <c r="O25" s="1351"/>
      <c r="P25" s="1364"/>
      <c r="Q25" s="1410">
        <f t="shared" si="11"/>
        <v>111</v>
      </c>
      <c r="R25" s="1406" t="s">
        <v>1490</v>
      </c>
      <c r="S25" s="1407">
        <f>F25</f>
        <v>100</v>
      </c>
      <c r="T25" s="1406" t="s">
        <v>1490</v>
      </c>
      <c r="U25" s="1407">
        <f>H25</f>
        <v>100</v>
      </c>
      <c r="V25" s="1406" t="s">
        <v>1490</v>
      </c>
      <c r="W25" s="1407">
        <f>J25</f>
        <v>100</v>
      </c>
      <c r="X25" s="1408"/>
      <c r="Y25" s="1364"/>
      <c r="Z25" s="1426">
        <f>Q25</f>
        <v>111</v>
      </c>
      <c r="AA25" s="1427">
        <f t="shared" si="3"/>
        <v>1</v>
      </c>
      <c r="AB25" s="1427">
        <f t="shared" si="4"/>
        <v>1</v>
      </c>
      <c r="AC25" s="1427">
        <f t="shared" si="5"/>
        <v>1</v>
      </c>
    </row>
    <row r="26" ht="30.6" spans="1:29">
      <c r="A26" s="1682" t="s">
        <v>1508</v>
      </c>
      <c r="B26" s="1683" t="s">
        <v>1617</v>
      </c>
      <c r="C26" s="1684" t="str">
        <f>B1</f>
        <v>车库</v>
      </c>
      <c r="D26" s="1238">
        <v>100</v>
      </c>
      <c r="E26" s="1237"/>
      <c r="F26" s="1606">
        <f>SUMIF(79:79,E26,80:80)-SUMIF(79:79,C26,80:80)+100</f>
        <v>0</v>
      </c>
      <c r="G26" s="1237"/>
      <c r="H26" s="1238">
        <f>SUMIF(79:79,G26,80:80)-SUMIF(79:79,C26,80:80)+100</f>
        <v>0</v>
      </c>
      <c r="I26" s="1237"/>
      <c r="J26" s="1238">
        <f>SUMIF(79:79,I26,80:80)-SUMIF(79:79,C26,80:80)+100</f>
        <v>0</v>
      </c>
      <c r="K26" s="1369"/>
      <c r="L26" s="1361"/>
      <c r="M26" s="1345"/>
      <c r="N26" s="1345"/>
      <c r="O26" s="1345"/>
      <c r="P26" s="1370" t="s">
        <v>1510</v>
      </c>
      <c r="Q26" s="749" t="str">
        <f t="shared" si="11"/>
        <v>配套类型</v>
      </c>
      <c r="R26" s="1411" t="s">
        <v>1490</v>
      </c>
      <c r="S26" s="1412">
        <f t="shared" ref="S26:S36" si="12">F26</f>
        <v>0</v>
      </c>
      <c r="T26" s="1411" t="s">
        <v>1490</v>
      </c>
      <c r="U26" s="1412">
        <f t="shared" ref="U26:U36" si="13">H26</f>
        <v>0</v>
      </c>
      <c r="V26" s="1411" t="s">
        <v>1490</v>
      </c>
      <c r="W26" s="1412">
        <f t="shared" ref="W26:W36" si="14">J26</f>
        <v>0</v>
      </c>
      <c r="X26" s="1398"/>
      <c r="Y26" s="1373" t="s">
        <v>1510</v>
      </c>
      <c r="Z26" s="1385" t="str">
        <f t="shared" ref="Z26:Z36" si="15">Q26</f>
        <v>配套类型</v>
      </c>
      <c r="AA26" s="1427" t="e">
        <f t="shared" si="3"/>
        <v>#DIV/0!</v>
      </c>
      <c r="AB26" s="1427" t="e">
        <f t="shared" si="4"/>
        <v>#DIV/0!</v>
      </c>
      <c r="AC26" s="1427" t="e">
        <f t="shared" si="5"/>
        <v>#DIV/0!</v>
      </c>
    </row>
    <row r="27" s="1166" customFormat="1" ht="15" spans="1:29">
      <c r="A27" s="1685"/>
      <c r="B27" s="1254" t="s">
        <v>1618</v>
      </c>
      <c r="C27" s="1686"/>
      <c r="D27" s="1216">
        <v>100</v>
      </c>
      <c r="E27" s="1686"/>
      <c r="F27" s="1609">
        <f>SUMIF(81:81,E27,82:82)-SUMIF(81:81,C27,82:82)+100</f>
        <v>100</v>
      </c>
      <c r="G27" s="1686"/>
      <c r="H27" s="1226">
        <f>SUMIF(81:81,G27,82:82)-SUMIF(81:81,C27,82:82)+100</f>
        <v>100</v>
      </c>
      <c r="I27" s="1686"/>
      <c r="J27" s="1226">
        <f>SUMIF(81:81,I27,82:82)-SUMIF(81:81,C27,82:82)+100</f>
        <v>100</v>
      </c>
      <c r="K27" s="1368"/>
      <c r="L27" s="1359"/>
      <c r="M27" s="1371"/>
      <c r="N27" s="1371"/>
      <c r="O27" s="1371"/>
      <c r="P27" s="1373"/>
      <c r="Q27" s="1648" t="str">
        <f t="shared" si="11"/>
        <v>项目停车位配比</v>
      </c>
      <c r="R27" s="1413" t="s">
        <v>1490</v>
      </c>
      <c r="S27" s="1414">
        <f t="shared" si="12"/>
        <v>100</v>
      </c>
      <c r="T27" s="1413" t="s">
        <v>1490</v>
      </c>
      <c r="U27" s="1414">
        <f t="shared" si="13"/>
        <v>100</v>
      </c>
      <c r="V27" s="1413" t="s">
        <v>1490</v>
      </c>
      <c r="W27" s="1414">
        <f t="shared" si="14"/>
        <v>100</v>
      </c>
      <c r="X27" s="1415"/>
      <c r="Y27" s="1373"/>
      <c r="Z27" s="1428" t="str">
        <f t="shared" si="15"/>
        <v>项目停车位配比</v>
      </c>
      <c r="AA27" s="1427">
        <f t="shared" si="3"/>
        <v>1</v>
      </c>
      <c r="AB27" s="1427">
        <f t="shared" si="4"/>
        <v>1</v>
      </c>
      <c r="AC27" s="1427">
        <f t="shared" si="5"/>
        <v>1</v>
      </c>
    </row>
    <row r="28" ht="15" spans="1:29">
      <c r="A28" s="1687"/>
      <c r="B28" s="1254" t="s">
        <v>1514</v>
      </c>
      <c r="C28" s="1619"/>
      <c r="D28" s="1226">
        <v>100</v>
      </c>
      <c r="E28" s="1619"/>
      <c r="F28" s="1609">
        <f>SUMIF(83:83,E28,84:84)-SUMIF(83:83,C28,84:84)+100</f>
        <v>100</v>
      </c>
      <c r="G28" s="1619"/>
      <c r="H28" s="1226">
        <f>SUMIF(83:83,G28,84:84)-SUMIF(83:83,C28,84:84)+100</f>
        <v>100</v>
      </c>
      <c r="I28" s="1619"/>
      <c r="J28" s="1226">
        <f>SUMIF(83:83,I28,84:84)-SUMIF(83:83,C28,84:84)+100</f>
        <v>100</v>
      </c>
      <c r="K28" s="1369"/>
      <c r="L28" s="1361"/>
      <c r="M28" s="1345"/>
      <c r="N28" s="1345"/>
      <c r="O28" s="1345"/>
      <c r="P28" s="1373"/>
      <c r="Q28" s="749" t="str">
        <f t="shared" si="11"/>
        <v>公共部分装修</v>
      </c>
      <c r="R28" s="1411" t="s">
        <v>1490</v>
      </c>
      <c r="S28" s="1412">
        <f t="shared" si="12"/>
        <v>100</v>
      </c>
      <c r="T28" s="1411" t="s">
        <v>1490</v>
      </c>
      <c r="U28" s="1412">
        <f t="shared" si="13"/>
        <v>100</v>
      </c>
      <c r="V28" s="1411" t="s">
        <v>1490</v>
      </c>
      <c r="W28" s="1412">
        <f t="shared" si="14"/>
        <v>100</v>
      </c>
      <c r="X28" s="1398"/>
      <c r="Y28" s="1373"/>
      <c r="Z28" s="1385" t="str">
        <f t="shared" si="15"/>
        <v>公共部分装修</v>
      </c>
      <c r="AA28" s="1427">
        <f t="shared" si="3"/>
        <v>1</v>
      </c>
      <c r="AB28" s="1427">
        <f t="shared" si="4"/>
        <v>1</v>
      </c>
      <c r="AC28" s="1427">
        <f t="shared" si="5"/>
        <v>1</v>
      </c>
    </row>
    <row r="29" ht="15" spans="1:29">
      <c r="A29" s="1687"/>
      <c r="B29" s="1254" t="s">
        <v>1619</v>
      </c>
      <c r="C29" s="1616"/>
      <c r="D29" s="1226">
        <v>100</v>
      </c>
      <c r="E29" s="1616"/>
      <c r="F29" s="1609" t="e">
        <f>LOOKUP(E29,86:86,87:87)-LOOKUP(C29,86:86,87:87)+100</f>
        <v>#N/A</v>
      </c>
      <c r="G29" s="1616"/>
      <c r="H29" s="1609" t="e">
        <f>LOOKUP(G29,86:86,87:87)-LOOKUP(C29,86:86,87:87)+100</f>
        <v>#N/A</v>
      </c>
      <c r="I29" s="1616"/>
      <c r="J29" s="1226" t="e">
        <f>LOOKUP(I29,86:86,87:87)-LOOKUP(C29,86:86,87:87)+100</f>
        <v>#N/A</v>
      </c>
      <c r="K29" s="1369"/>
      <c r="L29" s="1361"/>
      <c r="M29" s="1345"/>
      <c r="N29" s="1345"/>
      <c r="O29" s="1345"/>
      <c r="P29" s="1373"/>
      <c r="Q29" s="749" t="str">
        <f t="shared" si="11"/>
        <v>成新率</v>
      </c>
      <c r="R29" s="1411" t="s">
        <v>1490</v>
      </c>
      <c r="S29" s="1412" t="e">
        <f t="shared" si="12"/>
        <v>#N/A</v>
      </c>
      <c r="T29" s="1411" t="s">
        <v>1490</v>
      </c>
      <c r="U29" s="1412" t="e">
        <f t="shared" si="13"/>
        <v>#N/A</v>
      </c>
      <c r="V29" s="1411" t="s">
        <v>1490</v>
      </c>
      <c r="W29" s="1412" t="e">
        <f t="shared" si="14"/>
        <v>#N/A</v>
      </c>
      <c r="X29" s="1398"/>
      <c r="Y29" s="1373"/>
      <c r="Z29" s="1385" t="str">
        <f t="shared" si="15"/>
        <v>成新率</v>
      </c>
      <c r="AA29" s="1427" t="e">
        <f t="shared" si="3"/>
        <v>#N/A</v>
      </c>
      <c r="AB29" s="1427" t="e">
        <f t="shared" si="4"/>
        <v>#N/A</v>
      </c>
      <c r="AC29" s="1427" t="e">
        <f t="shared" si="5"/>
        <v>#N/A</v>
      </c>
    </row>
    <row r="30" ht="15" spans="1:29">
      <c r="A30" s="1687"/>
      <c r="B30" s="1254" t="s">
        <v>1620</v>
      </c>
      <c r="C30" s="1620"/>
      <c r="D30" s="1226">
        <v>100</v>
      </c>
      <c r="E30" s="1620"/>
      <c r="F30" s="1609">
        <f>SUMIF(88:88,E30,89:89)-SUMIF(88:88,C30,89:89)+100</f>
        <v>100</v>
      </c>
      <c r="G30" s="1620"/>
      <c r="H30" s="1226">
        <f>SUMIF(88:88,E30,89:89)-SUMIF(88:88,C30,89:89)+100</f>
        <v>100</v>
      </c>
      <c r="I30" s="1620"/>
      <c r="J30" s="1226">
        <f>SUMIF(88:88,E30,89:89)-SUMIF(88:88,C30,89:89)+100</f>
        <v>100</v>
      </c>
      <c r="K30" s="1369"/>
      <c r="L30" s="1361"/>
      <c r="M30" s="1345"/>
      <c r="N30" s="1345"/>
      <c r="O30" s="1345"/>
      <c r="P30" s="1373"/>
      <c r="Q30" s="749" t="str">
        <f t="shared" si="11"/>
        <v>物业等级</v>
      </c>
      <c r="R30" s="1411" t="s">
        <v>1490</v>
      </c>
      <c r="S30" s="1412">
        <f t="shared" si="12"/>
        <v>100</v>
      </c>
      <c r="T30" s="1411" t="s">
        <v>1490</v>
      </c>
      <c r="U30" s="1412">
        <f t="shared" si="13"/>
        <v>100</v>
      </c>
      <c r="V30" s="1411" t="s">
        <v>1490</v>
      </c>
      <c r="W30" s="1412">
        <f t="shared" si="14"/>
        <v>100</v>
      </c>
      <c r="X30" s="1398"/>
      <c r="Y30" s="1373"/>
      <c r="Z30" s="1385" t="str">
        <f t="shared" si="15"/>
        <v>物业等级</v>
      </c>
      <c r="AA30" s="1427">
        <f t="shared" si="3"/>
        <v>1</v>
      </c>
      <c r="AB30" s="1427">
        <f t="shared" si="4"/>
        <v>1</v>
      </c>
      <c r="AC30" s="1427">
        <f t="shared" si="5"/>
        <v>1</v>
      </c>
    </row>
    <row r="31" s="1164" customFormat="1" ht="15" spans="1:29">
      <c r="A31" s="1688"/>
      <c r="B31" s="1254" t="s">
        <v>1621</v>
      </c>
      <c r="C31" s="1603"/>
      <c r="D31" s="1216">
        <v>100</v>
      </c>
      <c r="E31" s="1603"/>
      <c r="F31" s="1609" t="e">
        <f>LOOKUP(E31,91:91,92:92)-LOOKUP(C31,91:91,92:92)+100</f>
        <v>#N/A</v>
      </c>
      <c r="G31" s="1603"/>
      <c r="H31" s="1226" t="e">
        <f>LOOKUP(G31,91:91,92:92)-LOOKUP(C31,91:91,92:92)+100</f>
        <v>#N/A</v>
      </c>
      <c r="I31" s="1603"/>
      <c r="J31" s="1226" t="e">
        <f>LOOKUP(I31,91:91,92:92)-LOOKUP(C31,91:91,92:92)+100</f>
        <v>#N/A</v>
      </c>
      <c r="K31" s="1369"/>
      <c r="L31" s="1350"/>
      <c r="M31" s="1351"/>
      <c r="N31" s="1351"/>
      <c r="O31" s="1351"/>
      <c r="P31" s="1373"/>
      <c r="Q31" s="1410" t="str">
        <f t="shared" si="11"/>
        <v>停车位面积</v>
      </c>
      <c r="R31" s="1406" t="s">
        <v>1490</v>
      </c>
      <c r="S31" s="1407" t="e">
        <f t="shared" si="12"/>
        <v>#N/A</v>
      </c>
      <c r="T31" s="1406" t="s">
        <v>1490</v>
      </c>
      <c r="U31" s="1407" t="e">
        <f t="shared" si="13"/>
        <v>#N/A</v>
      </c>
      <c r="V31" s="1406" t="s">
        <v>1490</v>
      </c>
      <c r="W31" s="1407" t="e">
        <f t="shared" si="14"/>
        <v>#N/A</v>
      </c>
      <c r="X31" s="1408"/>
      <c r="Y31" s="1373"/>
      <c r="Z31" s="1426" t="str">
        <f t="shared" si="15"/>
        <v>停车位面积</v>
      </c>
      <c r="AA31" s="1425" t="e">
        <f t="shared" si="3"/>
        <v>#N/A</v>
      </c>
      <c r="AB31" s="1425" t="e">
        <f t="shared" si="4"/>
        <v>#N/A</v>
      </c>
      <c r="AC31" s="1425" t="e">
        <f t="shared" si="5"/>
        <v>#N/A</v>
      </c>
    </row>
    <row r="32" ht="15" spans="1:29">
      <c r="A32" s="1687"/>
      <c r="B32" s="1254" t="s">
        <v>1622</v>
      </c>
      <c r="C32" s="1619"/>
      <c r="D32" s="1226">
        <v>100</v>
      </c>
      <c r="E32" s="1619"/>
      <c r="F32" s="1609">
        <f>SUMIF(93:93,E32,94:94)-SUMIF(93:93,C32,94:94)+100</f>
        <v>100</v>
      </c>
      <c r="G32" s="1619"/>
      <c r="H32" s="1226">
        <f>SUMIF(93:93,G32,94:94)-SUMIF(93:93,C32,94:94)+100</f>
        <v>100</v>
      </c>
      <c r="I32" s="1619"/>
      <c r="J32" s="1226">
        <f>SUMIF(93:93,I32,94:94)-SUMIF(93:93,C32,94:94)+100</f>
        <v>100</v>
      </c>
      <c r="K32" s="1369"/>
      <c r="L32" s="1361"/>
      <c r="M32" s="1345"/>
      <c r="N32" s="1345"/>
      <c r="O32" s="1345"/>
      <c r="P32" s="1373" t="s">
        <v>1510</v>
      </c>
      <c r="Q32" s="749" t="str">
        <f t="shared" si="11"/>
        <v>车位类型</v>
      </c>
      <c r="R32" s="1411" t="s">
        <v>1490</v>
      </c>
      <c r="S32" s="1412">
        <f t="shared" si="12"/>
        <v>100</v>
      </c>
      <c r="T32" s="1411" t="s">
        <v>1490</v>
      </c>
      <c r="U32" s="1412">
        <f t="shared" si="13"/>
        <v>100</v>
      </c>
      <c r="V32" s="1411" t="s">
        <v>1490</v>
      </c>
      <c r="W32" s="1412">
        <f t="shared" si="14"/>
        <v>100</v>
      </c>
      <c r="X32" s="1398"/>
      <c r="Y32" s="1373" t="s">
        <v>1510</v>
      </c>
      <c r="Z32" s="1385" t="str">
        <f t="shared" si="15"/>
        <v>车位类型</v>
      </c>
      <c r="AA32" s="1427">
        <f t="shared" si="3"/>
        <v>1</v>
      </c>
      <c r="AB32" s="1427">
        <f t="shared" si="4"/>
        <v>1</v>
      </c>
      <c r="AC32" s="1427">
        <f t="shared" si="5"/>
        <v>1</v>
      </c>
    </row>
    <row r="33" ht="15" spans="1:29">
      <c r="A33" s="1687"/>
      <c r="B33" s="1254" t="s">
        <v>1623</v>
      </c>
      <c r="C33" s="1619"/>
      <c r="D33" s="1226">
        <v>100</v>
      </c>
      <c r="E33" s="1619"/>
      <c r="F33" s="1609">
        <f>SUMIF(95:95,E33,96:96)-SUMIF(95:95,C33,96:96)+100</f>
        <v>100</v>
      </c>
      <c r="G33" s="1619"/>
      <c r="H33" s="1226">
        <f>SUMIF(95:95,G33,96:96)-SUMIF(95:95,C33,96:96)+100</f>
        <v>100</v>
      </c>
      <c r="I33" s="1619"/>
      <c r="J33" s="1226">
        <f>SUMIF(95:95,I33,96:96)-SUMIF(95:95,C33,96:96)+100</f>
        <v>100</v>
      </c>
      <c r="K33" s="1369"/>
      <c r="L33" s="1361"/>
      <c r="M33" s="1345"/>
      <c r="N33" s="1345"/>
      <c r="O33" s="1345"/>
      <c r="P33" s="1373"/>
      <c r="Q33" s="749" t="str">
        <f t="shared" si="11"/>
        <v>是否直接入户</v>
      </c>
      <c r="R33" s="1411" t="s">
        <v>1490</v>
      </c>
      <c r="S33" s="1412">
        <f t="shared" si="12"/>
        <v>100</v>
      </c>
      <c r="T33" s="1411" t="s">
        <v>1490</v>
      </c>
      <c r="U33" s="1412">
        <f t="shared" si="13"/>
        <v>100</v>
      </c>
      <c r="V33" s="1411" t="s">
        <v>1490</v>
      </c>
      <c r="W33" s="1412">
        <f t="shared" si="14"/>
        <v>100</v>
      </c>
      <c r="X33" s="1398"/>
      <c r="Y33" s="1373"/>
      <c r="Z33" s="1385" t="str">
        <f t="shared" si="15"/>
        <v>是否直接入户</v>
      </c>
      <c r="AA33" s="1427">
        <f t="shared" si="3"/>
        <v>1</v>
      </c>
      <c r="AB33" s="1427">
        <f t="shared" si="4"/>
        <v>1</v>
      </c>
      <c r="AC33" s="1427">
        <f t="shared" si="5"/>
        <v>1</v>
      </c>
    </row>
    <row r="34" ht="15" spans="1:29">
      <c r="A34" s="1687"/>
      <c r="B34" s="1677">
        <v>111</v>
      </c>
      <c r="C34" s="1215"/>
      <c r="D34" s="1226">
        <v>100</v>
      </c>
      <c r="E34" s="1215"/>
      <c r="F34" s="1609">
        <f>SUMIF(97:97,E34,98:98)-SUMIF(97:97,C34,98:98)+100</f>
        <v>100</v>
      </c>
      <c r="G34" s="1215"/>
      <c r="H34" s="1226">
        <f>SUMIF(97:97,G34,98:98)-SUMIF(97:97,C34,98:98)+100</f>
        <v>100</v>
      </c>
      <c r="I34" s="1215"/>
      <c r="J34" s="1226">
        <f>SUMIF(97:97,I34,98:98)-SUMIF(97:97,C34,98:98)+100</f>
        <v>100</v>
      </c>
      <c r="K34" s="1368"/>
      <c r="L34" s="1361"/>
      <c r="M34" s="1345"/>
      <c r="N34" s="1345"/>
      <c r="O34" s="1345"/>
      <c r="P34" s="1373"/>
      <c r="Q34" s="749">
        <f t="shared" si="11"/>
        <v>111</v>
      </c>
      <c r="R34" s="1411" t="s">
        <v>1490</v>
      </c>
      <c r="S34" s="1412">
        <f t="shared" si="12"/>
        <v>100</v>
      </c>
      <c r="T34" s="1411" t="s">
        <v>1490</v>
      </c>
      <c r="U34" s="1412">
        <f t="shared" si="13"/>
        <v>100</v>
      </c>
      <c r="V34" s="1411" t="s">
        <v>1490</v>
      </c>
      <c r="W34" s="1412">
        <f t="shared" si="14"/>
        <v>100</v>
      </c>
      <c r="X34" s="1398"/>
      <c r="Y34" s="1373"/>
      <c r="Z34" s="1385">
        <f t="shared" si="15"/>
        <v>111</v>
      </c>
      <c r="AA34" s="1427">
        <f t="shared" si="3"/>
        <v>1</v>
      </c>
      <c r="AB34" s="1427">
        <f t="shared" si="4"/>
        <v>1</v>
      </c>
      <c r="AC34" s="1427">
        <f t="shared" si="5"/>
        <v>1</v>
      </c>
    </row>
    <row r="35" s="1166" customFormat="1" ht="15" spans="1:29">
      <c r="A35" s="1685"/>
      <c r="B35" s="1677">
        <v>111</v>
      </c>
      <c r="C35" s="1215"/>
      <c r="D35" s="1226">
        <v>100</v>
      </c>
      <c r="E35" s="1215"/>
      <c r="F35" s="1609">
        <f>SUMIF(99:99,E35,100:100)-SUMIF(99:99,C35,100:100)+100</f>
        <v>100</v>
      </c>
      <c r="G35" s="1215"/>
      <c r="H35" s="1226">
        <f>SUMIF(99:99,G35,100:100)-SUMIF(99:99,C35,100:100)+100</f>
        <v>100</v>
      </c>
      <c r="I35" s="1215"/>
      <c r="J35" s="1226">
        <f>SUMIF(99:99,I35,100:100)-SUMIF(99:99,C35,100:100)+100</f>
        <v>100</v>
      </c>
      <c r="K35" s="1368"/>
      <c r="L35" s="1359"/>
      <c r="M35" s="1371"/>
      <c r="N35" s="1371"/>
      <c r="O35" s="1371"/>
      <c r="P35" s="1373"/>
      <c r="Q35" s="1648">
        <f t="shared" si="11"/>
        <v>111</v>
      </c>
      <c r="R35" s="1413" t="s">
        <v>1490</v>
      </c>
      <c r="S35" s="1414">
        <f t="shared" si="12"/>
        <v>100</v>
      </c>
      <c r="T35" s="1413" t="s">
        <v>1490</v>
      </c>
      <c r="U35" s="1414">
        <f t="shared" si="13"/>
        <v>100</v>
      </c>
      <c r="V35" s="1413" t="s">
        <v>1490</v>
      </c>
      <c r="W35" s="1414">
        <f t="shared" si="14"/>
        <v>100</v>
      </c>
      <c r="X35" s="1415"/>
      <c r="Y35" s="1373"/>
      <c r="Z35" s="1428">
        <f t="shared" si="15"/>
        <v>111</v>
      </c>
      <c r="AA35" s="1427">
        <f t="shared" si="3"/>
        <v>1</v>
      </c>
      <c r="AB35" s="1427">
        <f t="shared" si="4"/>
        <v>1</v>
      </c>
      <c r="AC35" s="1427">
        <f t="shared" si="5"/>
        <v>1</v>
      </c>
    </row>
    <row r="36" ht="15.75" spans="1:29">
      <c r="A36" s="1689"/>
      <c r="B36" s="1678">
        <v>111</v>
      </c>
      <c r="C36" s="1225"/>
      <c r="D36" s="1226">
        <v>100</v>
      </c>
      <c r="E36" s="1215"/>
      <c r="F36" s="1609">
        <f>SUMIF(101:101,E36,102:102)-SUMIF(101:101,C36,102:102)+100</f>
        <v>100</v>
      </c>
      <c r="G36" s="1215"/>
      <c r="H36" s="1226">
        <f>SUMIF(101:101,G36,102:102)-SUMIF(101:101,C36,102:102)+100</f>
        <v>100</v>
      </c>
      <c r="I36" s="1215"/>
      <c r="J36" s="1226">
        <f>SUMIF(101:101,I36,102:102)-SUMIF(101:101,C36,102:102)+100</f>
        <v>100</v>
      </c>
      <c r="K36" s="1368"/>
      <c r="L36" s="1361"/>
      <c r="M36" s="1345"/>
      <c r="N36" s="1345"/>
      <c r="O36" s="1345"/>
      <c r="P36" s="1373"/>
      <c r="Q36" s="749">
        <f t="shared" si="11"/>
        <v>111</v>
      </c>
      <c r="R36" s="1411" t="s">
        <v>1490</v>
      </c>
      <c r="S36" s="1412">
        <f t="shared" si="12"/>
        <v>100</v>
      </c>
      <c r="T36" s="1411" t="s">
        <v>1490</v>
      </c>
      <c r="U36" s="1412">
        <f t="shared" si="13"/>
        <v>100</v>
      </c>
      <c r="V36" s="1411" t="s">
        <v>1490</v>
      </c>
      <c r="W36" s="1412">
        <f t="shared" si="14"/>
        <v>100</v>
      </c>
      <c r="X36" s="1398"/>
      <c r="Y36" s="1373"/>
      <c r="Z36" s="1385">
        <f t="shared" si="15"/>
        <v>111</v>
      </c>
      <c r="AA36" s="1427">
        <f t="shared" si="3"/>
        <v>1</v>
      </c>
      <c r="AB36" s="1427">
        <f t="shared" si="4"/>
        <v>1</v>
      </c>
      <c r="AC36" s="1427">
        <f t="shared" si="5"/>
        <v>1</v>
      </c>
    </row>
    <row r="37" ht="14.4" spans="1:29">
      <c r="A37" s="1275" t="s">
        <v>1624</v>
      </c>
      <c r="B37" s="1690" t="s">
        <v>1625</v>
      </c>
      <c r="C37" s="1624" t="s">
        <v>124</v>
      </c>
      <c r="D37" s="1625"/>
      <c r="E37" s="1626"/>
      <c r="F37" s="1627"/>
      <c r="G37" s="1628"/>
      <c r="H37" s="1629"/>
      <c r="I37" s="1626"/>
      <c r="J37" s="1629"/>
      <c r="K37" s="1699"/>
      <c r="L37" s="1377"/>
      <c r="M37" s="1292"/>
      <c r="N37" s="1345"/>
      <c r="O37" s="1292"/>
      <c r="P37" s="749" t="str">
        <f>A37</f>
        <v>成交单价</v>
      </c>
      <c r="Q37" s="749"/>
      <c r="R37" s="1427">
        <f>E37</f>
        <v>0</v>
      </c>
      <c r="S37" s="1427"/>
      <c r="T37" s="1427">
        <f>G37</f>
        <v>0</v>
      </c>
      <c r="U37" s="1427"/>
      <c r="V37" s="1427">
        <f>I37</f>
        <v>0</v>
      </c>
      <c r="W37" s="1427"/>
      <c r="X37" s="1333"/>
      <c r="Y37" s="1429"/>
      <c r="Z37" s="1333"/>
      <c r="AA37" s="1333"/>
      <c r="AB37" s="1333"/>
      <c r="AC37" s="1333"/>
    </row>
    <row r="38" ht="15.15" spans="1:29">
      <c r="A38" s="1283" t="s">
        <v>1522</v>
      </c>
      <c r="B38" s="1630" t="str">
        <f>B37</f>
        <v>元/平方米</v>
      </c>
      <c r="C38" s="1631" t="e">
        <f>R39</f>
        <v>#DIV/0!</v>
      </c>
      <c r="D38" s="1286" t="s">
        <v>1523</v>
      </c>
      <c r="E38" s="1632" t="e">
        <f>R38</f>
        <v>#DIV/0!</v>
      </c>
      <c r="F38" s="1287"/>
      <c r="G38" s="1631" t="e">
        <f>T38</f>
        <v>#DIV/0!</v>
      </c>
      <c r="H38" s="1287"/>
      <c r="I38" s="1632" t="e">
        <f>V38</f>
        <v>#DIV/0!</v>
      </c>
      <c r="J38" s="1287"/>
      <c r="K38" s="1378">
        <f>F38+H38+J38</f>
        <v>0</v>
      </c>
      <c r="L38" s="1377"/>
      <c r="M38" s="1292"/>
      <c r="N38" s="1292"/>
      <c r="O38" s="1292"/>
      <c r="P38" s="749" t="str">
        <f>A38</f>
        <v>比较价值（元/平方米）</v>
      </c>
      <c r="Q38" s="749"/>
      <c r="R38" s="1427" t="e">
        <f>IF(F1="售价",ROUND(PRODUCT(R37,AA7:AA36),0),ROUND(PRODUCT(R37,AA7:AA36),1))</f>
        <v>#DIV/0!</v>
      </c>
      <c r="S38" s="1427"/>
      <c r="T38" s="1427" t="e">
        <f>IF(F1="售价",ROUND(PRODUCT(T37,AB7:AB36),0),ROUND(PRODUCT(T37,AB7:AB36),1))</f>
        <v>#DIV/0!</v>
      </c>
      <c r="U38" s="1427"/>
      <c r="V38" s="1427" t="e">
        <f>IF(F1="售价",ROUND(PRODUCT(V37,AC7:AC36),0),ROUND(PRODUCT(V37,AC7:AC36),1))</f>
        <v>#DIV/0!</v>
      </c>
      <c r="W38" s="1427"/>
      <c r="X38" s="1333"/>
      <c r="Y38" s="1333"/>
      <c r="Z38" s="1333"/>
      <c r="AA38" s="1333"/>
      <c r="AB38" s="1333"/>
      <c r="AC38" s="1333"/>
    </row>
    <row r="39" ht="15.15" spans="1:29">
      <c r="A39" s="1289" t="s">
        <v>1626</v>
      </c>
      <c r="B39" s="1290"/>
      <c r="C39" s="1633" t="e">
        <f>R39</f>
        <v>#DIV/0!</v>
      </c>
      <c r="D39" s="1633"/>
      <c r="E39" s="1633"/>
      <c r="F39" s="1633"/>
      <c r="G39" s="1633"/>
      <c r="H39" s="1633"/>
      <c r="I39" s="1633"/>
      <c r="J39" s="1633"/>
      <c r="K39" s="1700"/>
      <c r="L39" s="1377"/>
      <c r="M39" s="1292"/>
      <c r="N39" s="1292"/>
      <c r="O39" s="1292"/>
      <c r="P39" s="1380" t="str">
        <f>A39</f>
        <v>估价对象XX用房的比较价值（楼面单价，元/平方米）</v>
      </c>
      <c r="Q39" s="1417"/>
      <c r="R39" s="1649" t="e">
        <f>IF(F1="售价",ROUND(IF(D38="简单平均",AVERAGE(R38:W38),R38*F38+T38*H38+V38*J38),0),ROUND(IF(D38="简单平均",AVERAGE(R38:V38),R38*F38+T38*H38+V38*J38),1))</f>
        <v>#DIV/0!</v>
      </c>
      <c r="S39" s="1649"/>
      <c r="T39" s="1649"/>
      <c r="U39" s="1649"/>
      <c r="V39" s="1649"/>
      <c r="W39" s="1649"/>
      <c r="X39" s="1333"/>
      <c r="Y39" s="1333"/>
      <c r="Z39" s="1333"/>
      <c r="AA39" s="1333"/>
      <c r="AB39" s="1333"/>
      <c r="AC39" s="1333"/>
    </row>
    <row r="40" spans="1:29">
      <c r="A40" s="1292"/>
      <c r="B40" s="1292"/>
      <c r="C40" s="1292"/>
      <c r="D40" s="1292"/>
      <c r="E40" s="1292"/>
      <c r="F40" s="1292"/>
      <c r="G40" s="1293"/>
      <c r="H40" s="1292"/>
      <c r="I40" s="1292"/>
      <c r="J40" s="1292"/>
      <c r="K40" s="1381"/>
      <c r="L40" s="1382"/>
      <c r="M40" s="1292"/>
      <c r="N40" s="1292"/>
      <c r="O40" s="1292"/>
      <c r="P40" s="1701"/>
      <c r="Q40" s="1292"/>
      <c r="R40" s="1292"/>
      <c r="S40" s="1292"/>
      <c r="T40" s="1292"/>
      <c r="U40" s="1292"/>
      <c r="V40" s="1292"/>
      <c r="W40" s="1292"/>
      <c r="X40" s="1292"/>
      <c r="Y40" s="1292"/>
      <c r="Z40" s="1292"/>
      <c r="AA40" s="1292"/>
      <c r="AB40" s="1292"/>
      <c r="AC40" s="1292"/>
    </row>
    <row r="41" spans="1:29">
      <c r="A41" s="1292"/>
      <c r="B41" s="1292"/>
      <c r="C41" s="1292"/>
      <c r="D41" s="1292"/>
      <c r="E41" s="1292"/>
      <c r="F41" s="1292"/>
      <c r="G41" s="1292"/>
      <c r="H41" s="1292"/>
      <c r="I41" s="1292"/>
      <c r="J41" s="1292"/>
      <c r="K41" s="1381"/>
      <c r="L41" s="1382"/>
      <c r="M41" s="1292"/>
      <c r="N41" s="1292"/>
      <c r="O41" s="1292"/>
      <c r="P41" s="1701"/>
      <c r="Q41" s="1292"/>
      <c r="R41" s="1292"/>
      <c r="S41" s="1292"/>
      <c r="T41" s="1292"/>
      <c r="U41" s="1292"/>
      <c r="V41" s="1292"/>
      <c r="W41" s="1292"/>
      <c r="X41" s="1292"/>
      <c r="Y41" s="1292"/>
      <c r="Z41" s="1292"/>
      <c r="AA41" s="1292"/>
      <c r="AB41" s="1292"/>
      <c r="AC41" s="1292"/>
    </row>
    <row r="42" ht="13.5" customHeight="1" spans="1:29">
      <c r="A42" s="1292"/>
      <c r="B42" s="1292"/>
      <c r="C42" s="1294" t="s">
        <v>1525</v>
      </c>
      <c r="D42" s="793"/>
      <c r="E42" s="1295" t="e">
        <f>IF(E37&lt;E38,E38/E37-1,E37/E38-1)</f>
        <v>#DIV/0!</v>
      </c>
      <c r="F42" s="1296" t="e">
        <f>IF(OR(E42&gt;=0.3,E42&lt;=-0.3),"超过30%","")</f>
        <v>#DIV/0!</v>
      </c>
      <c r="G42" s="1295" t="e">
        <f>IF(G37&lt;G38,G38/G37-1,G37/G38-1)</f>
        <v>#DIV/0!</v>
      </c>
      <c r="H42" s="1296" t="e">
        <f>IF(OR(G42&gt;=0.3,G42&lt;=-0.3),"超过30%","")</f>
        <v>#DIV/0!</v>
      </c>
      <c r="I42" s="1295" t="e">
        <f>IF(I37&lt;I38,I38/I37-1,I37/I38-1)</f>
        <v>#DIV/0!</v>
      </c>
      <c r="J42" s="1296" t="e">
        <f>IF(OR(I42&gt;=0.3,I42&lt;=-0.3),"超过30%","")</f>
        <v>#DIV/0!</v>
      </c>
      <c r="K42" s="1381"/>
      <c r="L42" s="1382"/>
      <c r="M42" s="1292"/>
      <c r="N42" s="1292"/>
      <c r="O42" s="1292"/>
      <c r="P42" s="1701"/>
      <c r="Q42" s="1292"/>
      <c r="R42" s="1292"/>
      <c r="S42" s="1292"/>
      <c r="T42" s="1292"/>
      <c r="U42" s="1292"/>
      <c r="V42" s="1292"/>
      <c r="W42" s="1292"/>
      <c r="X42" s="1292"/>
      <c r="Y42" s="1292"/>
      <c r="Z42" s="1292"/>
      <c r="AA42" s="1292"/>
      <c r="AB42" s="1292"/>
      <c r="AC42" s="1292"/>
    </row>
    <row r="43" ht="13.5" customHeight="1" spans="1:29">
      <c r="A43" s="1292"/>
      <c r="B43" s="1292"/>
      <c r="C43" s="1294" t="s">
        <v>1526</v>
      </c>
      <c r="D43" s="792"/>
      <c r="E43" s="1295" t="e">
        <f>IF(E38&lt;G38,G38/E38-1,E38/G38-1)</f>
        <v>#DIV/0!</v>
      </c>
      <c r="F43" s="1296" t="e">
        <f>IF(OR(E43&gt;=0.2,E43&lt;=-0.2),"超过20%","")</f>
        <v>#DIV/0!</v>
      </c>
      <c r="G43" s="1295" t="e">
        <f>IF(G38&lt;I38,I38/G38-1,G38/I38-1)</f>
        <v>#DIV/0!</v>
      </c>
      <c r="H43" s="1296" t="e">
        <f>IF(OR(G43&gt;=0.2,G43&lt;=-0.2),"超过20%","")</f>
        <v>#DIV/0!</v>
      </c>
      <c r="I43" s="1295" t="e">
        <f>IF(I38&lt;E38,E38/I38-1,I38/E38-1)</f>
        <v>#DIV/0!</v>
      </c>
      <c r="J43" s="1296" t="e">
        <f>IF(OR(I43&gt;=0.2,I43&lt;=-0.2),"超过20%","")</f>
        <v>#DIV/0!</v>
      </c>
      <c r="K43" s="1381"/>
      <c r="L43" s="1382"/>
      <c r="M43" s="1292"/>
      <c r="N43" s="1292"/>
      <c r="O43" s="1292"/>
      <c r="P43" s="1701"/>
      <c r="Q43" s="1292"/>
      <c r="R43" s="1292"/>
      <c r="S43" s="1292"/>
      <c r="T43" s="1292"/>
      <c r="U43" s="1292"/>
      <c r="V43" s="1292"/>
      <c r="W43" s="1292"/>
      <c r="X43" s="1292"/>
      <c r="Y43" s="1292"/>
      <c r="Z43" s="1292"/>
      <c r="AA43" s="1292"/>
      <c r="AB43" s="1292"/>
      <c r="AC43" s="1292"/>
    </row>
    <row r="44" s="1167" customFormat="1" ht="13.5" customHeight="1" spans="1:29">
      <c r="A44" s="1297"/>
      <c r="B44" s="1297"/>
      <c r="C44" s="1294" t="s">
        <v>1527</v>
      </c>
      <c r="D44" s="792"/>
      <c r="E44" s="1295" t="e">
        <f>IF(E37&lt;G37,G37/E37-1,E37/G37-1)</f>
        <v>#DIV/0!</v>
      </c>
      <c r="F44" s="1296" t="e">
        <f>IF(OR(E44&gt;=0.3,E44&lt;=-0.3),"超过30%","")</f>
        <v>#DIV/0!</v>
      </c>
      <c r="G44" s="1295" t="e">
        <f>IF(G37&lt;I37,I37/G37-1,G37/I37-1)</f>
        <v>#DIV/0!</v>
      </c>
      <c r="H44" s="1296" t="e">
        <f>IF(OR(G44&gt;=0.3,G44&lt;=-0.3),"超过30%","")</f>
        <v>#DIV/0!</v>
      </c>
      <c r="I44" s="1295" t="e">
        <f>IF(I37&lt;E37,E37/I37-1,I37/E37-1)</f>
        <v>#DIV/0!</v>
      </c>
      <c r="J44" s="1296" t="e">
        <f>IF(OR(I44&gt;=0.3,I44&lt;=-0.3),"超过30%","")</f>
        <v>#DIV/0!</v>
      </c>
      <c r="K44" s="1383"/>
      <c r="L44" s="1384"/>
      <c r="M44" s="1297"/>
      <c r="N44" s="1297"/>
      <c r="O44" s="1297"/>
      <c r="P44" s="1702"/>
      <c r="Q44" s="1297"/>
      <c r="R44" s="1297"/>
      <c r="S44" s="1297"/>
      <c r="T44" s="1297"/>
      <c r="U44" s="1297"/>
      <c r="V44" s="1297"/>
      <c r="W44" s="1297"/>
      <c r="X44" s="1297"/>
      <c r="Y44" s="1297"/>
      <c r="Z44" s="1297"/>
      <c r="AA44" s="1297"/>
      <c r="AB44" s="1297"/>
      <c r="AC44" s="1297"/>
    </row>
    <row r="45" s="1167" customFormat="1" spans="1:29">
      <c r="A45" s="1297"/>
      <c r="B45" s="1298"/>
      <c r="C45" s="1634"/>
      <c r="D45" s="1297"/>
      <c r="E45" s="1297"/>
      <c r="F45" s="1297"/>
      <c r="G45" s="1297"/>
      <c r="H45" s="1297"/>
      <c r="I45" s="1297"/>
      <c r="J45" s="1297"/>
      <c r="K45" s="1383"/>
      <c r="L45" s="1384"/>
      <c r="M45" s="1297"/>
      <c r="N45" s="1297"/>
      <c r="O45" s="1297"/>
      <c r="P45" s="1702"/>
      <c r="Q45" s="1297"/>
      <c r="R45" s="1297"/>
      <c r="S45" s="1297"/>
      <c r="T45" s="1297"/>
      <c r="U45" s="1297"/>
      <c r="V45" s="1297"/>
      <c r="W45" s="1297"/>
      <c r="X45" s="1297"/>
      <c r="Y45" s="1297"/>
      <c r="Z45" s="1297"/>
      <c r="AA45" s="1297"/>
      <c r="AB45" s="1297"/>
      <c r="AC45" s="1297"/>
    </row>
    <row r="46" spans="1:29">
      <c r="A46" s="1292"/>
      <c r="B46" s="1298"/>
      <c r="C46" s="1634"/>
      <c r="D46" s="1292"/>
      <c r="E46" s="1292"/>
      <c r="F46" s="1292"/>
      <c r="G46" s="1292"/>
      <c r="H46" s="1292"/>
      <c r="I46" s="1292"/>
      <c r="J46" s="1292"/>
      <c r="K46" s="1381"/>
      <c r="L46" s="1382"/>
      <c r="M46" s="1292"/>
      <c r="N46" s="1292"/>
      <c r="O46" s="1292"/>
      <c r="P46" s="1701"/>
      <c r="Q46" s="1292"/>
      <c r="R46" s="1292"/>
      <c r="S46" s="1292"/>
      <c r="T46" s="1292"/>
      <c r="U46" s="1292"/>
      <c r="V46" s="1292"/>
      <c r="W46" s="1292"/>
      <c r="X46" s="1292"/>
      <c r="Y46" s="1292"/>
      <c r="Z46" s="1292"/>
      <c r="AA46" s="1292"/>
      <c r="AB46" s="1292"/>
      <c r="AC46" s="1292"/>
    </row>
    <row r="47" ht="21.15" spans="1:29">
      <c r="A47" s="1691" t="s">
        <v>1528</v>
      </c>
      <c r="B47" s="1328"/>
      <c r="C47" s="1393"/>
      <c r="D47" s="1393"/>
      <c r="E47" s="1393"/>
      <c r="F47" s="1692"/>
      <c r="G47" s="1692"/>
      <c r="H47" s="1393"/>
      <c r="I47" s="1393"/>
      <c r="J47" s="1393"/>
      <c r="K47" s="1578"/>
      <c r="L47" s="1579"/>
      <c r="M47" s="1393"/>
      <c r="N47" s="1394"/>
      <c r="O47" s="1394"/>
      <c r="P47" s="1703"/>
      <c r="Q47" s="1419"/>
      <c r="R47" s="1292"/>
      <c r="S47" s="1292"/>
      <c r="T47" s="1292"/>
      <c r="U47" s="1292"/>
      <c r="V47" s="1292"/>
      <c r="W47" s="1292"/>
      <c r="X47" s="1292"/>
      <c r="Y47" s="1292"/>
      <c r="Z47" s="1292"/>
      <c r="AA47" s="1292"/>
      <c r="AB47" s="1292"/>
      <c r="AC47" s="1292"/>
    </row>
    <row r="48" s="1169" customFormat="1" ht="14.4" spans="1:29">
      <c r="A48" s="1635" t="s">
        <v>1488</v>
      </c>
      <c r="B48" s="1636"/>
      <c r="C48" s="1637" t="str">
        <f>YEAR(C7)&amp;"-"&amp;MONTH(C7)</f>
        <v>2023-4</v>
      </c>
      <c r="D48" s="1638">
        <f>EDATE(C48,-1)</f>
        <v>44986</v>
      </c>
      <c r="E48" s="1638">
        <f t="shared" ref="E48:O48" si="16">EDATE(D48,-1)</f>
        <v>44958</v>
      </c>
      <c r="F48" s="1638">
        <f t="shared" si="16"/>
        <v>44927</v>
      </c>
      <c r="G48" s="1638">
        <f t="shared" si="16"/>
        <v>44896</v>
      </c>
      <c r="H48" s="1638">
        <f t="shared" si="16"/>
        <v>44866</v>
      </c>
      <c r="I48" s="1638">
        <f t="shared" si="16"/>
        <v>44835</v>
      </c>
      <c r="J48" s="1638">
        <f t="shared" si="16"/>
        <v>44805</v>
      </c>
      <c r="K48" s="1638">
        <f t="shared" si="16"/>
        <v>44774</v>
      </c>
      <c r="L48" s="1638">
        <f t="shared" si="16"/>
        <v>44743</v>
      </c>
      <c r="M48" s="1638">
        <f t="shared" si="16"/>
        <v>44713</v>
      </c>
      <c r="N48" s="1638">
        <f t="shared" si="16"/>
        <v>44682</v>
      </c>
      <c r="O48" s="1638">
        <f t="shared" si="16"/>
        <v>44652</v>
      </c>
      <c r="P48" s="1704"/>
      <c r="Q48" s="1540"/>
      <c r="R48" s="1540"/>
      <c r="S48" s="1540"/>
      <c r="T48" s="1540"/>
      <c r="U48" s="1540"/>
      <c r="V48" s="1540"/>
      <c r="W48" s="1540"/>
      <c r="X48" s="1540"/>
      <c r="Y48" s="1540"/>
      <c r="Z48" s="1540"/>
      <c r="AA48" s="1540"/>
      <c r="AB48" s="1540"/>
      <c r="AC48" s="1540"/>
    </row>
    <row r="49" s="1164" customFormat="1" spans="1:29">
      <c r="A49" s="1639"/>
      <c r="B49" s="1441"/>
      <c r="C49" s="1693">
        <v>100</v>
      </c>
      <c r="D49" s="1445"/>
      <c r="E49" s="1445"/>
      <c r="F49" s="1445"/>
      <c r="G49" s="1445"/>
      <c r="H49" s="1445"/>
      <c r="I49" s="1445"/>
      <c r="J49" s="1445"/>
      <c r="K49" s="1445"/>
      <c r="L49" s="1445"/>
      <c r="M49" s="1647"/>
      <c r="N49" s="1445"/>
      <c r="O49" s="1647"/>
      <c r="P49" s="1705"/>
      <c r="Q49" s="1541"/>
      <c r="R49" s="1541"/>
      <c r="S49" s="1541"/>
      <c r="T49" s="1541"/>
      <c r="U49" s="1541"/>
      <c r="V49" s="1541"/>
      <c r="W49" s="1541"/>
      <c r="X49" s="1541"/>
      <c r="Y49" s="1541"/>
      <c r="Z49" s="1541"/>
      <c r="AA49" s="1541"/>
      <c r="AB49" s="1541"/>
      <c r="AC49" s="1541"/>
    </row>
    <row r="50" s="1164" customFormat="1" ht="15.15" spans="1:29">
      <c r="A50" s="1436" t="s">
        <v>1529</v>
      </c>
      <c r="B50" s="1437"/>
      <c r="C50" s="1438"/>
      <c r="D50" s="1439"/>
      <c r="E50" s="1439"/>
      <c r="F50" s="1439"/>
      <c r="G50" s="1439"/>
      <c r="H50" s="1439"/>
      <c r="I50" s="1439"/>
      <c r="J50" s="1439"/>
      <c r="K50" s="1439"/>
      <c r="L50" s="1439"/>
      <c r="M50" s="1487"/>
      <c r="N50" s="1439"/>
      <c r="O50" s="1487"/>
      <c r="P50" s="1705"/>
      <c r="Q50" s="1419"/>
      <c r="R50" s="1541"/>
      <c r="S50" s="1541"/>
      <c r="T50" s="1541"/>
      <c r="U50" s="1541"/>
      <c r="V50" s="1541"/>
      <c r="W50" s="1541"/>
      <c r="X50" s="1541"/>
      <c r="Y50" s="1541"/>
      <c r="Z50" s="1541"/>
      <c r="AA50" s="1541"/>
      <c r="AB50" s="1541"/>
      <c r="AC50" s="1541"/>
    </row>
    <row r="51" s="1164" customFormat="1" ht="14.4" spans="1:29">
      <c r="A51" s="1440" t="s">
        <v>1491</v>
      </c>
      <c r="B51" s="1441"/>
      <c r="C51" s="1442" t="s">
        <v>1530</v>
      </c>
      <c r="D51" s="1443"/>
      <c r="E51" s="1443"/>
      <c r="F51" s="1443"/>
      <c r="G51" s="1443"/>
      <c r="H51" s="1443"/>
      <c r="I51" s="1443"/>
      <c r="J51" s="1443"/>
      <c r="K51" s="1443"/>
      <c r="L51" s="1489"/>
      <c r="M51" s="1490"/>
      <c r="N51" s="1491"/>
      <c r="O51" s="1491"/>
      <c r="P51" s="1706"/>
      <c r="Q51" s="1419"/>
      <c r="R51" s="1541"/>
      <c r="S51" s="1541"/>
      <c r="T51" s="1541"/>
      <c r="U51" s="1541"/>
      <c r="V51" s="1541"/>
      <c r="W51" s="1541"/>
      <c r="X51" s="1541"/>
      <c r="Y51" s="1541"/>
      <c r="Z51" s="1541"/>
      <c r="AA51" s="1541"/>
      <c r="AB51" s="1541"/>
      <c r="AC51" s="1541"/>
    </row>
    <row r="52" s="1164" customFormat="1" ht="14.55" spans="1:29">
      <c r="A52" s="1440"/>
      <c r="B52" s="1441"/>
      <c r="C52" s="1444">
        <v>100</v>
      </c>
      <c r="D52" s="1445"/>
      <c r="E52" s="1445"/>
      <c r="F52" s="1445"/>
      <c r="G52" s="1445"/>
      <c r="H52" s="1445"/>
      <c r="I52" s="1445"/>
      <c r="J52" s="1445"/>
      <c r="K52" s="1445"/>
      <c r="L52" s="1445"/>
      <c r="M52" s="1493"/>
      <c r="N52" s="1491"/>
      <c r="O52" s="1491"/>
      <c r="P52" s="1705"/>
      <c r="Q52" s="1419"/>
      <c r="R52" s="1541"/>
      <c r="S52" s="1541"/>
      <c r="T52" s="1541"/>
      <c r="U52" s="1541"/>
      <c r="V52" s="1541"/>
      <c r="W52" s="1541"/>
      <c r="X52" s="1541"/>
      <c r="Y52" s="1541"/>
      <c r="Z52" s="1541"/>
      <c r="AA52" s="1541"/>
      <c r="AB52" s="1541"/>
      <c r="AC52" s="1541"/>
    </row>
    <row r="53" ht="14.4" spans="1:29">
      <c r="A53" s="1446" t="s">
        <v>1531</v>
      </c>
      <c r="B53" s="1447" t="s">
        <v>1494</v>
      </c>
      <c r="C53" s="1469">
        <f>C9</f>
        <v>0</v>
      </c>
      <c r="D53" s="1374"/>
      <c r="E53" s="1374"/>
      <c r="F53" s="1374"/>
      <c r="G53" s="1374"/>
      <c r="H53" s="1374"/>
      <c r="I53" s="1374"/>
      <c r="J53" s="1374"/>
      <c r="K53" s="1494"/>
      <c r="L53" s="1495"/>
      <c r="M53" s="1496"/>
      <c r="N53" s="1497"/>
      <c r="O53" s="1497"/>
      <c r="P53" s="1707"/>
      <c r="Q53" s="1419"/>
      <c r="R53" s="1292"/>
      <c r="S53" s="1292"/>
      <c r="T53" s="1292"/>
      <c r="U53" s="1292"/>
      <c r="V53" s="1292"/>
      <c r="W53" s="1292"/>
      <c r="X53" s="1292"/>
      <c r="Y53" s="1292"/>
      <c r="Z53" s="1292"/>
      <c r="AA53" s="1292"/>
      <c r="AB53" s="1292"/>
      <c r="AC53" s="1292"/>
    </row>
    <row r="54" ht="14.55" spans="1:29">
      <c r="A54" s="1448"/>
      <c r="B54" s="1449"/>
      <c r="C54" s="1450">
        <v>100</v>
      </c>
      <c r="D54" s="1450"/>
      <c r="E54" s="1450"/>
      <c r="F54" s="1450"/>
      <c r="G54" s="1450"/>
      <c r="H54" s="1450"/>
      <c r="I54" s="1450"/>
      <c r="J54" s="1450"/>
      <c r="K54" s="1450"/>
      <c r="L54" s="1450"/>
      <c r="M54" s="1499"/>
      <c r="N54" s="1500"/>
      <c r="O54" s="1500"/>
      <c r="P54" s="1707"/>
      <c r="Q54" s="1419"/>
      <c r="R54" s="1292"/>
      <c r="S54" s="1292"/>
      <c r="T54" s="1292"/>
      <c r="U54" s="1292"/>
      <c r="V54" s="1292"/>
      <c r="W54" s="1292"/>
      <c r="X54" s="1292"/>
      <c r="Y54" s="1292"/>
      <c r="Z54" s="1292"/>
      <c r="AA54" s="1292"/>
      <c r="AB54" s="1292"/>
      <c r="AC54" s="1292"/>
    </row>
    <row r="55" ht="29.55" spans="1:29">
      <c r="A55" s="1448"/>
      <c r="B55" s="1451" t="s">
        <v>1497</v>
      </c>
      <c r="C55" s="1476"/>
      <c r="D55" s="1476"/>
      <c r="E55" s="1476"/>
      <c r="F55" s="1476"/>
      <c r="G55" s="1476"/>
      <c r="H55" s="1476"/>
      <c r="I55" s="1476"/>
      <c r="J55" s="1476"/>
      <c r="K55" s="1527"/>
      <c r="L55" s="1528"/>
      <c r="M55" s="1529"/>
      <c r="N55" s="1497"/>
      <c r="O55" s="1497"/>
      <c r="P55" s="1707"/>
      <c r="Q55" s="1419"/>
      <c r="R55" s="1292"/>
      <c r="S55" s="1292"/>
      <c r="T55" s="1292"/>
      <c r="U55" s="1292"/>
      <c r="V55" s="1292"/>
      <c r="W55" s="1292"/>
      <c r="X55" s="1292"/>
      <c r="Y55" s="1292"/>
      <c r="Z55" s="1292"/>
      <c r="AA55" s="1292"/>
      <c r="AB55" s="1292"/>
      <c r="AC55" s="1292"/>
    </row>
    <row r="56" ht="14.55" spans="1:29">
      <c r="A56" s="1448"/>
      <c r="B56" s="1453"/>
      <c r="C56" s="1450"/>
      <c r="D56" s="1450"/>
      <c r="E56" s="1450"/>
      <c r="F56" s="1450"/>
      <c r="G56" s="1450"/>
      <c r="H56" s="1450"/>
      <c r="I56" s="1450"/>
      <c r="J56" s="1450"/>
      <c r="K56" s="1450"/>
      <c r="L56" s="1450"/>
      <c r="M56" s="1499"/>
      <c r="N56" s="1500"/>
      <c r="O56" s="1500"/>
      <c r="P56" s="1707"/>
      <c r="Q56" s="1419"/>
      <c r="R56" s="1292"/>
      <c r="S56" s="1292"/>
      <c r="T56" s="1292"/>
      <c r="U56" s="1292"/>
      <c r="V56" s="1292"/>
      <c r="W56" s="1292"/>
      <c r="X56" s="1292"/>
      <c r="Y56" s="1292"/>
      <c r="Z56" s="1292"/>
      <c r="AA56" s="1292"/>
      <c r="AB56" s="1292"/>
      <c r="AC56" s="1292"/>
    </row>
    <row r="57" ht="14.55" spans="1:29">
      <c r="A57" s="1448"/>
      <c r="B57" s="1475">
        <f>B11</f>
        <v>111</v>
      </c>
      <c r="C57" s="1223"/>
      <c r="D57" s="1223"/>
      <c r="E57" s="1223"/>
      <c r="F57" s="1223"/>
      <c r="G57" s="1223"/>
      <c r="H57" s="1223"/>
      <c r="I57" s="1223"/>
      <c r="J57" s="1223"/>
      <c r="K57" s="1505"/>
      <c r="L57" s="1506"/>
      <c r="M57" s="1507"/>
      <c r="N57" s="1497"/>
      <c r="O57" s="1497"/>
      <c r="P57" s="1707"/>
      <c r="Q57" s="1419"/>
      <c r="R57" s="1292"/>
      <c r="S57" s="1292"/>
      <c r="T57" s="1292"/>
      <c r="U57" s="1292"/>
      <c r="V57" s="1292"/>
      <c r="W57" s="1292"/>
      <c r="X57" s="1292"/>
      <c r="Y57" s="1292"/>
      <c r="Z57" s="1292"/>
      <c r="AA57" s="1292"/>
      <c r="AB57" s="1292"/>
      <c r="AC57" s="1292"/>
    </row>
    <row r="58" ht="14.55" spans="1:29">
      <c r="A58" s="1448"/>
      <c r="B58" s="1449"/>
      <c r="C58" s="1461"/>
      <c r="D58" s="1450"/>
      <c r="E58" s="1450"/>
      <c r="F58" s="1450"/>
      <c r="G58" s="1450"/>
      <c r="H58" s="1450"/>
      <c r="I58" s="1450"/>
      <c r="J58" s="1450"/>
      <c r="K58" s="1450"/>
      <c r="L58" s="1450"/>
      <c r="M58" s="1499"/>
      <c r="N58" s="1500"/>
      <c r="O58" s="1500"/>
      <c r="P58" s="1707"/>
      <c r="Q58" s="1419"/>
      <c r="R58" s="1292"/>
      <c r="S58" s="1292"/>
      <c r="T58" s="1292"/>
      <c r="U58" s="1292"/>
      <c r="V58" s="1292"/>
      <c r="W58" s="1292"/>
      <c r="X58" s="1292"/>
      <c r="Y58" s="1292"/>
      <c r="Z58" s="1292"/>
      <c r="AA58" s="1292"/>
      <c r="AB58" s="1292"/>
      <c r="AC58" s="1292"/>
    </row>
    <row r="59" s="1166" customFormat="1" ht="14.55" spans="1:29">
      <c r="A59" s="1458"/>
      <c r="B59" s="1451">
        <f>B12</f>
        <v>111</v>
      </c>
      <c r="C59" s="1223"/>
      <c r="D59" s="1223"/>
      <c r="E59" s="1223"/>
      <c r="F59" s="1223"/>
      <c r="G59" s="1459"/>
      <c r="H59" s="1460"/>
      <c r="I59" s="1460"/>
      <c r="J59" s="1460"/>
      <c r="K59" s="1460"/>
      <c r="L59" s="1508"/>
      <c r="M59" s="1509"/>
      <c r="N59" s="1510"/>
      <c r="O59" s="1510"/>
      <c r="P59" s="1708"/>
      <c r="Q59" s="1542"/>
      <c r="R59" s="1543"/>
      <c r="S59" s="1543"/>
      <c r="T59" s="1543"/>
      <c r="U59" s="1543"/>
      <c r="V59" s="1543"/>
      <c r="W59" s="1543"/>
      <c r="X59" s="1543"/>
      <c r="Y59" s="1543"/>
      <c r="Z59" s="1543"/>
      <c r="AA59" s="1543"/>
      <c r="AB59" s="1543"/>
      <c r="AC59" s="1543"/>
    </row>
    <row r="60" s="1166" customFormat="1" ht="14.55" spans="1:29">
      <c r="A60" s="1458"/>
      <c r="B60" s="1453"/>
      <c r="C60" s="1461"/>
      <c r="D60" s="1450"/>
      <c r="E60" s="1450"/>
      <c r="F60" s="1450"/>
      <c r="G60" s="1450"/>
      <c r="H60" s="1450"/>
      <c r="I60" s="1450"/>
      <c r="J60" s="1450"/>
      <c r="K60" s="1450"/>
      <c r="L60" s="1450"/>
      <c r="M60" s="1499"/>
      <c r="N60" s="1500"/>
      <c r="O60" s="1500"/>
      <c r="P60" s="1708"/>
      <c r="Q60" s="1542"/>
      <c r="R60" s="1543"/>
      <c r="S60" s="1543"/>
      <c r="T60" s="1543"/>
      <c r="U60" s="1543"/>
      <c r="V60" s="1543"/>
      <c r="W60" s="1543"/>
      <c r="X60" s="1543"/>
      <c r="Y60" s="1543"/>
      <c r="Z60" s="1543"/>
      <c r="AA60" s="1543"/>
      <c r="AB60" s="1543"/>
      <c r="AC60" s="1543"/>
    </row>
    <row r="61" s="1166" customFormat="1" ht="14.55" spans="1:29">
      <c r="A61" s="1458"/>
      <c r="B61" s="1451">
        <f>B13</f>
        <v>111</v>
      </c>
      <c r="C61" s="1459"/>
      <c r="D61" s="1459"/>
      <c r="E61" s="1459"/>
      <c r="F61" s="1459"/>
      <c r="G61" s="1459"/>
      <c r="H61" s="1460"/>
      <c r="I61" s="1460"/>
      <c r="J61" s="1460"/>
      <c r="K61" s="1460"/>
      <c r="L61" s="1508"/>
      <c r="M61" s="1509"/>
      <c r="N61" s="1510"/>
      <c r="O61" s="1510"/>
      <c r="P61" s="1709"/>
      <c r="Q61" s="1544"/>
      <c r="R61" s="1543"/>
      <c r="S61" s="1543"/>
      <c r="T61" s="1543"/>
      <c r="U61" s="1543"/>
      <c r="V61" s="1543"/>
      <c r="W61" s="1543"/>
      <c r="X61" s="1543"/>
      <c r="Y61" s="1543"/>
      <c r="Z61" s="1543"/>
      <c r="AA61" s="1543"/>
      <c r="AB61" s="1543"/>
      <c r="AC61" s="1543"/>
    </row>
    <row r="62" s="1166" customFormat="1" ht="14.55" spans="1:29">
      <c r="A62" s="1458"/>
      <c r="B62" s="1453"/>
      <c r="C62" s="1461"/>
      <c r="D62" s="1461"/>
      <c r="E62" s="1461"/>
      <c r="F62" s="1461"/>
      <c r="G62" s="1461"/>
      <c r="H62" s="1462"/>
      <c r="I62" s="1462"/>
      <c r="J62" s="1462"/>
      <c r="K62" s="1462"/>
      <c r="L62" s="1462"/>
      <c r="M62" s="1512"/>
      <c r="N62" s="1510"/>
      <c r="O62" s="1510"/>
      <c r="P62" s="1708"/>
      <c r="Q62" s="1542"/>
      <c r="R62" s="1543"/>
      <c r="S62" s="1543"/>
      <c r="T62" s="1543"/>
      <c r="U62" s="1543"/>
      <c r="V62" s="1543"/>
      <c r="W62" s="1543"/>
      <c r="X62" s="1543"/>
      <c r="Y62" s="1543"/>
      <c r="Z62" s="1543"/>
      <c r="AA62" s="1543"/>
      <c r="AB62" s="1543"/>
      <c r="AC62" s="1543"/>
    </row>
    <row r="63" ht="15.15" spans="1:29">
      <c r="A63" s="1446" t="s">
        <v>1499</v>
      </c>
      <c r="B63" s="1447" t="s">
        <v>1502</v>
      </c>
      <c r="C63" s="1468" t="s">
        <v>1532</v>
      </c>
      <c r="D63" s="1468" t="s">
        <v>1533</v>
      </c>
      <c r="E63" s="1468" t="s">
        <v>1534</v>
      </c>
      <c r="F63" s="1468" t="s">
        <v>1535</v>
      </c>
      <c r="G63" s="1468" t="s">
        <v>1536</v>
      </c>
      <c r="H63" s="1469"/>
      <c r="I63" s="1469"/>
      <c r="J63" s="1469"/>
      <c r="K63" s="1517"/>
      <c r="L63" s="1518"/>
      <c r="M63" s="1519"/>
      <c r="N63" s="1497"/>
      <c r="O63" s="1497"/>
      <c r="P63" s="1710"/>
      <c r="Q63" s="1419"/>
      <c r="R63" s="1292"/>
      <c r="S63" s="1292"/>
      <c r="T63" s="1292"/>
      <c r="U63" s="1292"/>
      <c r="V63" s="1292"/>
      <c r="W63" s="1292"/>
      <c r="X63" s="1292"/>
      <c r="Y63" s="1292"/>
      <c r="Z63" s="1292"/>
      <c r="AA63" s="1292"/>
      <c r="AB63" s="1292"/>
      <c r="AC63" s="1292"/>
    </row>
    <row r="64" ht="14.55" spans="1:29">
      <c r="A64" s="1448"/>
      <c r="B64" s="1453"/>
      <c r="C64" s="1454">
        <v>100</v>
      </c>
      <c r="D64" s="1454">
        <f>C64-$K14</f>
        <v>100</v>
      </c>
      <c r="E64" s="1454">
        <f>D64-$K14</f>
        <v>100</v>
      </c>
      <c r="F64" s="1454">
        <f>E64-$K14</f>
        <v>100</v>
      </c>
      <c r="G64" s="1454">
        <f>F64-$K14</f>
        <v>100</v>
      </c>
      <c r="H64" s="1454"/>
      <c r="I64" s="1454"/>
      <c r="J64" s="1454"/>
      <c r="K64" s="1454"/>
      <c r="L64" s="1454"/>
      <c r="M64" s="1504"/>
      <c r="N64" s="1500"/>
      <c r="O64" s="1500"/>
      <c r="P64" s="1707"/>
      <c r="Q64" s="1419"/>
      <c r="R64" s="1292"/>
      <c r="S64" s="1292"/>
      <c r="T64" s="1292"/>
      <c r="U64" s="1292"/>
      <c r="V64" s="1292"/>
      <c r="W64" s="1292"/>
      <c r="X64" s="1292"/>
      <c r="Y64" s="1292"/>
      <c r="Z64" s="1292"/>
      <c r="AA64" s="1292"/>
      <c r="AB64" s="1292"/>
      <c r="AC64" s="1292"/>
    </row>
    <row r="65" ht="15.15" spans="1:29">
      <c r="A65" s="1448"/>
      <c r="B65" s="1451" t="s">
        <v>1503</v>
      </c>
      <c r="C65" s="1470" t="s">
        <v>1532</v>
      </c>
      <c r="D65" s="1470" t="s">
        <v>1533</v>
      </c>
      <c r="E65" s="1470" t="s">
        <v>1534</v>
      </c>
      <c r="F65" s="1470" t="s">
        <v>1535</v>
      </c>
      <c r="G65" s="1470" t="s">
        <v>1536</v>
      </c>
      <c r="H65" s="1452"/>
      <c r="I65" s="1452"/>
      <c r="J65" s="1452"/>
      <c r="K65" s="1501"/>
      <c r="L65" s="1502"/>
      <c r="M65" s="1503"/>
      <c r="N65" s="1497"/>
      <c r="O65" s="1497"/>
      <c r="P65" s="1707"/>
      <c r="Q65" s="1419"/>
      <c r="R65" s="1292"/>
      <c r="S65" s="1292"/>
      <c r="T65" s="1292"/>
      <c r="U65" s="1292"/>
      <c r="V65" s="1292"/>
      <c r="W65" s="1292"/>
      <c r="X65" s="1292"/>
      <c r="Y65" s="1292"/>
      <c r="Z65" s="1292"/>
      <c r="AA65" s="1292"/>
      <c r="AB65" s="1292"/>
      <c r="AC65" s="1292"/>
    </row>
    <row r="66" ht="14.55" spans="1:29">
      <c r="A66" s="1448"/>
      <c r="B66" s="1453"/>
      <c r="C66" s="1454">
        <v>100</v>
      </c>
      <c r="D66" s="1454">
        <f>C66-$K16</f>
        <v>100</v>
      </c>
      <c r="E66" s="1454">
        <f>D66-$K16</f>
        <v>100</v>
      </c>
      <c r="F66" s="1454">
        <f>E66-$K16</f>
        <v>100</v>
      </c>
      <c r="G66" s="1454">
        <f>F66-$K16</f>
        <v>100</v>
      </c>
      <c r="H66" s="1454"/>
      <c r="I66" s="1454"/>
      <c r="J66" s="1454"/>
      <c r="K66" s="1454"/>
      <c r="L66" s="1454"/>
      <c r="M66" s="1504"/>
      <c r="N66" s="1500"/>
      <c r="O66" s="1500"/>
      <c r="P66" s="1707"/>
      <c r="Q66" s="1419"/>
      <c r="R66" s="1292"/>
      <c r="S66" s="1292"/>
      <c r="T66" s="1292"/>
      <c r="U66" s="1292"/>
      <c r="V66" s="1292"/>
      <c r="W66" s="1292"/>
      <c r="X66" s="1292"/>
      <c r="Y66" s="1292"/>
      <c r="Z66" s="1292"/>
      <c r="AA66" s="1292"/>
      <c r="AB66" s="1292"/>
      <c r="AC66" s="1292"/>
    </row>
    <row r="67" ht="15.15" spans="1:29">
      <c r="A67" s="1448"/>
      <c r="B67" s="1455" t="s">
        <v>1504</v>
      </c>
      <c r="C67" s="1475" t="s">
        <v>1537</v>
      </c>
      <c r="D67" s="1475" t="s">
        <v>1538</v>
      </c>
      <c r="E67" s="1475" t="s">
        <v>1539</v>
      </c>
      <c r="F67" s="1475" t="s">
        <v>1540</v>
      </c>
      <c r="G67" s="1475" t="s">
        <v>1541</v>
      </c>
      <c r="H67" s="1452"/>
      <c r="I67" s="1452"/>
      <c r="J67" s="1452"/>
      <c r="K67" s="1452"/>
      <c r="L67" s="1452"/>
      <c r="M67" s="1653"/>
      <c r="N67" s="1500"/>
      <c r="O67" s="1500"/>
      <c r="P67" s="1707"/>
      <c r="Q67" s="1419"/>
      <c r="R67" s="1292"/>
      <c r="S67" s="1292"/>
      <c r="T67" s="1292"/>
      <c r="U67" s="1292"/>
      <c r="V67" s="1292"/>
      <c r="W67" s="1292"/>
      <c r="X67" s="1292"/>
      <c r="Y67" s="1292"/>
      <c r="Z67" s="1292"/>
      <c r="AA67" s="1292"/>
      <c r="AB67" s="1292"/>
      <c r="AC67" s="1292"/>
    </row>
    <row r="68" ht="14.55" spans="1:29">
      <c r="A68" s="1448"/>
      <c r="B68" s="1455"/>
      <c r="C68" s="1454">
        <v>100</v>
      </c>
      <c r="D68" s="1454">
        <f>C68-$K18</f>
        <v>100</v>
      </c>
      <c r="E68" s="1454">
        <f>D68-$K18</f>
        <v>100</v>
      </c>
      <c r="F68" s="1454">
        <f>E68-$K18</f>
        <v>100</v>
      </c>
      <c r="G68" s="1454">
        <f>F68-$K18</f>
        <v>100</v>
      </c>
      <c r="H68" s="1475"/>
      <c r="I68" s="1475"/>
      <c r="J68" s="1475"/>
      <c r="K68" s="1475"/>
      <c r="L68" s="1475"/>
      <c r="M68" s="1240"/>
      <c r="N68" s="1500"/>
      <c r="O68" s="1500"/>
      <c r="P68" s="1707"/>
      <c r="Q68" s="1419"/>
      <c r="R68" s="1292"/>
      <c r="S68" s="1292"/>
      <c r="T68" s="1292"/>
      <c r="U68" s="1292"/>
      <c r="V68" s="1292"/>
      <c r="W68" s="1292"/>
      <c r="X68" s="1292"/>
      <c r="Y68" s="1292"/>
      <c r="Z68" s="1292"/>
      <c r="AA68" s="1292"/>
      <c r="AB68" s="1292"/>
      <c r="AC68" s="1292"/>
    </row>
    <row r="69" ht="15.15" spans="1:29">
      <c r="A69" s="1448"/>
      <c r="B69" s="1451" t="s">
        <v>1505</v>
      </c>
      <c r="C69" s="1470" t="s">
        <v>1532</v>
      </c>
      <c r="D69" s="1470" t="s">
        <v>1533</v>
      </c>
      <c r="E69" s="1470" t="s">
        <v>1534</v>
      </c>
      <c r="F69" s="1470" t="s">
        <v>1535</v>
      </c>
      <c r="G69" s="1470" t="s">
        <v>1536</v>
      </c>
      <c r="H69" s="1452"/>
      <c r="I69" s="1452"/>
      <c r="J69" s="1452"/>
      <c r="K69" s="1501"/>
      <c r="L69" s="1502"/>
      <c r="M69" s="1503"/>
      <c r="N69" s="1497"/>
      <c r="O69" s="1497"/>
      <c r="P69" s="1707"/>
      <c r="Q69" s="1419"/>
      <c r="R69" s="1292"/>
      <c r="S69" s="1292"/>
      <c r="T69" s="1292"/>
      <c r="U69" s="1292"/>
      <c r="V69" s="1292"/>
      <c r="W69" s="1292"/>
      <c r="X69" s="1292"/>
      <c r="Y69" s="1292"/>
      <c r="Z69" s="1292"/>
      <c r="AA69" s="1292"/>
      <c r="AB69" s="1292"/>
      <c r="AC69" s="1292"/>
    </row>
    <row r="70" ht="14.55" spans="1:29">
      <c r="A70" s="1448"/>
      <c r="B70" s="1453"/>
      <c r="C70" s="1454">
        <v>100</v>
      </c>
      <c r="D70" s="1454">
        <f>C70-$K20</f>
        <v>100</v>
      </c>
      <c r="E70" s="1454">
        <f>D70-$K20</f>
        <v>100</v>
      </c>
      <c r="F70" s="1454">
        <f>E70-$K20</f>
        <v>100</v>
      </c>
      <c r="G70" s="1454">
        <f>F70-$K20</f>
        <v>100</v>
      </c>
      <c r="H70" s="1454"/>
      <c r="I70" s="1454"/>
      <c r="J70" s="1454"/>
      <c r="K70" s="1454"/>
      <c r="L70" s="1454"/>
      <c r="M70" s="1504"/>
      <c r="N70" s="1500"/>
      <c r="O70" s="1500"/>
      <c r="P70" s="1707"/>
      <c r="Q70" s="1419"/>
      <c r="R70" s="1292"/>
      <c r="S70" s="1292"/>
      <c r="T70" s="1292"/>
      <c r="U70" s="1292"/>
      <c r="V70" s="1292"/>
      <c r="W70" s="1292"/>
      <c r="X70" s="1292"/>
      <c r="Y70" s="1292"/>
      <c r="Z70" s="1292"/>
      <c r="AA70" s="1292"/>
      <c r="AB70" s="1292"/>
      <c r="AC70" s="1292"/>
    </row>
    <row r="71" ht="15.15" spans="1:29">
      <c r="A71" s="1448"/>
      <c r="B71" s="1451" t="s">
        <v>1567</v>
      </c>
      <c r="C71" s="1459"/>
      <c r="D71" s="1459"/>
      <c r="E71" s="1459"/>
      <c r="F71" s="1459"/>
      <c r="G71" s="1459"/>
      <c r="H71" s="1476"/>
      <c r="I71" s="1476"/>
      <c r="J71" s="1476"/>
      <c r="K71" s="1527"/>
      <c r="L71" s="1528"/>
      <c r="M71" s="1529"/>
      <c r="N71" s="1497"/>
      <c r="O71" s="1497"/>
      <c r="P71" s="1707"/>
      <c r="Q71" s="1419"/>
      <c r="R71" s="1292"/>
      <c r="S71" s="1292"/>
      <c r="T71" s="1292"/>
      <c r="U71" s="1292"/>
      <c r="V71" s="1292"/>
      <c r="W71" s="1292"/>
      <c r="X71" s="1292"/>
      <c r="Y71" s="1292"/>
      <c r="Z71" s="1292"/>
      <c r="AA71" s="1292"/>
      <c r="AB71" s="1292"/>
      <c r="AC71" s="1292"/>
    </row>
    <row r="72" ht="14.55" spans="1:29">
      <c r="A72" s="1448"/>
      <c r="B72" s="1453"/>
      <c r="C72" s="1454">
        <v>100</v>
      </c>
      <c r="D72" s="1454">
        <f>C72-$K22</f>
        <v>100</v>
      </c>
      <c r="E72" s="1454">
        <f>D72-$K22</f>
        <v>100</v>
      </c>
      <c r="F72" s="1454">
        <f>E72-$K22</f>
        <v>100</v>
      </c>
      <c r="G72" s="1454">
        <f>F72-$K22</f>
        <v>100</v>
      </c>
      <c r="H72" s="1454"/>
      <c r="I72" s="1454"/>
      <c r="J72" s="1454"/>
      <c r="K72" s="1454"/>
      <c r="L72" s="1454"/>
      <c r="M72" s="1504"/>
      <c r="N72" s="1500"/>
      <c r="O72" s="1500"/>
      <c r="P72" s="1707"/>
      <c r="Q72" s="1419"/>
      <c r="R72" s="1292"/>
      <c r="S72" s="1292"/>
      <c r="T72" s="1292"/>
      <c r="U72" s="1292"/>
      <c r="V72" s="1292"/>
      <c r="W72" s="1292"/>
      <c r="X72" s="1292"/>
      <c r="Y72" s="1292"/>
      <c r="Z72" s="1292"/>
      <c r="AA72" s="1292"/>
      <c r="AB72" s="1292"/>
      <c r="AC72" s="1292"/>
    </row>
    <row r="73" s="1164" customFormat="1" ht="14.55" spans="1:29">
      <c r="A73" s="1471"/>
      <c r="B73" s="1451">
        <f>B23</f>
        <v>111</v>
      </c>
      <c r="C73" s="1223"/>
      <c r="D73" s="1223"/>
      <c r="E73" s="1223"/>
      <c r="F73" s="1223"/>
      <c r="G73" s="1459"/>
      <c r="H73" s="1459"/>
      <c r="I73" s="1459"/>
      <c r="J73" s="1459"/>
      <c r="K73" s="1459"/>
      <c r="L73" s="1654"/>
      <c r="M73" s="1655"/>
      <c r="N73" s="1491"/>
      <c r="O73" s="1491"/>
      <c r="P73" s="1707"/>
      <c r="Q73" s="1419"/>
      <c r="R73" s="1541"/>
      <c r="S73" s="1541"/>
      <c r="T73" s="1541"/>
      <c r="U73" s="1541"/>
      <c r="V73" s="1541"/>
      <c r="W73" s="1541"/>
      <c r="X73" s="1541"/>
      <c r="Y73" s="1541"/>
      <c r="Z73" s="1541"/>
      <c r="AA73" s="1541"/>
      <c r="AB73" s="1541"/>
      <c r="AC73" s="1541"/>
    </row>
    <row r="74" s="1164" customFormat="1" ht="14.55" spans="1:29">
      <c r="A74" s="1471"/>
      <c r="B74" s="1453"/>
      <c r="C74" s="1461"/>
      <c r="D74" s="1450"/>
      <c r="E74" s="1450"/>
      <c r="F74" s="1450"/>
      <c r="G74" s="1450"/>
      <c r="H74" s="1450"/>
      <c r="I74" s="1450"/>
      <c r="J74" s="1450"/>
      <c r="K74" s="1450"/>
      <c r="L74" s="1450"/>
      <c r="M74" s="1499"/>
      <c r="N74" s="1500"/>
      <c r="O74" s="1500"/>
      <c r="P74" s="1707"/>
      <c r="Q74" s="1419"/>
      <c r="R74" s="1541"/>
      <c r="S74" s="1541"/>
      <c r="T74" s="1541"/>
      <c r="U74" s="1541"/>
      <c r="V74" s="1541"/>
      <c r="W74" s="1541"/>
      <c r="X74" s="1541"/>
      <c r="Y74" s="1541"/>
      <c r="Z74" s="1541"/>
      <c r="AA74" s="1541"/>
      <c r="AB74" s="1541"/>
      <c r="AC74" s="1541"/>
    </row>
    <row r="75" s="1164" customFormat="1" ht="14.55" spans="1:29">
      <c r="A75" s="1471"/>
      <c r="B75" s="1451">
        <f>B24</f>
        <v>111</v>
      </c>
      <c r="C75" s="1223"/>
      <c r="D75" s="1223"/>
      <c r="E75" s="1223"/>
      <c r="F75" s="1223"/>
      <c r="G75" s="1459"/>
      <c r="H75" s="1459"/>
      <c r="I75" s="1459"/>
      <c r="J75" s="1459"/>
      <c r="K75" s="1459"/>
      <c r="L75" s="1459"/>
      <c r="M75" s="1655"/>
      <c r="N75" s="1491"/>
      <c r="O75" s="1491"/>
      <c r="P75" s="1707"/>
      <c r="Q75" s="1419"/>
      <c r="R75" s="1541"/>
      <c r="S75" s="1541"/>
      <c r="T75" s="1541"/>
      <c r="U75" s="1541"/>
      <c r="V75" s="1541"/>
      <c r="W75" s="1541"/>
      <c r="X75" s="1541"/>
      <c r="Y75" s="1541"/>
      <c r="Z75" s="1541"/>
      <c r="AA75" s="1541"/>
      <c r="AB75" s="1541"/>
      <c r="AC75" s="1541"/>
    </row>
    <row r="76" s="1164" customFormat="1" ht="14.55" spans="1:29">
      <c r="A76" s="1471"/>
      <c r="B76" s="1453"/>
      <c r="C76" s="1461"/>
      <c r="D76" s="1450"/>
      <c r="E76" s="1450"/>
      <c r="F76" s="1450"/>
      <c r="G76" s="1450"/>
      <c r="H76" s="1450"/>
      <c r="I76" s="1450"/>
      <c r="J76" s="1450"/>
      <c r="K76" s="1450"/>
      <c r="L76" s="1450"/>
      <c r="M76" s="1499"/>
      <c r="N76" s="1500"/>
      <c r="O76" s="1500"/>
      <c r="P76" s="1707"/>
      <c r="Q76" s="1419"/>
      <c r="R76" s="1541"/>
      <c r="S76" s="1541"/>
      <c r="T76" s="1541"/>
      <c r="U76" s="1541"/>
      <c r="V76" s="1541"/>
      <c r="W76" s="1541"/>
      <c r="X76" s="1541"/>
      <c r="Y76" s="1541"/>
      <c r="Z76" s="1541"/>
      <c r="AA76" s="1541"/>
      <c r="AB76" s="1541"/>
      <c r="AC76" s="1541"/>
    </row>
    <row r="77" s="1166" customFormat="1" ht="14.55" spans="1:29">
      <c r="A77" s="1458"/>
      <c r="B77" s="1451">
        <f>B25</f>
        <v>111</v>
      </c>
      <c r="C77" s="1459"/>
      <c r="D77" s="1459"/>
      <c r="E77" s="1459"/>
      <c r="F77" s="1459"/>
      <c r="G77" s="1459"/>
      <c r="H77" s="1460"/>
      <c r="I77" s="1460"/>
      <c r="J77" s="1460"/>
      <c r="K77" s="1460"/>
      <c r="L77" s="1508"/>
      <c r="M77" s="1509"/>
      <c r="N77" s="1510"/>
      <c r="O77" s="1510"/>
      <c r="P77" s="1708"/>
      <c r="Q77" s="1542"/>
      <c r="R77" s="1543"/>
      <c r="S77" s="1543"/>
      <c r="T77" s="1543"/>
      <c r="U77" s="1543"/>
      <c r="V77" s="1543"/>
      <c r="W77" s="1543"/>
      <c r="X77" s="1543"/>
      <c r="Y77" s="1543"/>
      <c r="Z77" s="1543"/>
      <c r="AA77" s="1543"/>
      <c r="AB77" s="1543"/>
      <c r="AC77" s="1543"/>
    </row>
    <row r="78" s="1166" customFormat="1" ht="14.55" spans="1:29">
      <c r="A78" s="1458"/>
      <c r="B78" s="1453"/>
      <c r="C78" s="1461"/>
      <c r="D78" s="1461"/>
      <c r="E78" s="1461"/>
      <c r="F78" s="1461"/>
      <c r="G78" s="1450"/>
      <c r="H78" s="1450"/>
      <c r="I78" s="1450"/>
      <c r="J78" s="1450"/>
      <c r="K78" s="1450"/>
      <c r="L78" s="1450"/>
      <c r="M78" s="1499"/>
      <c r="N78" s="1510"/>
      <c r="O78" s="1510"/>
      <c r="P78" s="1708"/>
      <c r="Q78" s="1542"/>
      <c r="R78" s="1543"/>
      <c r="S78" s="1543"/>
      <c r="T78" s="1543"/>
      <c r="U78" s="1543"/>
      <c r="V78" s="1543"/>
      <c r="W78" s="1543"/>
      <c r="X78" s="1543"/>
      <c r="Y78" s="1543"/>
      <c r="Z78" s="1543"/>
      <c r="AA78" s="1543"/>
      <c r="AB78" s="1543"/>
      <c r="AC78" s="1543"/>
    </row>
    <row r="79" ht="29.55" spans="1:29">
      <c r="A79" s="1446" t="s">
        <v>1508</v>
      </c>
      <c r="B79" s="1447" t="s">
        <v>1627</v>
      </c>
      <c r="C79" s="1469" t="str">
        <f>C26</f>
        <v>车库</v>
      </c>
      <c r="D79" s="1374"/>
      <c r="E79" s="1374"/>
      <c r="F79" s="1374"/>
      <c r="G79" s="1374"/>
      <c r="H79" s="1374"/>
      <c r="I79" s="1374"/>
      <c r="J79" s="1374"/>
      <c r="K79" s="1494"/>
      <c r="L79" s="1495"/>
      <c r="M79" s="1496"/>
      <c r="N79" s="1497"/>
      <c r="O79" s="1497"/>
      <c r="P79" s="1707"/>
      <c r="Q79" s="1419"/>
      <c r="R79" s="1292"/>
      <c r="S79" s="1292"/>
      <c r="T79" s="1292"/>
      <c r="U79" s="1292"/>
      <c r="V79" s="1292"/>
      <c r="W79" s="1292"/>
      <c r="X79" s="1292"/>
      <c r="Y79" s="1292"/>
      <c r="Z79" s="1292"/>
      <c r="AA79" s="1292"/>
      <c r="AB79" s="1292"/>
      <c r="AC79" s="1292"/>
    </row>
    <row r="80" ht="14.55" spans="1:29">
      <c r="A80" s="1448"/>
      <c r="B80" s="1453"/>
      <c r="C80" s="1454">
        <v>100</v>
      </c>
      <c r="D80" s="1454">
        <f t="shared" ref="D80:M80" si="17">C80-$K26</f>
        <v>100</v>
      </c>
      <c r="E80" s="1454">
        <f t="shared" si="17"/>
        <v>100</v>
      </c>
      <c r="F80" s="1454">
        <f t="shared" si="17"/>
        <v>100</v>
      </c>
      <c r="G80" s="1454">
        <f t="shared" si="17"/>
        <v>100</v>
      </c>
      <c r="H80" s="1454">
        <f t="shared" si="17"/>
        <v>100</v>
      </c>
      <c r="I80" s="1454">
        <f t="shared" si="17"/>
        <v>100</v>
      </c>
      <c r="J80" s="1454">
        <f t="shared" si="17"/>
        <v>100</v>
      </c>
      <c r="K80" s="1454">
        <f t="shared" si="17"/>
        <v>100</v>
      </c>
      <c r="L80" s="1454">
        <f t="shared" si="17"/>
        <v>100</v>
      </c>
      <c r="M80" s="1504">
        <f t="shared" si="17"/>
        <v>100</v>
      </c>
      <c r="N80" s="1500"/>
      <c r="O80" s="1500"/>
      <c r="P80" s="1707"/>
      <c r="Q80" s="1419"/>
      <c r="R80" s="1292"/>
      <c r="S80" s="1292"/>
      <c r="T80" s="1292"/>
      <c r="U80" s="1292"/>
      <c r="V80" s="1292"/>
      <c r="W80" s="1292"/>
      <c r="X80" s="1292"/>
      <c r="Y80" s="1292"/>
      <c r="Z80" s="1292"/>
      <c r="AA80" s="1292"/>
      <c r="AB80" s="1292"/>
      <c r="AC80" s="1292"/>
    </row>
    <row r="81" ht="15.15" spans="1:29">
      <c r="A81" s="1448"/>
      <c r="B81" s="1451" t="s">
        <v>1618</v>
      </c>
      <c r="C81" s="1711"/>
      <c r="D81" s="1711"/>
      <c r="E81" s="1711"/>
      <c r="F81" s="1711"/>
      <c r="G81" s="1711"/>
      <c r="H81" s="1711"/>
      <c r="I81" s="1711"/>
      <c r="J81" s="1711"/>
      <c r="K81" s="1712"/>
      <c r="L81" s="1713"/>
      <c r="M81" s="1714"/>
      <c r="N81" s="1491"/>
      <c r="O81" s="1491"/>
      <c r="P81" s="1707"/>
      <c r="Q81" s="1419"/>
      <c r="R81" s="1292"/>
      <c r="S81" s="1292"/>
      <c r="T81" s="1292"/>
      <c r="U81" s="1292"/>
      <c r="V81" s="1292"/>
      <c r="W81" s="1292"/>
      <c r="X81" s="1292"/>
      <c r="Y81" s="1292"/>
      <c r="Z81" s="1292"/>
      <c r="AA81" s="1292"/>
      <c r="AB81" s="1292"/>
      <c r="AC81" s="1292"/>
    </row>
    <row r="82" s="1166" customFormat="1" ht="14.55" spans="1:29">
      <c r="A82" s="1458"/>
      <c r="B82" s="1453"/>
      <c r="C82" s="1461"/>
      <c r="D82" s="1450"/>
      <c r="E82" s="1450"/>
      <c r="F82" s="1450"/>
      <c r="G82" s="1450"/>
      <c r="H82" s="1450"/>
      <c r="I82" s="1450"/>
      <c r="J82" s="1450"/>
      <c r="K82" s="1450"/>
      <c r="L82" s="1450"/>
      <c r="M82" s="1499"/>
      <c r="N82" s="1500"/>
      <c r="O82" s="1500"/>
      <c r="P82" s="1708"/>
      <c r="Q82" s="1542"/>
      <c r="R82" s="1543"/>
      <c r="S82" s="1543"/>
      <c r="T82" s="1543"/>
      <c r="U82" s="1543"/>
      <c r="V82" s="1543"/>
      <c r="W82" s="1543"/>
      <c r="X82" s="1543"/>
      <c r="Y82" s="1543"/>
      <c r="Z82" s="1543"/>
      <c r="AA82" s="1543"/>
      <c r="AB82" s="1543"/>
      <c r="AC82" s="1543"/>
    </row>
    <row r="83" ht="15.15" spans="1:29">
      <c r="A83" s="1482"/>
      <c r="B83" s="1451" t="s">
        <v>1514</v>
      </c>
      <c r="C83" s="1459"/>
      <c r="D83" s="1459"/>
      <c r="E83" s="1476"/>
      <c r="F83" s="1476"/>
      <c r="G83" s="1476"/>
      <c r="H83" s="1476"/>
      <c r="I83" s="1476"/>
      <c r="J83" s="1476"/>
      <c r="K83" s="1527"/>
      <c r="L83" s="1528"/>
      <c r="M83" s="1529"/>
      <c r="N83" s="1497"/>
      <c r="O83" s="1497"/>
      <c r="P83" s="1707"/>
      <c r="Q83" s="1419"/>
      <c r="R83" s="1292"/>
      <c r="S83" s="1292"/>
      <c r="T83" s="1292"/>
      <c r="U83" s="1292"/>
      <c r="V83" s="1292"/>
      <c r="W83" s="1292"/>
      <c r="X83" s="1292"/>
      <c r="Y83" s="1292"/>
      <c r="Z83" s="1292"/>
      <c r="AA83" s="1292"/>
      <c r="AB83" s="1292"/>
      <c r="AC83" s="1292"/>
    </row>
    <row r="84" ht="14.55" spans="1:29">
      <c r="A84" s="1448"/>
      <c r="B84" s="1453"/>
      <c r="C84" s="1454">
        <v>100</v>
      </c>
      <c r="D84" s="1454">
        <f t="shared" ref="D84:M84" si="18">C84-$K28</f>
        <v>100</v>
      </c>
      <c r="E84" s="1454">
        <f t="shared" si="18"/>
        <v>100</v>
      </c>
      <c r="F84" s="1454">
        <f t="shared" si="18"/>
        <v>100</v>
      </c>
      <c r="G84" s="1454">
        <f t="shared" si="18"/>
        <v>100</v>
      </c>
      <c r="H84" s="1454">
        <f t="shared" si="18"/>
        <v>100</v>
      </c>
      <c r="I84" s="1454">
        <f t="shared" si="18"/>
        <v>100</v>
      </c>
      <c r="J84" s="1454">
        <f t="shared" si="18"/>
        <v>100</v>
      </c>
      <c r="K84" s="1454">
        <f t="shared" si="18"/>
        <v>100</v>
      </c>
      <c r="L84" s="1454">
        <f t="shared" si="18"/>
        <v>100</v>
      </c>
      <c r="M84" s="1504">
        <f t="shared" si="18"/>
        <v>100</v>
      </c>
      <c r="N84" s="1500"/>
      <c r="O84" s="1500"/>
      <c r="P84" s="1707"/>
      <c r="Q84" s="1419"/>
      <c r="R84" s="1292"/>
      <c r="S84" s="1292"/>
      <c r="T84" s="1292"/>
      <c r="U84" s="1292"/>
      <c r="V84" s="1292"/>
      <c r="W84" s="1292"/>
      <c r="X84" s="1292"/>
      <c r="Y84" s="1292"/>
      <c r="Z84" s="1292"/>
      <c r="AA84" s="1292"/>
      <c r="AB84" s="1292"/>
      <c r="AC84" s="1292"/>
    </row>
    <row r="85" ht="15.15" spans="1:29">
      <c r="A85" s="1482"/>
      <c r="B85" s="1451" t="s">
        <v>1619</v>
      </c>
      <c r="C85" s="1470" t="str">
        <f>C86&amp;"(含)"&amp;"-"&amp;D86</f>
        <v>0.5(含)-0.6</v>
      </c>
      <c r="D85" s="1470" t="str">
        <f>D86&amp;"(含)"&amp;"-"&amp;E86</f>
        <v>0.6(含)-0.7</v>
      </c>
      <c r="E85" s="1470" t="str">
        <f>E86&amp;"(含)"&amp;"-"&amp;F86</f>
        <v>0.7(含)-0.8</v>
      </c>
      <c r="F85" s="1470" t="str">
        <f>F86&amp;"(含)"&amp;"-"&amp;G86</f>
        <v>0.8(含)-0.9</v>
      </c>
      <c r="G85" s="1470" t="str">
        <f>G86&amp;"(含)"&amp;"-"&amp;ROUND(H86,0)&amp;"(含)"</f>
        <v>0.9(含)-1(含)</v>
      </c>
      <c r="H85" s="1470"/>
      <c r="I85" s="1476"/>
      <c r="J85" s="1476"/>
      <c r="K85" s="1527"/>
      <c r="L85" s="1528"/>
      <c r="M85" s="1529"/>
      <c r="N85" s="1497"/>
      <c r="O85" s="1497"/>
      <c r="P85" s="1707"/>
      <c r="Q85" s="1419"/>
      <c r="R85" s="1292"/>
      <c r="S85" s="1292"/>
      <c r="T85" s="1292"/>
      <c r="U85" s="1292"/>
      <c r="V85" s="1292"/>
      <c r="W85" s="1292"/>
      <c r="X85" s="1292"/>
      <c r="Y85" s="1292"/>
      <c r="Z85" s="1292"/>
      <c r="AA85" s="1292"/>
      <c r="AB85" s="1292"/>
      <c r="AC85" s="1292"/>
    </row>
    <row r="86" spans="1:29">
      <c r="A86" s="1482"/>
      <c r="B86" s="1455"/>
      <c r="C86" s="928">
        <v>0.5</v>
      </c>
      <c r="D86" s="928">
        <v>0.6</v>
      </c>
      <c r="E86" s="928">
        <v>0.7</v>
      </c>
      <c r="F86" s="928">
        <v>0.8</v>
      </c>
      <c r="G86" s="928">
        <v>0.9</v>
      </c>
      <c r="H86" s="928">
        <v>1.0001</v>
      </c>
      <c r="I86" s="1715"/>
      <c r="J86" s="1715"/>
      <c r="K86" s="1716"/>
      <c r="L86" s="1717"/>
      <c r="M86" s="1718"/>
      <c r="N86" s="1497"/>
      <c r="O86" s="1497"/>
      <c r="P86" s="1707"/>
      <c r="Q86" s="1419"/>
      <c r="R86" s="1292"/>
      <c r="S86" s="1292"/>
      <c r="T86" s="1292"/>
      <c r="U86" s="1292"/>
      <c r="V86" s="1292"/>
      <c r="W86" s="1292"/>
      <c r="X86" s="1292"/>
      <c r="Y86" s="1292"/>
      <c r="Z86" s="1292"/>
      <c r="AA86" s="1292"/>
      <c r="AB86" s="1292"/>
      <c r="AC86" s="1292"/>
    </row>
    <row r="87" ht="14.55" spans="1:29">
      <c r="A87" s="1448"/>
      <c r="B87" s="1453"/>
      <c r="C87" s="1472">
        <v>100</v>
      </c>
      <c r="D87" s="1454">
        <f>C87+$K$29</f>
        <v>100</v>
      </c>
      <c r="E87" s="1454">
        <f t="shared" ref="E87:M87" si="19">D87+$K$29</f>
        <v>100</v>
      </c>
      <c r="F87" s="1454">
        <f t="shared" si="19"/>
        <v>100</v>
      </c>
      <c r="G87" s="1454">
        <f t="shared" si="19"/>
        <v>100</v>
      </c>
      <c r="H87" s="1454">
        <f t="shared" si="19"/>
        <v>100</v>
      </c>
      <c r="I87" s="1454">
        <f t="shared" si="19"/>
        <v>100</v>
      </c>
      <c r="J87" s="1454">
        <f t="shared" si="19"/>
        <v>100</v>
      </c>
      <c r="K87" s="1454">
        <f t="shared" si="19"/>
        <v>100</v>
      </c>
      <c r="L87" s="1454">
        <f t="shared" si="19"/>
        <v>100</v>
      </c>
      <c r="M87" s="1454">
        <f t="shared" si="19"/>
        <v>100</v>
      </c>
      <c r="N87" s="1500"/>
      <c r="O87" s="1500"/>
      <c r="P87" s="1707"/>
      <c r="Q87" s="1419"/>
      <c r="R87" s="1292"/>
      <c r="S87" s="1292"/>
      <c r="T87" s="1292"/>
      <c r="U87" s="1292"/>
      <c r="V87" s="1292"/>
      <c r="W87" s="1292"/>
      <c r="X87" s="1292"/>
      <c r="Y87" s="1292"/>
      <c r="Z87" s="1292"/>
      <c r="AA87" s="1292"/>
      <c r="AB87" s="1292"/>
      <c r="AC87" s="1292"/>
    </row>
    <row r="88" ht="15.15" spans="1:29">
      <c r="A88" s="1482"/>
      <c r="B88" s="1455" t="s">
        <v>1620</v>
      </c>
      <c r="C88" s="1374"/>
      <c r="D88" s="1374"/>
      <c r="E88" s="1374"/>
      <c r="F88" s="1374"/>
      <c r="G88" s="1374"/>
      <c r="H88" s="1374"/>
      <c r="I88" s="1374"/>
      <c r="J88" s="1374"/>
      <c r="K88" s="1494"/>
      <c r="L88" s="1495"/>
      <c r="M88" s="1496"/>
      <c r="N88" s="1497"/>
      <c r="O88" s="1497"/>
      <c r="P88" s="1707"/>
      <c r="Q88" s="1419"/>
      <c r="R88" s="1292"/>
      <c r="S88" s="1292"/>
      <c r="T88" s="1292"/>
      <c r="U88" s="1292"/>
      <c r="V88" s="1292"/>
      <c r="W88" s="1292"/>
      <c r="X88" s="1292"/>
      <c r="Y88" s="1292"/>
      <c r="Z88" s="1292"/>
      <c r="AA88" s="1292"/>
      <c r="AB88" s="1292"/>
      <c r="AC88" s="1292"/>
    </row>
    <row r="89" ht="14.55" spans="1:29">
      <c r="A89" s="1448"/>
      <c r="B89" s="1453"/>
      <c r="C89" s="1472">
        <v>100</v>
      </c>
      <c r="D89" s="1454">
        <f t="shared" ref="D89:M89" si="20">C89+$K30</f>
        <v>100</v>
      </c>
      <c r="E89" s="1454">
        <f t="shared" si="20"/>
        <v>100</v>
      </c>
      <c r="F89" s="1454">
        <f t="shared" si="20"/>
        <v>100</v>
      </c>
      <c r="G89" s="1454">
        <f t="shared" si="20"/>
        <v>100</v>
      </c>
      <c r="H89" s="1454">
        <f t="shared" si="20"/>
        <v>100</v>
      </c>
      <c r="I89" s="1454">
        <f t="shared" si="20"/>
        <v>100</v>
      </c>
      <c r="J89" s="1454">
        <f t="shared" si="20"/>
        <v>100</v>
      </c>
      <c r="K89" s="1454">
        <f t="shared" si="20"/>
        <v>100</v>
      </c>
      <c r="L89" s="1454">
        <f t="shared" si="20"/>
        <v>100</v>
      </c>
      <c r="M89" s="1454">
        <f t="shared" si="20"/>
        <v>100</v>
      </c>
      <c r="N89" s="1500"/>
      <c r="O89" s="1500"/>
      <c r="P89" s="1707"/>
      <c r="Q89" s="1419"/>
      <c r="R89" s="1292"/>
      <c r="S89" s="1292"/>
      <c r="T89" s="1292"/>
      <c r="U89" s="1292"/>
      <c r="V89" s="1292"/>
      <c r="W89" s="1292"/>
      <c r="X89" s="1292"/>
      <c r="Y89" s="1292"/>
      <c r="Z89" s="1292"/>
      <c r="AA89" s="1292"/>
      <c r="AB89" s="1292"/>
      <c r="AC89" s="1292"/>
    </row>
    <row r="90" s="1166" customFormat="1" ht="15.15" spans="1:29">
      <c r="A90" s="1479"/>
      <c r="B90" s="1451" t="s">
        <v>1621</v>
      </c>
      <c r="C90" s="1470" t="str">
        <f>C91&amp;"(含)"&amp;"-"&amp;D91</f>
        <v>(含)-</v>
      </c>
      <c r="D90" s="1470" t="str">
        <f t="shared" ref="D90:L90" si="21">D91&amp;"(含)"&amp;"-"&amp;E91</f>
        <v>(含)-</v>
      </c>
      <c r="E90" s="1470" t="str">
        <f t="shared" si="21"/>
        <v>(含)-</v>
      </c>
      <c r="F90" s="1470" t="str">
        <f t="shared" si="21"/>
        <v>(含)-</v>
      </c>
      <c r="G90" s="1470" t="str">
        <f t="shared" si="21"/>
        <v>(含)-</v>
      </c>
      <c r="H90" s="1470" t="str">
        <f t="shared" si="21"/>
        <v>(含)-</v>
      </c>
      <c r="I90" s="1470" t="str">
        <f t="shared" si="21"/>
        <v>(含)-</v>
      </c>
      <c r="J90" s="1470" t="str">
        <f t="shared" si="21"/>
        <v>(含)-</v>
      </c>
      <c r="K90" s="1470" t="str">
        <f t="shared" si="21"/>
        <v>(含)-</v>
      </c>
      <c r="L90" s="1470" t="str">
        <f t="shared" si="21"/>
        <v>(含)-</v>
      </c>
      <c r="M90" s="1522" t="str">
        <f>M91&amp;"(含)"&amp;"-"&amp;P91</f>
        <v>(含)-</v>
      </c>
      <c r="N90" s="1510"/>
      <c r="O90" s="1510"/>
      <c r="P90" s="1708"/>
      <c r="Q90" s="1542"/>
      <c r="R90" s="1543"/>
      <c r="S90" s="1543"/>
      <c r="T90" s="1543"/>
      <c r="U90" s="1543"/>
      <c r="V90" s="1543"/>
      <c r="W90" s="1543"/>
      <c r="X90" s="1543"/>
      <c r="Y90" s="1543"/>
      <c r="Z90" s="1543"/>
      <c r="AA90" s="1543"/>
      <c r="AB90" s="1543"/>
      <c r="AC90" s="1543"/>
    </row>
    <row r="91" s="1166" customFormat="1" spans="1:29">
      <c r="A91" s="1479"/>
      <c r="B91" s="1455"/>
      <c r="C91" s="1435"/>
      <c r="D91" s="1435"/>
      <c r="E91" s="1435"/>
      <c r="F91" s="1435"/>
      <c r="G91" s="1435"/>
      <c r="H91" s="1435"/>
      <c r="I91" s="1435"/>
      <c r="J91" s="1534"/>
      <c r="K91" s="1534"/>
      <c r="L91" s="1535"/>
      <c r="M91" s="1536"/>
      <c r="N91" s="1510"/>
      <c r="O91" s="1510"/>
      <c r="P91" s="1708"/>
      <c r="Q91" s="1542"/>
      <c r="R91" s="1543"/>
      <c r="S91" s="1543"/>
      <c r="T91" s="1543"/>
      <c r="U91" s="1543"/>
      <c r="V91" s="1543"/>
      <c r="W91" s="1543"/>
      <c r="X91" s="1543"/>
      <c r="Y91" s="1543"/>
      <c r="Z91" s="1543"/>
      <c r="AA91" s="1543"/>
      <c r="AB91" s="1543"/>
      <c r="AC91" s="1543"/>
    </row>
    <row r="92" s="1166" customFormat="1" ht="14.55" spans="1:29">
      <c r="A92" s="1458"/>
      <c r="B92" s="1453"/>
      <c r="C92" s="1461"/>
      <c r="D92" s="1450"/>
      <c r="E92" s="1450"/>
      <c r="F92" s="1450"/>
      <c r="G92" s="1450"/>
      <c r="H92" s="1450"/>
      <c r="I92" s="1450"/>
      <c r="J92" s="1450"/>
      <c r="K92" s="1450"/>
      <c r="L92" s="1450"/>
      <c r="M92" s="1499"/>
      <c r="N92" s="1510"/>
      <c r="O92" s="1510"/>
      <c r="P92" s="1708"/>
      <c r="Q92" s="1542"/>
      <c r="R92" s="1543"/>
      <c r="S92" s="1543"/>
      <c r="T92" s="1543"/>
      <c r="U92" s="1543"/>
      <c r="V92" s="1543"/>
      <c r="W92" s="1543"/>
      <c r="X92" s="1543"/>
      <c r="Y92" s="1543"/>
      <c r="Z92" s="1543"/>
      <c r="AA92" s="1543"/>
      <c r="AB92" s="1543"/>
      <c r="AC92" s="1543"/>
    </row>
    <row r="93" ht="15.15" spans="1:29">
      <c r="A93" s="1482"/>
      <c r="B93" s="1451" t="s">
        <v>1622</v>
      </c>
      <c r="C93" s="1459"/>
      <c r="D93" s="1459"/>
      <c r="E93" s="1476"/>
      <c r="F93" s="1476"/>
      <c r="G93" s="1476"/>
      <c r="H93" s="1476"/>
      <c r="I93" s="1476"/>
      <c r="J93" s="1476"/>
      <c r="K93" s="1527"/>
      <c r="L93" s="1528"/>
      <c r="M93" s="1529"/>
      <c r="N93" s="1497"/>
      <c r="O93" s="1497"/>
      <c r="P93" s="1707"/>
      <c r="Q93" s="1419"/>
      <c r="R93" s="1292"/>
      <c r="S93" s="1292"/>
      <c r="T93" s="1292"/>
      <c r="U93" s="1292"/>
      <c r="V93" s="1292"/>
      <c r="W93" s="1292"/>
      <c r="X93" s="1292"/>
      <c r="Y93" s="1292"/>
      <c r="Z93" s="1292"/>
      <c r="AA93" s="1292"/>
      <c r="AB93" s="1292"/>
      <c r="AC93" s="1292"/>
    </row>
    <row r="94" ht="14.55" spans="1:29">
      <c r="A94" s="1448"/>
      <c r="B94" s="1453"/>
      <c r="C94" s="1454">
        <v>100</v>
      </c>
      <c r="D94" s="1454">
        <f t="shared" ref="D94:M94" si="22">C94-$K32</f>
        <v>100</v>
      </c>
      <c r="E94" s="1454">
        <f t="shared" si="22"/>
        <v>100</v>
      </c>
      <c r="F94" s="1454">
        <f t="shared" si="22"/>
        <v>100</v>
      </c>
      <c r="G94" s="1454">
        <f t="shared" si="22"/>
        <v>100</v>
      </c>
      <c r="H94" s="1454">
        <f t="shared" si="22"/>
        <v>100</v>
      </c>
      <c r="I94" s="1454">
        <f t="shared" si="22"/>
        <v>100</v>
      </c>
      <c r="J94" s="1454">
        <f t="shared" si="22"/>
        <v>100</v>
      </c>
      <c r="K94" s="1454">
        <f t="shared" si="22"/>
        <v>100</v>
      </c>
      <c r="L94" s="1454">
        <f t="shared" si="22"/>
        <v>100</v>
      </c>
      <c r="M94" s="1504">
        <f t="shared" si="22"/>
        <v>100</v>
      </c>
      <c r="N94" s="1500"/>
      <c r="O94" s="1500"/>
      <c r="P94" s="1707"/>
      <c r="Q94" s="1419"/>
      <c r="R94" s="1292"/>
      <c r="S94" s="1292"/>
      <c r="T94" s="1292"/>
      <c r="U94" s="1292"/>
      <c r="V94" s="1292"/>
      <c r="W94" s="1292"/>
      <c r="X94" s="1292"/>
      <c r="Y94" s="1292"/>
      <c r="Z94" s="1292"/>
      <c r="AA94" s="1292"/>
      <c r="AB94" s="1292"/>
      <c r="AC94" s="1292"/>
    </row>
    <row r="95" ht="15.15" spans="1:29">
      <c r="A95" s="1482"/>
      <c r="B95" s="1451" t="s">
        <v>1623</v>
      </c>
      <c r="C95" s="1374"/>
      <c r="D95" s="1374"/>
      <c r="E95" s="1374"/>
      <c r="F95" s="1374"/>
      <c r="G95" s="1374"/>
      <c r="H95" s="1374"/>
      <c r="I95" s="1374"/>
      <c r="J95" s="1374"/>
      <c r="K95" s="1494"/>
      <c r="L95" s="1495"/>
      <c r="M95" s="1496"/>
      <c r="N95" s="1497"/>
      <c r="O95" s="1497"/>
      <c r="P95" s="1707"/>
      <c r="Q95" s="1419"/>
      <c r="R95" s="1292"/>
      <c r="S95" s="1292"/>
      <c r="T95" s="1292"/>
      <c r="U95" s="1292"/>
      <c r="V95" s="1292"/>
      <c r="W95" s="1292"/>
      <c r="X95" s="1292"/>
      <c r="Y95" s="1292"/>
      <c r="Z95" s="1292"/>
      <c r="AA95" s="1292"/>
      <c r="AB95" s="1292"/>
      <c r="AC95" s="1292"/>
    </row>
    <row r="96" ht="14.55" spans="1:29">
      <c r="A96" s="1448"/>
      <c r="B96" s="1453"/>
      <c r="C96" s="1454">
        <v>100</v>
      </c>
      <c r="D96" s="1454">
        <f>C96-$K33</f>
        <v>100</v>
      </c>
      <c r="E96" s="1454">
        <f>D96-$K33</f>
        <v>100</v>
      </c>
      <c r="F96" s="1454">
        <f>E96-$K33</f>
        <v>100</v>
      </c>
      <c r="G96" s="1454">
        <f>F96-$K33</f>
        <v>100</v>
      </c>
      <c r="H96" s="1454"/>
      <c r="I96" s="1454"/>
      <c r="J96" s="1454"/>
      <c r="K96" s="1454"/>
      <c r="L96" s="1454"/>
      <c r="M96" s="1504"/>
      <c r="N96" s="1500"/>
      <c r="O96" s="1500"/>
      <c r="P96" s="1707"/>
      <c r="Q96" s="1419"/>
      <c r="R96" s="1292"/>
      <c r="S96" s="1292"/>
      <c r="T96" s="1292"/>
      <c r="U96" s="1292"/>
      <c r="V96" s="1292"/>
      <c r="W96" s="1292"/>
      <c r="X96" s="1292"/>
      <c r="Y96" s="1292"/>
      <c r="Z96" s="1292"/>
      <c r="AA96" s="1292"/>
      <c r="AB96" s="1292"/>
      <c r="AC96" s="1292"/>
    </row>
    <row r="97" ht="14.55" spans="1:29">
      <c r="A97" s="1482"/>
      <c r="B97" s="1651">
        <f>B34</f>
        <v>111</v>
      </c>
      <c r="C97" s="1223"/>
      <c r="D97" s="1223"/>
      <c r="E97" s="1223"/>
      <c r="F97" s="1223"/>
      <c r="G97" s="1459"/>
      <c r="H97" s="1460"/>
      <c r="I97" s="1460"/>
      <c r="J97" s="1460"/>
      <c r="K97" s="1460"/>
      <c r="L97" s="1508"/>
      <c r="M97" s="1509"/>
      <c r="N97" s="1500"/>
      <c r="O97" s="1500"/>
      <c r="P97" s="1719"/>
      <c r="Q97" s="1662"/>
      <c r="R97" s="1292"/>
      <c r="S97" s="1292"/>
      <c r="T97" s="1292"/>
      <c r="U97" s="1292"/>
      <c r="V97" s="1292"/>
      <c r="W97" s="1292"/>
      <c r="X97" s="1292"/>
      <c r="Y97" s="1292"/>
      <c r="Z97" s="1292"/>
      <c r="AA97" s="1292"/>
      <c r="AB97" s="1292"/>
      <c r="AC97" s="1292"/>
    </row>
    <row r="98" ht="14.55" spans="1:29">
      <c r="A98" s="1448"/>
      <c r="B98" s="1453"/>
      <c r="C98" s="1461"/>
      <c r="D98" s="1450"/>
      <c r="E98" s="1450"/>
      <c r="F98" s="1450"/>
      <c r="G98" s="1461"/>
      <c r="H98" s="1462"/>
      <c r="I98" s="1462"/>
      <c r="J98" s="1462"/>
      <c r="K98" s="1462"/>
      <c r="L98" s="1462"/>
      <c r="M98" s="1512"/>
      <c r="N98" s="1500"/>
      <c r="O98" s="1500"/>
      <c r="P98" s="1707"/>
      <c r="Q98" s="1419"/>
      <c r="R98" s="1292"/>
      <c r="S98" s="1292"/>
      <c r="T98" s="1292"/>
      <c r="U98" s="1292"/>
      <c r="V98" s="1292"/>
      <c r="W98" s="1292"/>
      <c r="X98" s="1292"/>
      <c r="Y98" s="1292"/>
      <c r="Z98" s="1292"/>
      <c r="AA98" s="1292"/>
      <c r="AB98" s="1292"/>
      <c r="AC98" s="1292"/>
    </row>
    <row r="99" s="1166" customFormat="1" ht="14.55" spans="1:29">
      <c r="A99" s="1479"/>
      <c r="B99" s="1451">
        <f>B35</f>
        <v>111</v>
      </c>
      <c r="C99" s="1223"/>
      <c r="D99" s="1223"/>
      <c r="E99" s="1223"/>
      <c r="F99" s="1223"/>
      <c r="G99" s="1459"/>
      <c r="H99" s="1460"/>
      <c r="I99" s="1460"/>
      <c r="J99" s="1460"/>
      <c r="K99" s="1460"/>
      <c r="L99" s="1508"/>
      <c r="M99" s="1509"/>
      <c r="N99" s="1510"/>
      <c r="O99" s="1510"/>
      <c r="P99" s="1708"/>
      <c r="Q99" s="1542"/>
      <c r="R99" s="1543"/>
      <c r="S99" s="1543"/>
      <c r="T99" s="1543"/>
      <c r="U99" s="1543"/>
      <c r="V99" s="1543"/>
      <c r="W99" s="1543"/>
      <c r="X99" s="1543"/>
      <c r="Y99" s="1543"/>
      <c r="Z99" s="1543"/>
      <c r="AA99" s="1543"/>
      <c r="AB99" s="1543"/>
      <c r="AC99" s="1543"/>
    </row>
    <row r="100" s="1166" customFormat="1" ht="14.55" spans="1:29">
      <c r="A100" s="1458"/>
      <c r="B100" s="1449"/>
      <c r="C100" s="1461"/>
      <c r="D100" s="1450"/>
      <c r="E100" s="1450"/>
      <c r="F100" s="1450"/>
      <c r="G100" s="1461"/>
      <c r="H100" s="1462"/>
      <c r="I100" s="1462"/>
      <c r="J100" s="1462"/>
      <c r="K100" s="1462"/>
      <c r="L100" s="1462"/>
      <c r="M100" s="1512"/>
      <c r="N100" s="1510"/>
      <c r="O100" s="1510"/>
      <c r="P100" s="1708"/>
      <c r="Q100" s="1542"/>
      <c r="R100" s="1543"/>
      <c r="S100" s="1543"/>
      <c r="T100" s="1543"/>
      <c r="U100" s="1543"/>
      <c r="V100" s="1543"/>
      <c r="W100" s="1543"/>
      <c r="X100" s="1543"/>
      <c r="Y100" s="1543"/>
      <c r="Z100" s="1543"/>
      <c r="AA100" s="1543"/>
      <c r="AB100" s="1543"/>
      <c r="AC100" s="1543"/>
    </row>
    <row r="101" ht="14.55" spans="1:29">
      <c r="A101" s="1482"/>
      <c r="B101" s="1451">
        <f>B36</f>
        <v>111</v>
      </c>
      <c r="C101" s="1459"/>
      <c r="D101" s="1459"/>
      <c r="E101" s="1459"/>
      <c r="F101" s="1459"/>
      <c r="G101" s="1459"/>
      <c r="H101" s="1460"/>
      <c r="I101" s="1460"/>
      <c r="J101" s="1460"/>
      <c r="K101" s="1460"/>
      <c r="L101" s="1508"/>
      <c r="M101" s="1509"/>
      <c r="N101" s="1497"/>
      <c r="O101" s="1497"/>
      <c r="P101" s="1707"/>
      <c r="Q101" s="1419"/>
      <c r="R101" s="1292"/>
      <c r="S101" s="1292"/>
      <c r="T101" s="1292"/>
      <c r="U101" s="1292"/>
      <c r="V101" s="1292"/>
      <c r="W101" s="1292"/>
      <c r="X101" s="1292"/>
      <c r="Y101" s="1292"/>
      <c r="Z101" s="1292"/>
      <c r="AA101" s="1292"/>
      <c r="AB101" s="1292"/>
      <c r="AC101" s="1292"/>
    </row>
    <row r="102" ht="14.55" spans="1:29">
      <c r="A102" s="1448"/>
      <c r="B102" s="1453"/>
      <c r="C102" s="1461"/>
      <c r="D102" s="1461"/>
      <c r="E102" s="1461"/>
      <c r="F102" s="1461"/>
      <c r="G102" s="1461"/>
      <c r="H102" s="1462"/>
      <c r="I102" s="1462"/>
      <c r="J102" s="1462"/>
      <c r="K102" s="1462"/>
      <c r="L102" s="1462"/>
      <c r="M102" s="1512"/>
      <c r="N102" s="1500"/>
      <c r="O102" s="1500"/>
      <c r="P102" s="1707"/>
      <c r="Q102" s="1419"/>
      <c r="R102" s="1292"/>
      <c r="S102" s="1292"/>
      <c r="T102" s="1292"/>
      <c r="U102" s="1292"/>
      <c r="V102" s="1292"/>
      <c r="W102" s="1292"/>
      <c r="X102" s="1292"/>
      <c r="Y102" s="1292"/>
      <c r="Z102" s="1292"/>
      <c r="AA102" s="1292"/>
      <c r="AB102" s="1292"/>
      <c r="AC102" s="1292"/>
    </row>
    <row r="103" ht="14.55" spans="14:29">
      <c r="N103" s="1292"/>
      <c r="O103" s="1292"/>
      <c r="P103" s="1701"/>
      <c r="Q103" s="1292"/>
      <c r="R103" s="1292"/>
      <c r="S103" s="1292"/>
      <c r="T103" s="1292"/>
      <c r="U103" s="1292"/>
      <c r="V103" s="1292"/>
      <c r="W103" s="1292"/>
      <c r="X103" s="1292"/>
      <c r="Y103" s="1292"/>
      <c r="Z103" s="1292"/>
      <c r="AA103" s="1292"/>
      <c r="AB103" s="1292"/>
      <c r="AC103" s="12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70" customWidth="1"/>
    <col min="2" max="2" width="15.7777777777778" style="1170" customWidth="1"/>
    <col min="3" max="3" width="14.3333333333333" style="1170" customWidth="1"/>
    <col min="4" max="4" width="12.2222222222222" style="1170" customWidth="1"/>
    <col min="5" max="5" width="14.3333333333333" style="1170" customWidth="1"/>
    <col min="6" max="6" width="12.2222222222222" style="1170" customWidth="1"/>
    <col min="7" max="7" width="14.4444444444444" style="1170" customWidth="1"/>
    <col min="8" max="8" width="12.2222222222222" style="1170" customWidth="1"/>
    <col min="9" max="9" width="14.4444444444444" style="1170" customWidth="1"/>
    <col min="10" max="10" width="12.2222222222222" style="1170" customWidth="1"/>
    <col min="11" max="11" width="12.2222222222222" style="1171" customWidth="1"/>
    <col min="12" max="12" width="12.2222222222222" style="1172" customWidth="1"/>
    <col min="13" max="15" width="12.2222222222222" style="1170" customWidth="1"/>
    <col min="16" max="16" width="4.77777777777778" style="1170" customWidth="1"/>
    <col min="17" max="17" width="19.4444444444444" style="1170" customWidth="1"/>
    <col min="18" max="22" width="6.11111111111111" style="1170" customWidth="1"/>
    <col min="23" max="23" width="5.77777777777778" style="1170" customWidth="1"/>
    <col min="24" max="24" width="4.22222222222222" style="1170" customWidth="1"/>
    <col min="25" max="25" width="3.44444444444444" style="1170" customWidth="1"/>
    <col min="26" max="26" width="19.7777777777778" style="1170" customWidth="1"/>
    <col min="27" max="28" width="9.33333333333333" style="1170" customWidth="1"/>
    <col min="29" max="16384" width="9" style="1170"/>
  </cols>
  <sheetData>
    <row r="1" s="1582" customFormat="1" ht="28.5" customHeight="1" spans="1:29">
      <c r="A1" s="1583" t="s">
        <v>1614</v>
      </c>
      <c r="B1" s="1584" t="s">
        <v>1628</v>
      </c>
      <c r="C1" s="1585" t="s">
        <v>1472</v>
      </c>
      <c r="D1" s="1586"/>
      <c r="E1" s="1587"/>
      <c r="F1" s="1588"/>
      <c r="G1" s="1589" t="s">
        <v>1473</v>
      </c>
      <c r="H1" s="1590"/>
      <c r="I1" s="1590"/>
      <c r="J1" s="1590"/>
      <c r="K1" s="1641"/>
      <c r="L1" s="1642"/>
      <c r="M1" s="1643"/>
      <c r="N1" s="1643"/>
      <c r="O1" s="1643"/>
      <c r="P1" s="1585"/>
      <c r="Q1" s="1585"/>
      <c r="R1" s="1585"/>
      <c r="S1" s="1585"/>
      <c r="T1" s="1585"/>
      <c r="U1" s="1585"/>
      <c r="V1" s="1585"/>
      <c r="W1" s="1585"/>
      <c r="X1" s="1585"/>
      <c r="Y1" s="1585"/>
      <c r="Z1" s="1585"/>
      <c r="AA1" s="1585"/>
      <c r="AB1" s="1585"/>
      <c r="AC1" s="1650"/>
    </row>
    <row r="2" s="1163" customFormat="1" ht="28.5" customHeight="1" spans="1:29">
      <c r="A2" s="1591" t="s">
        <v>989</v>
      </c>
      <c r="B2" s="1592" t="b">
        <f ca="1">IF(E1="项目模式",IF(C2="——",ROUND(C37*D3/10000,0),ROUND(C37*D3/10000,0)-D2),IF(E1="单套模式",IF(C2="——",ROUND(C37*D3/10000,4),ROUND(C37*D3/10000,4)-D2)))</f>
        <v>0</v>
      </c>
      <c r="C2" s="1593"/>
      <c r="D2" s="1545" t="e">
        <f ca="1">IF(E1="项目模式",SUMIF(INDIRECT("'"&amp;F2&amp;"'"&amp;"!A:A"),"承租人权益价值",INDIRECT("'"&amp;F2&amp;"'"&amp;"!c:c")),SUMIF(INDIRECT("'"&amp;F2&amp;"'"&amp;"!A:A"),"承租人权益价值（单套）",INDIRECT("'"&amp;F2&amp;"'"&amp;"!c:c")))</f>
        <v>#REF!</v>
      </c>
      <c r="E2" s="1594" t="s">
        <v>990</v>
      </c>
      <c r="F2" s="1595"/>
      <c r="G2" s="1179"/>
      <c r="H2" s="1179"/>
      <c r="I2" s="1179"/>
      <c r="J2" s="1179"/>
      <c r="K2" s="1340"/>
      <c r="L2" s="1341"/>
      <c r="M2" s="1342"/>
      <c r="N2" s="1342"/>
      <c r="O2" s="1342"/>
      <c r="P2" s="1339"/>
      <c r="Q2" s="1339"/>
      <c r="R2" s="1339"/>
      <c r="S2" s="1339"/>
      <c r="T2" s="1339"/>
      <c r="U2" s="1339"/>
      <c r="V2" s="1339"/>
      <c r="W2" s="1339"/>
      <c r="X2" s="1339"/>
      <c r="Y2" s="1339"/>
      <c r="Z2" s="1339"/>
      <c r="AA2" s="1339"/>
      <c r="AB2" s="1339"/>
      <c r="AC2" s="1420"/>
    </row>
    <row r="3" s="1163" customFormat="1" ht="28.5" customHeight="1" spans="1:29">
      <c r="A3" s="397" t="s">
        <v>991</v>
      </c>
      <c r="B3" s="1181" t="e">
        <f ca="1">IF(C2="——",C37,ROUND(B2*10000/D3,0))</f>
        <v>#DIV/0!</v>
      </c>
      <c r="C3" s="1596" t="s">
        <v>1474</v>
      </c>
      <c r="D3" s="1597">
        <f>SUMIF('数据-汇总表'!$C19:$C33,D1,'数据-汇总表'!$E19:$E33)</f>
        <v>0</v>
      </c>
      <c r="E3" s="1179"/>
      <c r="F3" s="1180"/>
      <c r="G3" s="1179"/>
      <c r="H3" s="1179"/>
      <c r="I3" s="1179"/>
      <c r="J3" s="1179"/>
      <c r="K3" s="1340"/>
      <c r="L3" s="1341"/>
      <c r="M3" s="1342"/>
      <c r="N3" s="1342"/>
      <c r="O3" s="1342"/>
      <c r="P3" s="1339"/>
      <c r="Q3" s="1339"/>
      <c r="R3" s="1339"/>
      <c r="S3" s="1339"/>
      <c r="T3" s="1339"/>
      <c r="U3" s="1339"/>
      <c r="V3" s="1339"/>
      <c r="W3" s="1339"/>
      <c r="X3" s="1339"/>
      <c r="Y3" s="1339"/>
      <c r="Z3" s="1339"/>
      <c r="AA3" s="1339"/>
      <c r="AB3" s="1421"/>
      <c r="AC3" s="1422"/>
    </row>
    <row r="4" ht="14.4" spans="1:29">
      <c r="A4" s="1183" t="s">
        <v>1475</v>
      </c>
      <c r="B4" s="1184"/>
      <c r="C4" s="1185" t="s">
        <v>1476</v>
      </c>
      <c r="D4" s="1186"/>
      <c r="E4" s="1187" t="s">
        <v>1477</v>
      </c>
      <c r="F4" s="1188"/>
      <c r="G4" s="1185" t="s">
        <v>1478</v>
      </c>
      <c r="H4" s="1186"/>
      <c r="I4" s="1185" t="s">
        <v>1479</v>
      </c>
      <c r="J4" s="1186"/>
      <c r="K4" s="1343" t="s">
        <v>1480</v>
      </c>
      <c r="L4" s="1344"/>
      <c r="M4" s="1345"/>
      <c r="N4" s="1345"/>
      <c r="O4" s="1345"/>
      <c r="P4" s="1346" t="s">
        <v>1481</v>
      </c>
      <c r="Q4" s="1395"/>
      <c r="R4" s="1396" t="s">
        <v>1477</v>
      </c>
      <c r="S4" s="1397"/>
      <c r="T4" s="1396" t="s">
        <v>1478</v>
      </c>
      <c r="U4" s="1397"/>
      <c r="V4" s="1385" t="s">
        <v>1479</v>
      </c>
      <c r="W4" s="1385"/>
      <c r="X4" s="1398"/>
      <c r="Y4" s="1396" t="s">
        <v>1481</v>
      </c>
      <c r="Z4" s="1397"/>
      <c r="AA4" s="1423" t="s">
        <v>1477</v>
      </c>
      <c r="AB4" s="1398" t="s">
        <v>1478</v>
      </c>
      <c r="AC4" s="1423" t="s">
        <v>1479</v>
      </c>
    </row>
    <row r="5" spans="1:29">
      <c r="A5" s="1189"/>
      <c r="B5" s="1190"/>
      <c r="C5" s="1191" t="s">
        <v>1482</v>
      </c>
      <c r="D5" s="1192"/>
      <c r="E5" s="1193" t="s">
        <v>1483</v>
      </c>
      <c r="F5" s="1194"/>
      <c r="G5" s="1191" t="s">
        <v>1484</v>
      </c>
      <c r="H5" s="1192"/>
      <c r="I5" s="1191" t="s">
        <v>1485</v>
      </c>
      <c r="J5" s="1192"/>
      <c r="K5" s="1343"/>
      <c r="L5" s="1344"/>
      <c r="M5" s="1345"/>
      <c r="N5" s="1345"/>
      <c r="O5" s="1345"/>
      <c r="P5" s="1347"/>
      <c r="Q5" s="1399"/>
      <c r="R5" s="1400"/>
      <c r="S5" s="1401"/>
      <c r="T5" s="1400"/>
      <c r="U5" s="1401"/>
      <c r="V5" s="1385"/>
      <c r="W5" s="1385"/>
      <c r="X5" s="1398"/>
      <c r="Y5" s="1400"/>
      <c r="Z5" s="1401"/>
      <c r="AA5" s="1398"/>
      <c r="AB5" s="1398"/>
      <c r="AC5" s="1398"/>
    </row>
    <row r="6" ht="15.15" spans="1:29">
      <c r="A6" s="1195"/>
      <c r="B6" s="1196"/>
      <c r="C6" s="1546" t="s">
        <v>1486</v>
      </c>
      <c r="D6" s="1547"/>
      <c r="E6" s="1548" t="s">
        <v>1486</v>
      </c>
      <c r="F6" s="1549"/>
      <c r="G6" s="1546" t="s">
        <v>1486</v>
      </c>
      <c r="H6" s="1547"/>
      <c r="I6" s="1546" t="s">
        <v>1486</v>
      </c>
      <c r="J6" s="1547"/>
      <c r="K6" s="1343" t="s">
        <v>1487</v>
      </c>
      <c r="L6" s="1344"/>
      <c r="M6" s="1345"/>
      <c r="N6" s="1345"/>
      <c r="O6" s="1345"/>
      <c r="P6" s="1348"/>
      <c r="Q6" s="1402"/>
      <c r="R6" s="1400"/>
      <c r="S6" s="1401"/>
      <c r="T6" s="1403"/>
      <c r="U6" s="1404"/>
      <c r="V6" s="1385"/>
      <c r="W6" s="1385"/>
      <c r="X6" s="1398"/>
      <c r="Y6" s="1403"/>
      <c r="Z6" s="1404"/>
      <c r="AA6" s="1424"/>
      <c r="AB6" s="1424"/>
      <c r="AC6" s="1424"/>
    </row>
    <row r="7" s="1164" customFormat="1" ht="15.15" spans="1:29">
      <c r="A7" s="1201" t="s">
        <v>1488</v>
      </c>
      <c r="B7" s="1202"/>
      <c r="C7" s="1203">
        <f>'数据-取费表'!B2</f>
        <v>45022</v>
      </c>
      <c r="D7" s="1204">
        <v>100</v>
      </c>
      <c r="E7" s="1205"/>
      <c r="F7" s="1206">
        <f>SUMIF(46:46,YEAR(E7)&amp;"-"&amp;MONTH(E7),47:47)</f>
        <v>0</v>
      </c>
      <c r="G7" s="1207"/>
      <c r="H7" s="1204">
        <f>SUMIF(46:46,YEAR(G7)&amp;"-"&amp;MONTH(G7),47:47)</f>
        <v>0</v>
      </c>
      <c r="I7" s="1205"/>
      <c r="J7" s="1204">
        <f>SUMIF(46:46,YEAR(I7)&amp;"-"&amp;MONTH(I7),47:47)</f>
        <v>0</v>
      </c>
      <c r="K7" s="1349"/>
      <c r="L7" s="1350"/>
      <c r="M7" s="1351"/>
      <c r="N7" s="1351"/>
      <c r="O7" s="1351"/>
      <c r="P7" s="1352" t="s">
        <v>1489</v>
      </c>
      <c r="Q7" s="1405"/>
      <c r="R7" s="1406" t="s">
        <v>1490</v>
      </c>
      <c r="S7" s="1407">
        <f t="shared" ref="S7:S14" si="0">F7</f>
        <v>0</v>
      </c>
      <c r="T7" s="1406" t="s">
        <v>1490</v>
      </c>
      <c r="U7" s="1407">
        <f t="shared" ref="U7:U14" si="1">H7</f>
        <v>0</v>
      </c>
      <c r="V7" s="1406" t="s">
        <v>1490</v>
      </c>
      <c r="W7" s="1407">
        <f t="shared" ref="W7:W14" si="2">J7</f>
        <v>0</v>
      </c>
      <c r="X7" s="1408"/>
      <c r="Y7" s="1352" t="s">
        <v>1489</v>
      </c>
      <c r="Z7" s="1409"/>
      <c r="AA7" s="1425" t="e">
        <f>D7/F7</f>
        <v>#DIV/0!</v>
      </c>
      <c r="AB7" s="1425" t="e">
        <f>D7/H7</f>
        <v>#DIV/0!</v>
      </c>
      <c r="AC7" s="1425" t="e">
        <f>D7/J7</f>
        <v>#DIV/0!</v>
      </c>
    </row>
    <row r="8" s="1164" customFormat="1" ht="15.15" spans="1:29">
      <c r="A8" s="1201" t="s">
        <v>1491</v>
      </c>
      <c r="B8" s="1202"/>
      <c r="C8" s="1208"/>
      <c r="D8" s="1204">
        <v>100</v>
      </c>
      <c r="E8" s="1208"/>
      <c r="F8" s="1206">
        <f>SUMIF(49:49,E8,50:50)-SUMIF(49:49,C8,50:50)+100</f>
        <v>100</v>
      </c>
      <c r="G8" s="1208"/>
      <c r="H8" s="1204">
        <f>SUMIF(49:49,G8,50:50)-SUMIF(49:49,C8,50:50)+100</f>
        <v>100</v>
      </c>
      <c r="I8" s="1208"/>
      <c r="J8" s="1204">
        <f>SUMIF(49:49,I8,50:50)-SUMIF(49:49,C8,50:50)+100</f>
        <v>100</v>
      </c>
      <c r="K8" s="1349"/>
      <c r="L8" s="1350"/>
      <c r="M8" s="1351"/>
      <c r="N8" s="1351"/>
      <c r="O8" s="1351"/>
      <c r="P8" s="1352" t="s">
        <v>1492</v>
      </c>
      <c r="Q8" s="1409"/>
      <c r="R8" s="1406" t="s">
        <v>1490</v>
      </c>
      <c r="S8" s="1407">
        <f t="shared" si="0"/>
        <v>100</v>
      </c>
      <c r="T8" s="1406" t="s">
        <v>1490</v>
      </c>
      <c r="U8" s="1407">
        <f t="shared" si="1"/>
        <v>100</v>
      </c>
      <c r="V8" s="1406" t="s">
        <v>1490</v>
      </c>
      <c r="W8" s="1407">
        <f t="shared" si="2"/>
        <v>100</v>
      </c>
      <c r="X8" s="1408"/>
      <c r="Y8" s="1352" t="s">
        <v>1492</v>
      </c>
      <c r="Z8" s="1409"/>
      <c r="AA8" s="1425">
        <f t="shared" ref="AA8:AA34" si="3">D8/F8</f>
        <v>1</v>
      </c>
      <c r="AB8" s="1425">
        <f t="shared" ref="AB8:AB34" si="4">D8/H8</f>
        <v>1</v>
      </c>
      <c r="AC8" s="1425">
        <f t="shared" ref="AC8:AC34" si="5">D8/J8</f>
        <v>1</v>
      </c>
    </row>
    <row r="9" s="1164" customFormat="1" ht="14.4" spans="1:29">
      <c r="A9" s="1209" t="s">
        <v>1493</v>
      </c>
      <c r="B9" s="1210" t="s">
        <v>1494</v>
      </c>
      <c r="C9" s="1598"/>
      <c r="D9" s="1212">
        <v>100</v>
      </c>
      <c r="E9" s="1599"/>
      <c r="F9" s="1600">
        <f>SUMIF(51:51,E9,52:52)-SUMIF(51:51,C9,52:52)+100</f>
        <v>100</v>
      </c>
      <c r="G9" s="1599"/>
      <c r="H9" s="1212">
        <f>SUMIF(51:51,G9,52:52)-SUMIF(51:51,C9,52:52)+100</f>
        <v>100</v>
      </c>
      <c r="I9" s="1599"/>
      <c r="J9" s="1212">
        <f>SUMIF(51:51,I9,52:52)-SUMIF(51:51,C9,52:52)+100</f>
        <v>100</v>
      </c>
      <c r="K9" s="1349"/>
      <c r="L9" s="1350"/>
      <c r="M9" s="1351"/>
      <c r="N9" s="1351"/>
      <c r="O9" s="1353"/>
      <c r="P9" s="749" t="s">
        <v>1495</v>
      </c>
      <c r="Q9" s="1410" t="str">
        <f t="shared" ref="Q9:Q14" si="6">B9</f>
        <v>用途</v>
      </c>
      <c r="R9" s="1406" t="s">
        <v>1490</v>
      </c>
      <c r="S9" s="1407">
        <f t="shared" si="0"/>
        <v>100</v>
      </c>
      <c r="T9" s="1406" t="s">
        <v>1490</v>
      </c>
      <c r="U9" s="1407">
        <f t="shared" si="1"/>
        <v>100</v>
      </c>
      <c r="V9" s="1406" t="s">
        <v>1490</v>
      </c>
      <c r="W9" s="1407">
        <f t="shared" si="2"/>
        <v>100</v>
      </c>
      <c r="X9" s="1408"/>
      <c r="Y9" s="1410" t="s">
        <v>1496</v>
      </c>
      <c r="Z9" s="1426" t="str">
        <f t="shared" ref="Z9:Z14" si="7">Q9</f>
        <v>用途</v>
      </c>
      <c r="AA9" s="1425">
        <f t="shared" si="3"/>
        <v>1</v>
      </c>
      <c r="AB9" s="1425">
        <f t="shared" si="4"/>
        <v>1</v>
      </c>
      <c r="AC9" s="1425">
        <f t="shared" si="5"/>
        <v>1</v>
      </c>
    </row>
    <row r="10" s="1165" customFormat="1" ht="28.8" spans="1:29">
      <c r="A10" s="1213"/>
      <c r="B10" s="1214" t="s">
        <v>1497</v>
      </c>
      <c r="C10" s="1601"/>
      <c r="D10" s="1216">
        <v>100</v>
      </c>
      <c r="E10" s="1601"/>
      <c r="F10" s="1602">
        <f>SUMIF(53:53,E10,54:54)-SUMIF(53:53,C10,54:54)+100</f>
        <v>100</v>
      </c>
      <c r="G10" s="1601"/>
      <c r="H10" s="1216">
        <f>SUMIF(53:53,G10,54:54)-SUMIF(53:53,C10,54:54)+100</f>
        <v>100</v>
      </c>
      <c r="I10" s="1601"/>
      <c r="J10" s="1216">
        <f>SUMIF(53:53,I10,54:54)-SUMIF(53:53,C10,54:54)+100</f>
        <v>100</v>
      </c>
      <c r="K10" s="1349"/>
      <c r="L10" s="1355"/>
      <c r="M10" s="1356"/>
      <c r="N10" s="1356"/>
      <c r="O10" s="1357"/>
      <c r="P10" s="749"/>
      <c r="Q10" s="1410" t="str">
        <f t="shared" si="6"/>
        <v>土地使用年限（年）</v>
      </c>
      <c r="R10" s="1406" t="s">
        <v>1490</v>
      </c>
      <c r="S10" s="1407">
        <f t="shared" si="0"/>
        <v>100</v>
      </c>
      <c r="T10" s="1406" t="s">
        <v>1490</v>
      </c>
      <c r="U10" s="1407">
        <f t="shared" si="1"/>
        <v>100</v>
      </c>
      <c r="V10" s="1406" t="s">
        <v>1490</v>
      </c>
      <c r="W10" s="1407">
        <f t="shared" si="2"/>
        <v>100</v>
      </c>
      <c r="X10" s="1408"/>
      <c r="Y10" s="1410"/>
      <c r="Z10" s="1426" t="str">
        <f t="shared" si="7"/>
        <v>土地使用年限（年）</v>
      </c>
      <c r="AA10" s="1425">
        <f t="shared" si="3"/>
        <v>1</v>
      </c>
      <c r="AB10" s="1425">
        <f t="shared" si="4"/>
        <v>1</v>
      </c>
      <c r="AC10" s="1425">
        <f t="shared" si="5"/>
        <v>1</v>
      </c>
    </row>
    <row r="11" ht="15" spans="1:29">
      <c r="A11" s="1217"/>
      <c r="B11" s="1221">
        <v>111</v>
      </c>
      <c r="C11" s="1215"/>
      <c r="D11" s="1216">
        <v>100</v>
      </c>
      <c r="E11" s="1603"/>
      <c r="F11" s="1602">
        <f>SUMIF(55:55,E11,56:56)-SUMIF(55:55,C11,56:56)+100</f>
        <v>100</v>
      </c>
      <c r="G11" s="1603"/>
      <c r="H11" s="1216">
        <f>SUMIF(55:55,G11,56:56)-SUMIF(55:55,C11,56:56)+100</f>
        <v>100</v>
      </c>
      <c r="I11" s="1603"/>
      <c r="J11" s="1216">
        <f>SUMIF(55:55,I11,56:56)-SUMIF(55:55,C11,56:56)+100</f>
        <v>100</v>
      </c>
      <c r="K11" s="1368"/>
      <c r="L11" s="1359"/>
      <c r="M11" s="1345"/>
      <c r="N11" s="1345"/>
      <c r="O11" s="1360"/>
      <c r="P11" s="749"/>
      <c r="Q11" s="1410">
        <f t="shared" si="6"/>
        <v>111</v>
      </c>
      <c r="R11" s="1406" t="s">
        <v>1490</v>
      </c>
      <c r="S11" s="1407">
        <f t="shared" si="0"/>
        <v>100</v>
      </c>
      <c r="T11" s="1406" t="s">
        <v>1490</v>
      </c>
      <c r="U11" s="1407">
        <f t="shared" si="1"/>
        <v>100</v>
      </c>
      <c r="V11" s="1406" t="s">
        <v>1490</v>
      </c>
      <c r="W11" s="1407">
        <f t="shared" si="2"/>
        <v>100</v>
      </c>
      <c r="X11" s="1408"/>
      <c r="Y11" s="1410"/>
      <c r="Z11" s="1426">
        <f t="shared" si="7"/>
        <v>111</v>
      </c>
      <c r="AA11" s="1425">
        <f t="shared" si="3"/>
        <v>1</v>
      </c>
      <c r="AB11" s="1425">
        <f t="shared" si="4"/>
        <v>1</v>
      </c>
      <c r="AC11" s="1425">
        <f t="shared" si="5"/>
        <v>1</v>
      </c>
    </row>
    <row r="12" s="1164" customFormat="1" ht="15" spans="1:29">
      <c r="A12" s="1220"/>
      <c r="B12" s="1221">
        <v>111</v>
      </c>
      <c r="C12" s="1215"/>
      <c r="D12" s="1222">
        <v>100</v>
      </c>
      <c r="E12" s="1603"/>
      <c r="F12" s="1602">
        <f>SUMIF(57:57,E12,58:58)-SUMIF(57:57,C12,58:58)+100</f>
        <v>100</v>
      </c>
      <c r="G12" s="1603"/>
      <c r="H12" s="1216">
        <f>SUMIF(57:57,G12,58:58)-SUMIF(57:57,C12,58:58)+100</f>
        <v>100</v>
      </c>
      <c r="I12" s="1603"/>
      <c r="J12" s="1216">
        <f>SUMIF(57:57,I12,58:58)-SUMIF(57:57,C12,58:58)+100</f>
        <v>100</v>
      </c>
      <c r="K12" s="1368"/>
      <c r="L12" s="1350"/>
      <c r="M12" s="1351"/>
      <c r="N12" s="1351"/>
      <c r="O12" s="1353"/>
      <c r="P12" s="749"/>
      <c r="Q12" s="1410">
        <f t="shared" si="6"/>
        <v>111</v>
      </c>
      <c r="R12" s="1406" t="s">
        <v>1490</v>
      </c>
      <c r="S12" s="1407">
        <f t="shared" si="0"/>
        <v>100</v>
      </c>
      <c r="T12" s="1406" t="s">
        <v>1490</v>
      </c>
      <c r="U12" s="1407">
        <f t="shared" si="1"/>
        <v>100</v>
      </c>
      <c r="V12" s="1406" t="s">
        <v>1490</v>
      </c>
      <c r="W12" s="1407">
        <f t="shared" si="2"/>
        <v>100</v>
      </c>
      <c r="X12" s="1408"/>
      <c r="Y12" s="1410"/>
      <c r="Z12" s="1426">
        <f t="shared" si="7"/>
        <v>111</v>
      </c>
      <c r="AA12" s="1425">
        <f t="shared" si="3"/>
        <v>1</v>
      </c>
      <c r="AB12" s="1425">
        <f t="shared" si="4"/>
        <v>1</v>
      </c>
      <c r="AC12" s="1425">
        <f t="shared" si="5"/>
        <v>1</v>
      </c>
    </row>
    <row r="13" ht="15.75" spans="1:29">
      <c r="A13" s="1217"/>
      <c r="B13" s="1221">
        <v>111</v>
      </c>
      <c r="C13" s="1225"/>
      <c r="D13" s="1226">
        <v>100</v>
      </c>
      <c r="E13" s="1603"/>
      <c r="F13" s="1602">
        <f>SUMIF(59:59,E13,60:60)-SUMIF(59:59,C13,60:60)+100</f>
        <v>100</v>
      </c>
      <c r="G13" s="1604"/>
      <c r="H13" s="1230">
        <f>SUMIF(59:59,G13,60:60)-SUMIF(59:59,C13,60:60)+100</f>
        <v>100</v>
      </c>
      <c r="I13" s="1603"/>
      <c r="J13" s="1226">
        <f>SUMIF(59:59,I13,60:60)-SUMIF(59:59,C13,60:60)+100</f>
        <v>100</v>
      </c>
      <c r="K13" s="1368"/>
      <c r="L13" s="1361"/>
      <c r="M13" s="1345"/>
      <c r="N13" s="1345"/>
      <c r="O13" s="1360"/>
      <c r="P13" s="749"/>
      <c r="Q13" s="1410">
        <f t="shared" si="6"/>
        <v>111</v>
      </c>
      <c r="R13" s="1406" t="s">
        <v>1490</v>
      </c>
      <c r="S13" s="1407">
        <f t="shared" si="0"/>
        <v>100</v>
      </c>
      <c r="T13" s="1406" t="s">
        <v>1490</v>
      </c>
      <c r="U13" s="1407">
        <f t="shared" si="1"/>
        <v>100</v>
      </c>
      <c r="V13" s="1406" t="s">
        <v>1490</v>
      </c>
      <c r="W13" s="1407">
        <f t="shared" si="2"/>
        <v>100</v>
      </c>
      <c r="X13" s="1408"/>
      <c r="Y13" s="1410"/>
      <c r="Z13" s="1426">
        <f t="shared" si="7"/>
        <v>111</v>
      </c>
      <c r="AA13" s="1425">
        <f t="shared" si="3"/>
        <v>1</v>
      </c>
      <c r="AB13" s="1425">
        <f t="shared" si="4"/>
        <v>1</v>
      </c>
      <c r="AC13" s="1425">
        <f t="shared" si="5"/>
        <v>1</v>
      </c>
    </row>
    <row r="14" ht="100.8" spans="1:29">
      <c r="A14" s="1231" t="s">
        <v>1499</v>
      </c>
      <c r="B14" s="1552" t="s">
        <v>1502</v>
      </c>
      <c r="C14" s="1233" t="str">
        <f>IF(B1="工业",估价对象房地状况!G4,估价对象房地状况!C6)</f>
        <v>估价对象周边道路状况、公共交通通达情况、停车便捷程度，综合评价交通便捷度较好</v>
      </c>
      <c r="D14" s="1234">
        <v>100</v>
      </c>
      <c r="E14" s="1235"/>
      <c r="F14" s="1605">
        <f>SUMIF(61:61,E15,62:62)-SUMIF(61:61,C15,62:62)+100</f>
        <v>100</v>
      </c>
      <c r="G14" s="1362"/>
      <c r="H14" s="1234">
        <f>SUMIF(61:61,G15,62:62)-SUMIF(61:61,C15,62:62)+100</f>
        <v>100</v>
      </c>
      <c r="I14" s="1235"/>
      <c r="J14" s="1234">
        <f>SUMIF(61:61,I15,62:62)-SUMIF(61:61,C15,62:62)+100</f>
        <v>100</v>
      </c>
      <c r="K14" s="1644"/>
      <c r="L14" s="1361"/>
      <c r="M14" s="1345"/>
      <c r="N14" s="1345"/>
      <c r="O14" s="1360"/>
      <c r="P14" s="1363" t="s">
        <v>1501</v>
      </c>
      <c r="Q14" s="749" t="str">
        <f t="shared" si="6"/>
        <v>交通便捷度</v>
      </c>
      <c r="R14" s="1411" t="s">
        <v>1490</v>
      </c>
      <c r="S14" s="1412">
        <f t="shared" si="0"/>
        <v>100</v>
      </c>
      <c r="T14" s="1411" t="s">
        <v>1490</v>
      </c>
      <c r="U14" s="1412">
        <f t="shared" si="1"/>
        <v>100</v>
      </c>
      <c r="V14" s="1411" t="s">
        <v>1490</v>
      </c>
      <c r="W14" s="1412">
        <f t="shared" si="2"/>
        <v>100</v>
      </c>
      <c r="X14" s="1398"/>
      <c r="Y14" s="1363" t="s">
        <v>1501</v>
      </c>
      <c r="Z14" s="1385" t="str">
        <f t="shared" si="7"/>
        <v>交通便捷度</v>
      </c>
      <c r="AA14" s="1427">
        <f t="shared" si="3"/>
        <v>1</v>
      </c>
      <c r="AB14" s="1427">
        <f t="shared" si="4"/>
        <v>1</v>
      </c>
      <c r="AC14" s="1427">
        <f t="shared" si="5"/>
        <v>1</v>
      </c>
    </row>
    <row r="15" ht="15" spans="1:29">
      <c r="A15" s="1217"/>
      <c r="B15" s="1554"/>
      <c r="C15" s="1237"/>
      <c r="D15" s="1238"/>
      <c r="E15" s="1237"/>
      <c r="F15" s="1606"/>
      <c r="G15" s="1237"/>
      <c r="H15" s="1240"/>
      <c r="I15" s="1237"/>
      <c r="J15" s="1238"/>
      <c r="K15" s="1645"/>
      <c r="L15" s="1361"/>
      <c r="M15" s="1345"/>
      <c r="N15" s="1345"/>
      <c r="O15" s="1360"/>
      <c r="P15" s="1364"/>
      <c r="Q15" s="749"/>
      <c r="R15" s="1411"/>
      <c r="S15" s="1412"/>
      <c r="T15" s="1411"/>
      <c r="U15" s="1412"/>
      <c r="V15" s="1411"/>
      <c r="W15" s="1412"/>
      <c r="X15" s="1398"/>
      <c r="Y15" s="1364"/>
      <c r="Z15" s="1385"/>
      <c r="AA15" s="1427">
        <v>1</v>
      </c>
      <c r="AB15" s="1427">
        <v>1</v>
      </c>
      <c r="AC15" s="1427">
        <v>1</v>
      </c>
    </row>
    <row r="16" ht="43.2" spans="1:29">
      <c r="A16" s="1217"/>
      <c r="B16" s="1555" t="s">
        <v>1503</v>
      </c>
      <c r="C16" s="1242" t="str">
        <f>IF(B1="工业",估价对象房地状况!G5,估价对象房地状况!C7)</f>
        <v>估价对象所在区域公共配套设施齐备情况</v>
      </c>
      <c r="D16" s="1244">
        <v>100</v>
      </c>
      <c r="E16" s="1558"/>
      <c r="F16" s="1607">
        <f>SUMIF(63:63,E17,64:64)-SUMIF(63:63,C17,64:64)+100</f>
        <v>100</v>
      </c>
      <c r="G16" s="1566"/>
      <c r="H16" s="1244">
        <f>SUMIF(63:63,G17,64:64)-SUMIF(63:63,C17,64:64)+100</f>
        <v>100</v>
      </c>
      <c r="I16" s="1558"/>
      <c r="J16" s="1244">
        <f>SUMIF(63:63,I17,64:64)-SUMIF(63:63,C17,64:64)+100</f>
        <v>100</v>
      </c>
      <c r="K16" s="1644"/>
      <c r="L16" s="1361"/>
      <c r="M16" s="1345"/>
      <c r="N16" s="1345"/>
      <c r="O16" s="1360"/>
      <c r="P16" s="1364"/>
      <c r="Q16" s="749" t="str">
        <f>B16</f>
        <v>公共配套设施</v>
      </c>
      <c r="R16" s="1411" t="s">
        <v>1490</v>
      </c>
      <c r="S16" s="1412">
        <f>F16</f>
        <v>100</v>
      </c>
      <c r="T16" s="1411" t="s">
        <v>1490</v>
      </c>
      <c r="U16" s="1412">
        <f>H16</f>
        <v>100</v>
      </c>
      <c r="V16" s="1411" t="s">
        <v>1490</v>
      </c>
      <c r="W16" s="1412">
        <f>J16</f>
        <v>100</v>
      </c>
      <c r="X16" s="1398"/>
      <c r="Y16" s="1364"/>
      <c r="Z16" s="1385" t="str">
        <f>Q16</f>
        <v>公共配套设施</v>
      </c>
      <c r="AA16" s="1427">
        <f t="shared" si="3"/>
        <v>1</v>
      </c>
      <c r="AB16" s="1427">
        <f t="shared" si="4"/>
        <v>1</v>
      </c>
      <c r="AC16" s="1427">
        <f t="shared" si="5"/>
        <v>1</v>
      </c>
    </row>
    <row r="17" ht="15" spans="1:29">
      <c r="A17" s="1217"/>
      <c r="B17" s="1265"/>
      <c r="C17" s="1556"/>
      <c r="D17" s="1238"/>
      <c r="E17" s="1237"/>
      <c r="F17" s="1606"/>
      <c r="G17" s="1237"/>
      <c r="H17" s="1238"/>
      <c r="I17" s="1237"/>
      <c r="J17" s="1238"/>
      <c r="K17" s="1645"/>
      <c r="L17" s="1361"/>
      <c r="M17" s="1345"/>
      <c r="N17" s="1345"/>
      <c r="O17" s="1360"/>
      <c r="P17" s="1364"/>
      <c r="Q17" s="749"/>
      <c r="R17" s="1411"/>
      <c r="S17" s="1412"/>
      <c r="T17" s="1411"/>
      <c r="U17" s="1412"/>
      <c r="V17" s="1411"/>
      <c r="W17" s="1412"/>
      <c r="X17" s="1398"/>
      <c r="Y17" s="1364"/>
      <c r="Z17" s="1385"/>
      <c r="AA17" s="1427">
        <v>1</v>
      </c>
      <c r="AB17" s="1427">
        <v>1</v>
      </c>
      <c r="AC17" s="1427">
        <v>1</v>
      </c>
    </row>
    <row r="18" ht="43.2" spans="1:29">
      <c r="A18" s="1217"/>
      <c r="B18" s="1559" t="s">
        <v>1504</v>
      </c>
      <c r="C18" s="1242" t="str">
        <f>IF(B1="工业",估价对象房地状况!G6,估价对象房地状况!C8)</f>
        <v>估价对象所在区域基础设施水平</v>
      </c>
      <c r="D18" s="1244">
        <v>100</v>
      </c>
      <c r="E18" s="1243"/>
      <c r="F18" s="1607">
        <f>SUMIF(65:65,E19,66:66)-SUMIF(65:65,C19,66:66)+100</f>
        <v>100</v>
      </c>
      <c r="G18" s="1365"/>
      <c r="H18" s="1244">
        <f>SUMIF(65:65,G19,66:66)-SUMIF(65:65,C19,66:66)+100</f>
        <v>100</v>
      </c>
      <c r="I18" s="1558"/>
      <c r="J18" s="1244">
        <f>SUMIF(65:65,I19,66:66)-SUMIF(65:65,C19,66:66)+100</f>
        <v>100</v>
      </c>
      <c r="K18" s="1644"/>
      <c r="L18" s="1361"/>
      <c r="M18" s="1345"/>
      <c r="N18" s="1345"/>
      <c r="O18" s="1360"/>
      <c r="P18" s="1364"/>
      <c r="Q18" s="749" t="str">
        <f>B18</f>
        <v>基础设施水平</v>
      </c>
      <c r="R18" s="1411" t="s">
        <v>1490</v>
      </c>
      <c r="S18" s="1412">
        <f>F18</f>
        <v>100</v>
      </c>
      <c r="T18" s="1411" t="s">
        <v>1490</v>
      </c>
      <c r="U18" s="1412">
        <f>H18</f>
        <v>100</v>
      </c>
      <c r="V18" s="1411" t="s">
        <v>1490</v>
      </c>
      <c r="W18" s="1412">
        <f>J18</f>
        <v>100</v>
      </c>
      <c r="X18" s="1398"/>
      <c r="Y18" s="1364"/>
      <c r="Z18" s="1385" t="str">
        <f>Q18</f>
        <v>基础设施水平</v>
      </c>
      <c r="AA18" s="1427">
        <f t="shared" ref="AA18" si="8">D18/F18</f>
        <v>1</v>
      </c>
      <c r="AB18" s="1427">
        <f t="shared" ref="AB18" si="9">D18/H18</f>
        <v>1</v>
      </c>
      <c r="AC18" s="1427">
        <f t="shared" ref="AC18" si="10">D18/J18</f>
        <v>1</v>
      </c>
    </row>
    <row r="19" ht="15" spans="1:29">
      <c r="A19" s="1217"/>
      <c r="B19" s="1559"/>
      <c r="C19" s="1556"/>
      <c r="D19" s="1240"/>
      <c r="E19" s="1556"/>
      <c r="F19" s="1608"/>
      <c r="G19" s="1556"/>
      <c r="H19" s="1238"/>
      <c r="I19" s="1237"/>
      <c r="J19" s="1238"/>
      <c r="K19" s="1646"/>
      <c r="L19" s="1361"/>
      <c r="M19" s="1345"/>
      <c r="N19" s="1345"/>
      <c r="O19" s="1360"/>
      <c r="P19" s="1364"/>
      <c r="Q19" s="749"/>
      <c r="R19" s="1411"/>
      <c r="S19" s="1412"/>
      <c r="T19" s="1411"/>
      <c r="U19" s="1412"/>
      <c r="V19" s="1411"/>
      <c r="W19" s="1412"/>
      <c r="X19" s="1398"/>
      <c r="Y19" s="1364"/>
      <c r="Z19" s="1385"/>
      <c r="AA19" s="1427">
        <v>1</v>
      </c>
      <c r="AB19" s="1427">
        <v>1</v>
      </c>
      <c r="AC19" s="1427">
        <v>1</v>
      </c>
    </row>
    <row r="20" ht="57.6" spans="1:29">
      <c r="A20" s="1217"/>
      <c r="B20" s="1555" t="s">
        <v>1505</v>
      </c>
      <c r="C20" s="1242" t="str">
        <f>IF(B1="工业",估价对象房地状况!G7,估价对象房地状况!C9)</f>
        <v>区域自然环境：；人文环境；综合评价环境状况一般</v>
      </c>
      <c r="D20" s="1244">
        <v>100</v>
      </c>
      <c r="E20" s="1558"/>
      <c r="F20" s="1607">
        <f>SUMIF(67:67,E21,68:68)-SUMIF(67:67,C21,68:68)+100</f>
        <v>100</v>
      </c>
      <c r="G20" s="1566"/>
      <c r="H20" s="1240">
        <f>SUMIF(67:67,G21,68:68)-SUMIF(67:67,C21,68:68)+100</f>
        <v>100</v>
      </c>
      <c r="I20" s="1243"/>
      <c r="J20" s="1240">
        <f>SUMIF(67:67,I21,68:68)-SUMIF(67:67,C21,68:68)+100</f>
        <v>100</v>
      </c>
      <c r="K20" s="1644"/>
      <c r="L20" s="1361"/>
      <c r="M20" s="1345"/>
      <c r="N20" s="1345"/>
      <c r="O20" s="1360"/>
      <c r="P20" s="1364"/>
      <c r="Q20" s="749" t="str">
        <f>B20</f>
        <v>自然及人文环境</v>
      </c>
      <c r="R20" s="1411" t="s">
        <v>1490</v>
      </c>
      <c r="S20" s="1412">
        <f>F20</f>
        <v>100</v>
      </c>
      <c r="T20" s="1411" t="s">
        <v>1490</v>
      </c>
      <c r="U20" s="1412">
        <f>H20</f>
        <v>100</v>
      </c>
      <c r="V20" s="1411" t="s">
        <v>1490</v>
      </c>
      <c r="W20" s="1412">
        <f>J20</f>
        <v>100</v>
      </c>
      <c r="X20" s="1398"/>
      <c r="Y20" s="1364"/>
      <c r="Z20" s="1385" t="str">
        <f>Q20</f>
        <v>自然及人文环境</v>
      </c>
      <c r="AA20" s="1427">
        <f t="shared" si="3"/>
        <v>1</v>
      </c>
      <c r="AB20" s="1427">
        <f t="shared" si="4"/>
        <v>1</v>
      </c>
      <c r="AC20" s="1427">
        <f t="shared" si="5"/>
        <v>1</v>
      </c>
    </row>
    <row r="21" ht="15" spans="1:29">
      <c r="A21" s="1217"/>
      <c r="B21" s="1265"/>
      <c r="C21" s="1237"/>
      <c r="D21" s="1238"/>
      <c r="E21" s="1237"/>
      <c r="F21" s="1606"/>
      <c r="G21" s="1237"/>
      <c r="H21" s="1238"/>
      <c r="I21" s="1237"/>
      <c r="J21" s="1238"/>
      <c r="K21" s="1645"/>
      <c r="L21" s="1361"/>
      <c r="M21" s="1345"/>
      <c r="N21" s="1345"/>
      <c r="O21" s="1360"/>
      <c r="P21" s="1364"/>
      <c r="Q21" s="749"/>
      <c r="R21" s="1411"/>
      <c r="S21" s="1412"/>
      <c r="T21" s="1411"/>
      <c r="U21" s="1412"/>
      <c r="V21" s="1411"/>
      <c r="W21" s="1412"/>
      <c r="X21" s="1398"/>
      <c r="Y21" s="1364"/>
      <c r="Z21" s="1385"/>
      <c r="AA21" s="1427">
        <v>1</v>
      </c>
      <c r="AB21" s="1427">
        <v>1</v>
      </c>
      <c r="AC21" s="1427">
        <v>1</v>
      </c>
    </row>
    <row r="22" ht="15" spans="1:29">
      <c r="A22" s="1217"/>
      <c r="B22" s="1555" t="s">
        <v>1567</v>
      </c>
      <c r="C22" s="1251"/>
      <c r="D22" s="1240">
        <v>100</v>
      </c>
      <c r="E22" s="1251"/>
      <c r="F22" s="1609">
        <f>SUMIF(69:69,E22,70:70)-SUMIF(69:69,C22,70:70)+100</f>
        <v>100</v>
      </c>
      <c r="G22" s="1251"/>
      <c r="H22" s="1226">
        <f>SUMIF(69:69,G22,70:70)-SUMIF(69:69,C22,70:70)+100</f>
        <v>100</v>
      </c>
      <c r="I22" s="1251"/>
      <c r="J22" s="1226">
        <f>SUMIF(69:69,I22,70:70)-SUMIF(69:69,C22,70:70)+100</f>
        <v>100</v>
      </c>
      <c r="K22" s="1369"/>
      <c r="L22" s="1361"/>
      <c r="M22" s="1345"/>
      <c r="N22" s="1345"/>
      <c r="O22" s="1360"/>
      <c r="P22" s="1364"/>
      <c r="Q22" s="749" t="str">
        <f>B22</f>
        <v>楼层</v>
      </c>
      <c r="R22" s="1411" t="s">
        <v>1490</v>
      </c>
      <c r="S22" s="1412">
        <f>F22</f>
        <v>100</v>
      </c>
      <c r="T22" s="1411" t="s">
        <v>1490</v>
      </c>
      <c r="U22" s="1412">
        <f>H22</f>
        <v>100</v>
      </c>
      <c r="V22" s="1411" t="s">
        <v>1490</v>
      </c>
      <c r="W22" s="1412">
        <f>J22</f>
        <v>100</v>
      </c>
      <c r="X22" s="1398"/>
      <c r="Y22" s="1364"/>
      <c r="Z22" s="1385" t="str">
        <f>Q22</f>
        <v>楼层</v>
      </c>
      <c r="AA22" s="1427">
        <f t="shared" si="3"/>
        <v>1</v>
      </c>
      <c r="AB22" s="1427">
        <f t="shared" si="4"/>
        <v>1</v>
      </c>
      <c r="AC22" s="1427">
        <f t="shared" si="5"/>
        <v>1</v>
      </c>
    </row>
    <row r="23" ht="15" spans="1:29">
      <c r="A23" s="1189"/>
      <c r="B23" s="1221">
        <v>111</v>
      </c>
      <c r="C23" s="1215"/>
      <c r="D23" s="1226">
        <v>100</v>
      </c>
      <c r="E23" s="1225"/>
      <c r="F23" s="1609">
        <f>SUMIF(71:71,E23,72:72)-SUMIF(71:71,C23,72:72)+100</f>
        <v>100</v>
      </c>
      <c r="G23" s="1225"/>
      <c r="H23" s="1226">
        <f>SUMIF(71:71,G23,72:72)-SUMIF(71:71,C23,72:72)+100</f>
        <v>100</v>
      </c>
      <c r="I23" s="1225"/>
      <c r="J23" s="1226">
        <f>SUMIF(71:71,I23,72:72)-SUMIF(71:71,C23,72:72)+100</f>
        <v>100</v>
      </c>
      <c r="K23" s="1368"/>
      <c r="L23" s="1361"/>
      <c r="M23" s="1345"/>
      <c r="N23" s="1345"/>
      <c r="O23" s="1360"/>
      <c r="P23" s="1364"/>
      <c r="Q23" s="749">
        <f>B23</f>
        <v>111</v>
      </c>
      <c r="R23" s="1411" t="s">
        <v>1490</v>
      </c>
      <c r="S23" s="1412">
        <f>F23</f>
        <v>100</v>
      </c>
      <c r="T23" s="1411" t="s">
        <v>1490</v>
      </c>
      <c r="U23" s="1412">
        <f>H23</f>
        <v>100</v>
      </c>
      <c r="V23" s="1411" t="s">
        <v>1490</v>
      </c>
      <c r="W23" s="1412">
        <f>J23</f>
        <v>100</v>
      </c>
      <c r="X23" s="1398"/>
      <c r="Y23" s="1364"/>
      <c r="Z23" s="1385">
        <f>Q23</f>
        <v>111</v>
      </c>
      <c r="AA23" s="1427">
        <f t="shared" si="3"/>
        <v>1</v>
      </c>
      <c r="AB23" s="1427">
        <f t="shared" si="4"/>
        <v>1</v>
      </c>
      <c r="AC23" s="1427">
        <f t="shared" si="5"/>
        <v>1</v>
      </c>
    </row>
    <row r="24" ht="15" spans="1:29">
      <c r="A24" s="1217"/>
      <c r="B24" s="1221">
        <v>111</v>
      </c>
      <c r="C24" s="1215"/>
      <c r="D24" s="1226">
        <v>100</v>
      </c>
      <c r="E24" s="1225"/>
      <c r="F24" s="1609">
        <f>SUMIF(73:73,E24,74:74)-SUMIF(73:73,C24,74:74)+100</f>
        <v>100</v>
      </c>
      <c r="G24" s="1225"/>
      <c r="H24" s="1226">
        <f>SUMIF(73:73,G24,74:74)-SUMIF(73:73,C24,74:74)+100</f>
        <v>100</v>
      </c>
      <c r="I24" s="1225"/>
      <c r="J24" s="1226">
        <f>SUMIF(73:73,I24,74:74)-SUMIF(73:73,C24,74:74)+100</f>
        <v>100</v>
      </c>
      <c r="K24" s="1368"/>
      <c r="L24" s="1361"/>
      <c r="M24" s="1345"/>
      <c r="N24" s="1345"/>
      <c r="O24" s="1360"/>
      <c r="P24" s="1364"/>
      <c r="Q24" s="749">
        <f t="shared" ref="Q24:Q34" si="11">B24</f>
        <v>111</v>
      </c>
      <c r="R24" s="1411" t="s">
        <v>1490</v>
      </c>
      <c r="S24" s="1412">
        <f>F24</f>
        <v>100</v>
      </c>
      <c r="T24" s="1411" t="s">
        <v>1490</v>
      </c>
      <c r="U24" s="1412">
        <f>H24</f>
        <v>100</v>
      </c>
      <c r="V24" s="1411" t="s">
        <v>1490</v>
      </c>
      <c r="W24" s="1412">
        <f>J24</f>
        <v>100</v>
      </c>
      <c r="X24" s="1398"/>
      <c r="Y24" s="1364"/>
      <c r="Z24" s="1385">
        <f>Q24</f>
        <v>111</v>
      </c>
      <c r="AA24" s="1427">
        <f t="shared" si="3"/>
        <v>1</v>
      </c>
      <c r="AB24" s="1427">
        <f t="shared" si="4"/>
        <v>1</v>
      </c>
      <c r="AC24" s="1427">
        <f t="shared" si="5"/>
        <v>1</v>
      </c>
    </row>
    <row r="25" s="1164" customFormat="1" ht="15.75" spans="1:29">
      <c r="A25" s="1220"/>
      <c r="B25" s="1221">
        <v>111</v>
      </c>
      <c r="C25" s="1610"/>
      <c r="D25" s="1611">
        <v>100</v>
      </c>
      <c r="E25" s="1610"/>
      <c r="F25" s="1612">
        <f>SUMIF(75:75,E25,76:76)-SUMIF(75:75,C25,76:76)+100</f>
        <v>100</v>
      </c>
      <c r="G25" s="1610"/>
      <c r="H25" s="1611">
        <f>SUMIF(75:75,G25,76:76)-SUMIF(75:75,C25,76:76)+100</f>
        <v>100</v>
      </c>
      <c r="I25" s="1610"/>
      <c r="J25" s="1611">
        <f>SUMIF(75:75,I25,76:76)-SUMIF(75:75,C25,76:76)+100</f>
        <v>100</v>
      </c>
      <c r="K25" s="1368"/>
      <c r="L25" s="1350"/>
      <c r="M25" s="1351"/>
      <c r="N25" s="1351"/>
      <c r="O25" s="1353"/>
      <c r="P25" s="1364"/>
      <c r="Q25" s="1410">
        <f t="shared" si="11"/>
        <v>111</v>
      </c>
      <c r="R25" s="1406" t="s">
        <v>1490</v>
      </c>
      <c r="S25" s="1407">
        <f>F25</f>
        <v>100</v>
      </c>
      <c r="T25" s="1406" t="s">
        <v>1490</v>
      </c>
      <c r="U25" s="1407">
        <f>H25</f>
        <v>100</v>
      </c>
      <c r="V25" s="1406" t="s">
        <v>1490</v>
      </c>
      <c r="W25" s="1407">
        <f>J25</f>
        <v>100</v>
      </c>
      <c r="X25" s="1408"/>
      <c r="Y25" s="1364"/>
      <c r="Z25" s="1426">
        <f>Q25</f>
        <v>111</v>
      </c>
      <c r="AA25" s="1427">
        <f t="shared" si="3"/>
        <v>1</v>
      </c>
      <c r="AB25" s="1427">
        <f t="shared" si="4"/>
        <v>1</v>
      </c>
      <c r="AC25" s="1427">
        <f t="shared" si="5"/>
        <v>1</v>
      </c>
    </row>
    <row r="26" ht="30.6" spans="1:29">
      <c r="A26" s="1613" t="s">
        <v>1508</v>
      </c>
      <c r="B26" s="1210" t="s">
        <v>1514</v>
      </c>
      <c r="C26" s="1614"/>
      <c r="D26" s="1267">
        <v>100</v>
      </c>
      <c r="E26" s="1614"/>
      <c r="F26" s="1615">
        <f>SUMIF(77:77,E26,78:78)-SUMIF(77:77,C26,78:78)+100</f>
        <v>100</v>
      </c>
      <c r="G26" s="1614"/>
      <c r="H26" s="1267">
        <f>SUMIF(77:77,G26,78:78)-SUMIF(77:77,C26,78:78)+100</f>
        <v>100</v>
      </c>
      <c r="I26" s="1614"/>
      <c r="J26" s="1267">
        <f>SUMIF(77:77,I26,78:78)-SUMIF(77:77,C26,78:78)+100</f>
        <v>100</v>
      </c>
      <c r="K26" s="1369"/>
      <c r="L26" s="1361"/>
      <c r="M26" s="1345"/>
      <c r="N26" s="1345"/>
      <c r="O26" s="1360"/>
      <c r="P26" s="1370" t="s">
        <v>1510</v>
      </c>
      <c r="Q26" s="749" t="str">
        <f t="shared" si="11"/>
        <v>公共部分装修</v>
      </c>
      <c r="R26" s="1411" t="s">
        <v>1490</v>
      </c>
      <c r="S26" s="1412">
        <f t="shared" ref="S26:S34" si="12">F26</f>
        <v>100</v>
      </c>
      <c r="T26" s="1411" t="s">
        <v>1490</v>
      </c>
      <c r="U26" s="1412">
        <f t="shared" ref="U26:U34" si="13">H26</f>
        <v>100</v>
      </c>
      <c r="V26" s="1411" t="s">
        <v>1490</v>
      </c>
      <c r="W26" s="1412">
        <f t="shared" ref="W26:W34" si="14">J26</f>
        <v>100</v>
      </c>
      <c r="X26" s="1398"/>
      <c r="Y26" s="1373" t="s">
        <v>1510</v>
      </c>
      <c r="Z26" s="1385" t="str">
        <f t="shared" ref="Z26:Z34" si="15">Q26</f>
        <v>公共部分装修</v>
      </c>
      <c r="AA26" s="1427">
        <f t="shared" si="3"/>
        <v>1</v>
      </c>
      <c r="AB26" s="1427">
        <f t="shared" si="4"/>
        <v>1</v>
      </c>
      <c r="AC26" s="1427">
        <f t="shared" si="5"/>
        <v>1</v>
      </c>
    </row>
    <row r="27" s="1166" customFormat="1" ht="15" spans="1:29">
      <c r="A27" s="1273"/>
      <c r="B27" s="1214" t="s">
        <v>1619</v>
      </c>
      <c r="C27" s="1616"/>
      <c r="D27" s="1216">
        <v>100</v>
      </c>
      <c r="E27" s="1617"/>
      <c r="F27" s="1609" t="e">
        <f>LOOKUP(E27,80:80,81:81)-LOOKUP(C27,80:80,81:81)+100</f>
        <v>#N/A</v>
      </c>
      <c r="G27" s="1618"/>
      <c r="H27" s="1226" t="e">
        <f>LOOKUP(G27,80:80,81:81)-LOOKUP(C27,80:80,81:81)+100</f>
        <v>#N/A</v>
      </c>
      <c r="I27" s="1618"/>
      <c r="J27" s="1226" t="e">
        <f>LOOKUP(I27,80:80,81:81)-LOOKUP(C27,80:80,81:81)+100</f>
        <v>#N/A</v>
      </c>
      <c r="K27" s="1369"/>
      <c r="L27" s="1359"/>
      <c r="M27" s="1371"/>
      <c r="N27" s="1371"/>
      <c r="O27" s="1372"/>
      <c r="P27" s="1373"/>
      <c r="Q27" s="1648" t="str">
        <f t="shared" si="11"/>
        <v>成新率</v>
      </c>
      <c r="R27" s="1413" t="s">
        <v>1490</v>
      </c>
      <c r="S27" s="1414" t="e">
        <f t="shared" si="12"/>
        <v>#N/A</v>
      </c>
      <c r="T27" s="1413" t="s">
        <v>1490</v>
      </c>
      <c r="U27" s="1414" t="e">
        <f t="shared" si="13"/>
        <v>#N/A</v>
      </c>
      <c r="V27" s="1413" t="s">
        <v>1490</v>
      </c>
      <c r="W27" s="1414" t="e">
        <f t="shared" si="14"/>
        <v>#N/A</v>
      </c>
      <c r="X27" s="1415"/>
      <c r="Y27" s="1373"/>
      <c r="Z27" s="1428" t="str">
        <f t="shared" si="15"/>
        <v>成新率</v>
      </c>
      <c r="AA27" s="1427" t="e">
        <f t="shared" si="3"/>
        <v>#N/A</v>
      </c>
      <c r="AB27" s="1427" t="e">
        <f t="shared" si="4"/>
        <v>#N/A</v>
      </c>
      <c r="AC27" s="1427" t="e">
        <f t="shared" si="5"/>
        <v>#N/A</v>
      </c>
    </row>
    <row r="28" ht="15" spans="1:29">
      <c r="A28" s="1268"/>
      <c r="B28" s="1214" t="s">
        <v>1620</v>
      </c>
      <c r="C28" s="1619"/>
      <c r="D28" s="1226">
        <v>100</v>
      </c>
      <c r="E28" s="1619"/>
      <c r="F28" s="1609">
        <f>SUMIF(82:82,E28,83:83)-SUMIF(82:82,C28,83:83)+100</f>
        <v>100</v>
      </c>
      <c r="G28" s="1619"/>
      <c r="H28" s="1226">
        <f>SUMIF(82:82,G28,83:83)-SUMIF(82:82,C28,83:83)+100</f>
        <v>100</v>
      </c>
      <c r="I28" s="1619"/>
      <c r="J28" s="1226">
        <f>SUMIF(82:82,I28,83:83)-SUMIF(82:82,C28,83:83)+100</f>
        <v>100</v>
      </c>
      <c r="K28" s="1369"/>
      <c r="L28" s="1361"/>
      <c r="M28" s="1345"/>
      <c r="N28" s="1345"/>
      <c r="O28" s="1360"/>
      <c r="P28" s="1373"/>
      <c r="Q28" s="749" t="str">
        <f t="shared" si="11"/>
        <v>物业等级</v>
      </c>
      <c r="R28" s="1411" t="s">
        <v>1490</v>
      </c>
      <c r="S28" s="1412">
        <f t="shared" si="12"/>
        <v>100</v>
      </c>
      <c r="T28" s="1411" t="s">
        <v>1490</v>
      </c>
      <c r="U28" s="1412">
        <f t="shared" si="13"/>
        <v>100</v>
      </c>
      <c r="V28" s="1411" t="s">
        <v>1490</v>
      </c>
      <c r="W28" s="1412">
        <f t="shared" si="14"/>
        <v>100</v>
      </c>
      <c r="X28" s="1398"/>
      <c r="Y28" s="1373"/>
      <c r="Z28" s="1385" t="str">
        <f t="shared" si="15"/>
        <v>物业等级</v>
      </c>
      <c r="AA28" s="1427">
        <f t="shared" si="3"/>
        <v>1</v>
      </c>
      <c r="AB28" s="1427">
        <f t="shared" si="4"/>
        <v>1</v>
      </c>
      <c r="AC28" s="1427">
        <f t="shared" si="5"/>
        <v>1</v>
      </c>
    </row>
    <row r="29" ht="15" spans="1:29">
      <c r="A29" s="1268"/>
      <c r="B29" s="1214" t="s">
        <v>1629</v>
      </c>
      <c r="C29" s="1620"/>
      <c r="D29" s="1226">
        <v>100</v>
      </c>
      <c r="E29" s="1620"/>
      <c r="F29" s="1609">
        <f>SUMIF(84:84,E29,85:85)-SUMIF(84:84,C29,85:85)+100</f>
        <v>100</v>
      </c>
      <c r="G29" s="1620"/>
      <c r="H29" s="1226">
        <f>SUMIF(84:84,G29,85:85)-SUMIF(84:84,C29,85:85)+100</f>
        <v>100</v>
      </c>
      <c r="I29" s="1620"/>
      <c r="J29" s="1226">
        <f>SUMIF(84:84,I29,85:85)-SUMIF(84:84,C29,85:85)+100</f>
        <v>100</v>
      </c>
      <c r="K29" s="1369"/>
      <c r="L29" s="1361"/>
      <c r="M29" s="1345"/>
      <c r="N29" s="1345"/>
      <c r="O29" s="1360"/>
      <c r="P29" s="1373"/>
      <c r="Q29" s="749" t="str">
        <f t="shared" si="11"/>
        <v>有无电梯</v>
      </c>
      <c r="R29" s="1411" t="s">
        <v>1490</v>
      </c>
      <c r="S29" s="1412">
        <f t="shared" si="12"/>
        <v>100</v>
      </c>
      <c r="T29" s="1411" t="s">
        <v>1490</v>
      </c>
      <c r="U29" s="1412">
        <f t="shared" si="13"/>
        <v>100</v>
      </c>
      <c r="V29" s="1411" t="s">
        <v>1490</v>
      </c>
      <c r="W29" s="1412">
        <f t="shared" si="14"/>
        <v>100</v>
      </c>
      <c r="X29" s="1398"/>
      <c r="Y29" s="1373"/>
      <c r="Z29" s="1385" t="str">
        <f t="shared" si="15"/>
        <v>有无电梯</v>
      </c>
      <c r="AA29" s="1427">
        <f t="shared" si="3"/>
        <v>1</v>
      </c>
      <c r="AB29" s="1427">
        <f t="shared" si="4"/>
        <v>1</v>
      </c>
      <c r="AC29" s="1427">
        <f t="shared" si="5"/>
        <v>1</v>
      </c>
    </row>
    <row r="30" ht="15" spans="1:29">
      <c r="A30" s="1268"/>
      <c r="B30" s="1214" t="s">
        <v>597</v>
      </c>
      <c r="C30" s="1603"/>
      <c r="D30" s="1226">
        <v>100</v>
      </c>
      <c r="E30" s="1603"/>
      <c r="F30" s="1609" t="e">
        <f>LOOKUP(E30,87:87,88:88)-LOOKUP(C30,87:87,88:88)+100</f>
        <v>#N/A</v>
      </c>
      <c r="G30" s="1603"/>
      <c r="H30" s="1226" t="e">
        <f>LOOKUP(G30,87:87,88:88)-LOOKUP(C30,87:87,88:88)+100</f>
        <v>#N/A</v>
      </c>
      <c r="I30" s="1603"/>
      <c r="J30" s="1226" t="e">
        <f>LOOKUP(I30,87:87,88:88)-LOOKUP(C30,87:87,88:88)+100</f>
        <v>#N/A</v>
      </c>
      <c r="K30" s="1368"/>
      <c r="L30" s="1361"/>
      <c r="M30" s="1345"/>
      <c r="N30" s="1345"/>
      <c r="O30" s="1360"/>
      <c r="P30" s="1373"/>
      <c r="Q30" s="749" t="str">
        <f t="shared" si="11"/>
        <v>建筑面积</v>
      </c>
      <c r="R30" s="1411" t="s">
        <v>1490</v>
      </c>
      <c r="S30" s="1412" t="e">
        <f t="shared" si="12"/>
        <v>#N/A</v>
      </c>
      <c r="T30" s="1411" t="s">
        <v>1490</v>
      </c>
      <c r="U30" s="1412" t="e">
        <f t="shared" si="13"/>
        <v>#N/A</v>
      </c>
      <c r="V30" s="1411" t="s">
        <v>1490</v>
      </c>
      <c r="W30" s="1412" t="e">
        <f t="shared" si="14"/>
        <v>#N/A</v>
      </c>
      <c r="X30" s="1398"/>
      <c r="Y30" s="1373"/>
      <c r="Z30" s="1385" t="str">
        <f t="shared" si="15"/>
        <v>建筑面积</v>
      </c>
      <c r="AA30" s="1427" t="e">
        <f t="shared" si="3"/>
        <v>#N/A</v>
      </c>
      <c r="AB30" s="1427" t="e">
        <f t="shared" si="4"/>
        <v>#N/A</v>
      </c>
      <c r="AC30" s="1427" t="e">
        <f t="shared" si="5"/>
        <v>#N/A</v>
      </c>
    </row>
    <row r="31" s="1164" customFormat="1" ht="15" spans="1:29">
      <c r="A31" s="1270"/>
      <c r="B31" s="1214" t="s">
        <v>1630</v>
      </c>
      <c r="C31" s="1620"/>
      <c r="D31" s="1216">
        <v>100</v>
      </c>
      <c r="E31" s="1620"/>
      <c r="F31" s="1609">
        <f>SUMIF(89:89,E31,90:90)-SUMIF(89:89,C31,90:90)+100</f>
        <v>100</v>
      </c>
      <c r="G31" s="1620"/>
      <c r="H31" s="1226">
        <f>SUMIF(89:89,G31,90:90)-SUMIF(89:89,C31,90:90)+100</f>
        <v>100</v>
      </c>
      <c r="I31" s="1620"/>
      <c r="J31" s="1226">
        <f>SUMIF(89:89,I31,90:90)-SUMIF(89:89,C31,90:90)+100</f>
        <v>100</v>
      </c>
      <c r="K31" s="1369"/>
      <c r="L31" s="1350"/>
      <c r="M31" s="1351"/>
      <c r="N31" s="1351"/>
      <c r="O31" s="1353"/>
      <c r="P31" s="1373"/>
      <c r="Q31" s="1410" t="str">
        <f t="shared" si="11"/>
        <v>是否封闭</v>
      </c>
      <c r="R31" s="1406" t="s">
        <v>1490</v>
      </c>
      <c r="S31" s="1407">
        <f t="shared" si="12"/>
        <v>100</v>
      </c>
      <c r="T31" s="1406" t="s">
        <v>1490</v>
      </c>
      <c r="U31" s="1407">
        <f t="shared" si="13"/>
        <v>100</v>
      </c>
      <c r="V31" s="1406" t="s">
        <v>1490</v>
      </c>
      <c r="W31" s="1407">
        <f t="shared" si="14"/>
        <v>100</v>
      </c>
      <c r="X31" s="1408"/>
      <c r="Y31" s="1373"/>
      <c r="Z31" s="1426" t="str">
        <f t="shared" si="15"/>
        <v>是否封闭</v>
      </c>
      <c r="AA31" s="1425">
        <f t="shared" si="3"/>
        <v>1</v>
      </c>
      <c r="AB31" s="1425">
        <f t="shared" si="4"/>
        <v>1</v>
      </c>
      <c r="AC31" s="1425">
        <f t="shared" si="5"/>
        <v>1</v>
      </c>
    </row>
    <row r="32" ht="15" spans="1:29">
      <c r="A32" s="1268"/>
      <c r="B32" s="1221">
        <v>111</v>
      </c>
      <c r="C32" s="1215"/>
      <c r="D32" s="1226">
        <v>100</v>
      </c>
      <c r="E32" s="1603"/>
      <c r="F32" s="1609">
        <f>SUMIF(91:91,E32,92:92)-SUMIF(91:91,C32,92:92)+100</f>
        <v>100</v>
      </c>
      <c r="G32" s="1603"/>
      <c r="H32" s="1226">
        <f>SUMIF(91:91,G32,92:92)-SUMIF(91:91,C32,92:92)+100</f>
        <v>100</v>
      </c>
      <c r="I32" s="1603"/>
      <c r="J32" s="1226">
        <f>SUMIF(91:91,I32,92:92)-SUMIF(91:91,C32,92:92)+100</f>
        <v>100</v>
      </c>
      <c r="K32" s="1368"/>
      <c r="L32" s="1361"/>
      <c r="M32" s="1345"/>
      <c r="N32" s="1345"/>
      <c r="O32" s="1360"/>
      <c r="P32" s="1373" t="s">
        <v>1510</v>
      </c>
      <c r="Q32" s="749">
        <f t="shared" si="11"/>
        <v>111</v>
      </c>
      <c r="R32" s="1411" t="s">
        <v>1490</v>
      </c>
      <c r="S32" s="1412">
        <f t="shared" si="12"/>
        <v>100</v>
      </c>
      <c r="T32" s="1411" t="s">
        <v>1490</v>
      </c>
      <c r="U32" s="1412">
        <f t="shared" si="13"/>
        <v>100</v>
      </c>
      <c r="V32" s="1411" t="s">
        <v>1490</v>
      </c>
      <c r="W32" s="1412">
        <f t="shared" si="14"/>
        <v>100</v>
      </c>
      <c r="X32" s="1398"/>
      <c r="Y32" s="1373" t="s">
        <v>1510</v>
      </c>
      <c r="Z32" s="1385">
        <f t="shared" si="15"/>
        <v>111</v>
      </c>
      <c r="AA32" s="1427">
        <f t="shared" si="3"/>
        <v>1</v>
      </c>
      <c r="AB32" s="1427">
        <f t="shared" si="4"/>
        <v>1</v>
      </c>
      <c r="AC32" s="1427">
        <f t="shared" si="5"/>
        <v>1</v>
      </c>
    </row>
    <row r="33" ht="15" spans="1:29">
      <c r="A33" s="1268"/>
      <c r="B33" s="1221">
        <v>111</v>
      </c>
      <c r="C33" s="1215"/>
      <c r="D33" s="1226">
        <v>100</v>
      </c>
      <c r="E33" s="1603"/>
      <c r="F33" s="1609">
        <f>SUMIF(93:93,E33,94:94)-SUMIF(93:93,C33,94:94)+100</f>
        <v>100</v>
      </c>
      <c r="G33" s="1603"/>
      <c r="H33" s="1226">
        <f>SUMIF(93:93,G33,94:94)-SUMIF(93:93,C33,94:94)+100</f>
        <v>100</v>
      </c>
      <c r="I33" s="1603"/>
      <c r="J33" s="1226">
        <f>SUMIF(93:93,I33,94:94)-SUMIF(93:93,C33,94:94)+100</f>
        <v>100</v>
      </c>
      <c r="K33" s="1368"/>
      <c r="L33" s="1361"/>
      <c r="M33" s="1345"/>
      <c r="N33" s="1345"/>
      <c r="O33" s="1360"/>
      <c r="P33" s="1373"/>
      <c r="Q33" s="749">
        <f t="shared" si="11"/>
        <v>111</v>
      </c>
      <c r="R33" s="1411" t="s">
        <v>1490</v>
      </c>
      <c r="S33" s="1412">
        <f t="shared" si="12"/>
        <v>100</v>
      </c>
      <c r="T33" s="1411" t="s">
        <v>1490</v>
      </c>
      <c r="U33" s="1412">
        <f t="shared" si="13"/>
        <v>100</v>
      </c>
      <c r="V33" s="1411" t="s">
        <v>1490</v>
      </c>
      <c r="W33" s="1412">
        <f t="shared" si="14"/>
        <v>100</v>
      </c>
      <c r="X33" s="1398"/>
      <c r="Y33" s="1373"/>
      <c r="Z33" s="1385">
        <f t="shared" si="15"/>
        <v>111</v>
      </c>
      <c r="AA33" s="1427">
        <f t="shared" si="3"/>
        <v>1</v>
      </c>
      <c r="AB33" s="1427">
        <f t="shared" si="4"/>
        <v>1</v>
      </c>
      <c r="AC33" s="1427">
        <f t="shared" si="5"/>
        <v>1</v>
      </c>
    </row>
    <row r="34" ht="15.75" spans="1:29">
      <c r="A34" s="1621"/>
      <c r="B34" s="1228">
        <v>111</v>
      </c>
      <c r="C34" s="1229"/>
      <c r="D34" s="1230">
        <v>100</v>
      </c>
      <c r="E34" s="1604"/>
      <c r="F34" s="1622">
        <f>SUMIF(95:95,E34,96:96)-SUMIF(95:95,C34,96:96)+100</f>
        <v>100</v>
      </c>
      <c r="G34" s="1604"/>
      <c r="H34" s="1230">
        <f>SUMIF(95:95,G34,96:96)-SUMIF(95:95,C34,96:96)+100</f>
        <v>100</v>
      </c>
      <c r="I34" s="1604"/>
      <c r="J34" s="1230">
        <f>SUMIF(95:95,I34,96:96)-SUMIF(95:95,C34,96:96)+100</f>
        <v>100</v>
      </c>
      <c r="K34" s="1368"/>
      <c r="L34" s="1361"/>
      <c r="M34" s="1345"/>
      <c r="N34" s="1345"/>
      <c r="O34" s="1360"/>
      <c r="P34" s="1373"/>
      <c r="Q34" s="749">
        <f t="shared" si="11"/>
        <v>111</v>
      </c>
      <c r="R34" s="1411" t="s">
        <v>1490</v>
      </c>
      <c r="S34" s="1412">
        <f t="shared" si="12"/>
        <v>100</v>
      </c>
      <c r="T34" s="1411" t="s">
        <v>1490</v>
      </c>
      <c r="U34" s="1412">
        <f t="shared" si="13"/>
        <v>100</v>
      </c>
      <c r="V34" s="1411" t="s">
        <v>1490</v>
      </c>
      <c r="W34" s="1412">
        <f t="shared" si="14"/>
        <v>100</v>
      </c>
      <c r="X34" s="1398"/>
      <c r="Y34" s="1373"/>
      <c r="Z34" s="1385">
        <f t="shared" si="15"/>
        <v>111</v>
      </c>
      <c r="AA34" s="1427">
        <f t="shared" si="3"/>
        <v>1</v>
      </c>
      <c r="AB34" s="1427">
        <f t="shared" si="4"/>
        <v>1</v>
      </c>
      <c r="AC34" s="1427">
        <f t="shared" si="5"/>
        <v>1</v>
      </c>
    </row>
    <row r="35" ht="14.4" spans="1:29">
      <c r="A35" s="1275" t="s">
        <v>1521</v>
      </c>
      <c r="B35" s="1623"/>
      <c r="C35" s="1624" t="s">
        <v>124</v>
      </c>
      <c r="D35" s="1625"/>
      <c r="E35" s="1626"/>
      <c r="F35" s="1627"/>
      <c r="G35" s="1628"/>
      <c r="H35" s="1629"/>
      <c r="I35" s="1626"/>
      <c r="J35" s="1629"/>
      <c r="K35" s="1376"/>
      <c r="L35" s="1377"/>
      <c r="M35" s="1292"/>
      <c r="N35" s="1345"/>
      <c r="O35" s="1292"/>
      <c r="P35" s="749" t="str">
        <f>A35</f>
        <v>成交单价（元/平方米）</v>
      </c>
      <c r="Q35" s="749"/>
      <c r="R35" s="1427">
        <f>E35</f>
        <v>0</v>
      </c>
      <c r="S35" s="1427"/>
      <c r="T35" s="1427">
        <f>G35</f>
        <v>0</v>
      </c>
      <c r="U35" s="1427"/>
      <c r="V35" s="1427">
        <f>I35</f>
        <v>0</v>
      </c>
      <c r="W35" s="1427"/>
      <c r="X35" s="1333"/>
      <c r="Y35" s="1429"/>
      <c r="Z35" s="1333"/>
      <c r="AA35" s="1333"/>
      <c r="AB35" s="1333"/>
      <c r="AC35" s="1333"/>
    </row>
    <row r="36" ht="15.15" spans="1:29">
      <c r="A36" s="1283" t="s">
        <v>1522</v>
      </c>
      <c r="B36" s="1630"/>
      <c r="C36" s="1631" t="e">
        <f>R37</f>
        <v>#DIV/0!</v>
      </c>
      <c r="D36" s="1286" t="s">
        <v>1523</v>
      </c>
      <c r="E36" s="1632" t="e">
        <f>R36</f>
        <v>#DIV/0!</v>
      </c>
      <c r="F36" s="1287"/>
      <c r="G36" s="1631" t="e">
        <f>T36</f>
        <v>#DIV/0!</v>
      </c>
      <c r="H36" s="1287"/>
      <c r="I36" s="1632" t="e">
        <f>V36</f>
        <v>#DIV/0!</v>
      </c>
      <c r="J36" s="1287"/>
      <c r="K36" s="1378">
        <f>F36+H36+J36</f>
        <v>0</v>
      </c>
      <c r="L36" s="1377"/>
      <c r="M36" s="1292"/>
      <c r="N36" s="1345"/>
      <c r="O36" s="1292"/>
      <c r="P36" s="749" t="str">
        <f>A36</f>
        <v>比较价值（元/平方米）</v>
      </c>
      <c r="Q36" s="749"/>
      <c r="R36" s="1427" t="e">
        <f>IF(F1="售价",ROUND(PRODUCT(R35,AA7:AA34),0),ROUND(PRODUCT(R35,AA7:AA34),1))</f>
        <v>#DIV/0!</v>
      </c>
      <c r="S36" s="1427"/>
      <c r="T36" s="1427" t="e">
        <f>IF(F1="售价",ROUND(PRODUCT(T35,AB7:AB34),0),ROUND(PRODUCT(T35,AB7:AB34),1))</f>
        <v>#DIV/0!</v>
      </c>
      <c r="U36" s="1427"/>
      <c r="V36" s="1427" t="e">
        <f>IF(F1="售价",ROUND(PRODUCT(V35,AC7:AC34),0),ROUND(PRODUCT(V35,AC7:AC34),1))</f>
        <v>#DIV/0!</v>
      </c>
      <c r="W36" s="1427"/>
      <c r="X36" s="1333"/>
      <c r="Y36" s="1333"/>
      <c r="Z36" s="1333"/>
      <c r="AA36" s="1333"/>
      <c r="AB36" s="1333"/>
      <c r="AC36" s="1333"/>
    </row>
    <row r="37" ht="15.15" spans="1:29">
      <c r="A37" s="1289" t="s">
        <v>1524</v>
      </c>
      <c r="B37" s="1290"/>
      <c r="C37" s="1633" t="e">
        <f>R37</f>
        <v>#DIV/0!</v>
      </c>
      <c r="D37" s="1633"/>
      <c r="E37" s="1633"/>
      <c r="F37" s="1633"/>
      <c r="G37" s="1633"/>
      <c r="H37" s="1633"/>
      <c r="I37" s="1633"/>
      <c r="J37" s="1633"/>
      <c r="K37" s="1379"/>
      <c r="L37" s="1377"/>
      <c r="M37" s="1292"/>
      <c r="N37" s="1292"/>
      <c r="O37" s="1292"/>
      <c r="P37" s="1380" t="str">
        <f>A37</f>
        <v>估价对象XX用房的比较价值（楼面单价，元/平方米）</v>
      </c>
      <c r="Q37" s="1417"/>
      <c r="R37" s="1649" t="e">
        <f>IF(F1="售价",ROUND(IF(D36="简单平均",AVERAGE(R36:W36),R36*F36+T36*H36+V36*J36),0),ROUND(IF(D36="简单平均",AVERAGE(R36:V36),R36*F36+T36*H36+V36*J36),1))</f>
        <v>#DIV/0!</v>
      </c>
      <c r="S37" s="1649"/>
      <c r="T37" s="1649"/>
      <c r="U37" s="1649"/>
      <c r="V37" s="1649"/>
      <c r="W37" s="1649"/>
      <c r="X37" s="1333"/>
      <c r="Y37" s="1333"/>
      <c r="Z37" s="1333"/>
      <c r="AA37" s="1333"/>
      <c r="AB37" s="1333"/>
      <c r="AC37" s="1333"/>
    </row>
    <row r="38" spans="1:30">
      <c r="A38" s="1292"/>
      <c r="B38" s="1292"/>
      <c r="C38" s="1292"/>
      <c r="D38" s="1292"/>
      <c r="E38" s="1292"/>
      <c r="F38" s="1292"/>
      <c r="G38" s="1293"/>
      <c r="H38" s="1292"/>
      <c r="I38" s="1292"/>
      <c r="J38" s="1292"/>
      <c r="K38" s="1381"/>
      <c r="L38" s="1382"/>
      <c r="M38" s="1292"/>
      <c r="N38" s="1292"/>
      <c r="O38" s="1292"/>
      <c r="P38" s="1292"/>
      <c r="Q38" s="1292"/>
      <c r="R38" s="1292"/>
      <c r="S38" s="1292"/>
      <c r="T38" s="1292"/>
      <c r="U38" s="1292"/>
      <c r="V38" s="1292"/>
      <c r="W38" s="1292"/>
      <c r="X38" s="1292"/>
      <c r="Y38" s="1292"/>
      <c r="Z38" s="1292"/>
      <c r="AA38" s="1292"/>
      <c r="AB38" s="1292"/>
      <c r="AC38" s="1292"/>
      <c r="AD38" s="1292"/>
    </row>
    <row r="39" spans="1:30">
      <c r="A39" s="1292"/>
      <c r="B39" s="1292"/>
      <c r="C39" s="1292"/>
      <c r="D39" s="1292"/>
      <c r="E39" s="1292"/>
      <c r="F39" s="1292"/>
      <c r="G39" s="1292"/>
      <c r="H39" s="1292"/>
      <c r="I39" s="1292"/>
      <c r="J39" s="1292"/>
      <c r="K39" s="1381"/>
      <c r="L39" s="1382"/>
      <c r="M39" s="1292"/>
      <c r="N39" s="1292"/>
      <c r="O39" s="1292"/>
      <c r="P39" s="1292"/>
      <c r="Q39" s="1292"/>
      <c r="R39" s="1292"/>
      <c r="S39" s="1292"/>
      <c r="T39" s="1292"/>
      <c r="U39" s="1292"/>
      <c r="V39" s="1292"/>
      <c r="W39" s="1292"/>
      <c r="X39" s="1292"/>
      <c r="Y39" s="1292"/>
      <c r="Z39" s="1292"/>
      <c r="AA39" s="1292"/>
      <c r="AB39" s="1292"/>
      <c r="AC39" s="1292"/>
      <c r="AD39" s="1292"/>
    </row>
    <row r="40" ht="13.5" customHeight="1" spans="1:30">
      <c r="A40" s="1292"/>
      <c r="B40" s="1292"/>
      <c r="C40" s="1294" t="s">
        <v>1525</v>
      </c>
      <c r="D40" s="793"/>
      <c r="E40" s="1295" t="e">
        <f>IF(E35&lt;E36,E36/E35-1,E35/E36-1)</f>
        <v>#DIV/0!</v>
      </c>
      <c r="F40" s="1296" t="e">
        <f>IF(OR(E40&gt;=0.3,E40&lt;=-0.3),"超过30%","")</f>
        <v>#DIV/0!</v>
      </c>
      <c r="G40" s="1295" t="e">
        <f>IF(G35&lt;G36,G36/G35-1,G35/G36-1)</f>
        <v>#DIV/0!</v>
      </c>
      <c r="H40" s="1296" t="e">
        <f>IF(OR(G40&gt;=0.3,G40&lt;=-0.3),"超过30%","")</f>
        <v>#DIV/0!</v>
      </c>
      <c r="I40" s="1295" t="e">
        <f>IF(I35&lt;I36,I36/I35-1,I35/I36-1)</f>
        <v>#DIV/0!</v>
      </c>
      <c r="J40" s="1296" t="e">
        <f>IF(OR(I40&gt;=0.3,I40&lt;=-0.3),"超过30%","")</f>
        <v>#DIV/0!</v>
      </c>
      <c r="K40" s="1381"/>
      <c r="L40" s="1382"/>
      <c r="M40" s="1292"/>
      <c r="N40" s="1292"/>
      <c r="O40" s="1292"/>
      <c r="P40" s="1292"/>
      <c r="Q40" s="1292"/>
      <c r="R40" s="1292"/>
      <c r="S40" s="1292"/>
      <c r="T40" s="1292"/>
      <c r="U40" s="1292"/>
      <c r="V40" s="1292"/>
      <c r="W40" s="1292"/>
      <c r="X40" s="1292"/>
      <c r="Y40" s="1292"/>
      <c r="Z40" s="1292"/>
      <c r="AA40" s="1292"/>
      <c r="AB40" s="1292"/>
      <c r="AC40" s="1292"/>
      <c r="AD40" s="1292"/>
    </row>
    <row r="41" ht="13.5" customHeight="1" spans="1:30">
      <c r="A41" s="1292"/>
      <c r="B41" s="1292"/>
      <c r="C41" s="1294" t="s">
        <v>1526</v>
      </c>
      <c r="D41" s="792"/>
      <c r="E41" s="1295" t="e">
        <f>IF(E36&lt;G36,G36/E36-1,E36/G36-1)</f>
        <v>#DIV/0!</v>
      </c>
      <c r="F41" s="1296" t="e">
        <f>IF(OR(E41&gt;=0.2,E41&lt;=-0.2),"超过20%","")</f>
        <v>#DIV/0!</v>
      </c>
      <c r="G41" s="1295" t="e">
        <f>IF(G36&lt;I36,I36/G36-1,G36/I36-1)</f>
        <v>#DIV/0!</v>
      </c>
      <c r="H41" s="1296" t="e">
        <f>IF(OR(G41&gt;=0.2,G41&lt;=-0.2),"超过20%","")</f>
        <v>#DIV/0!</v>
      </c>
      <c r="I41" s="1295" t="e">
        <f>IF(I36&lt;E36,E36/I36-1,I36/E36-1)</f>
        <v>#DIV/0!</v>
      </c>
      <c r="J41" s="1296" t="e">
        <f>IF(OR(I41&gt;=0.2,I41&lt;=-0.2),"超过20%","")</f>
        <v>#DIV/0!</v>
      </c>
      <c r="K41" s="1381"/>
      <c r="L41" s="1382"/>
      <c r="M41" s="1292"/>
      <c r="N41" s="1292"/>
      <c r="O41" s="1292"/>
      <c r="P41" s="1292"/>
      <c r="Q41" s="1292"/>
      <c r="R41" s="1292"/>
      <c r="S41" s="1292"/>
      <c r="T41" s="1292"/>
      <c r="U41" s="1292"/>
      <c r="V41" s="1292"/>
      <c r="W41" s="1292"/>
      <c r="X41" s="1292"/>
      <c r="Y41" s="1292"/>
      <c r="Z41" s="1292"/>
      <c r="AA41" s="1292"/>
      <c r="AB41" s="1292"/>
      <c r="AC41" s="1292"/>
      <c r="AD41" s="1292"/>
    </row>
    <row r="42" s="1167" customFormat="1" ht="13.5" customHeight="1" spans="1:30">
      <c r="A42" s="1297"/>
      <c r="B42" s="1297"/>
      <c r="C42" s="1294" t="s">
        <v>1527</v>
      </c>
      <c r="D42" s="792"/>
      <c r="E42" s="1295" t="e">
        <f>IF(E35&lt;G35,G35/E35-1,E35/G35-1)</f>
        <v>#DIV/0!</v>
      </c>
      <c r="F42" s="1296" t="e">
        <f>IF(OR(E42&gt;=0.3,E42&lt;=-0.3),"超过30%","")</f>
        <v>#DIV/0!</v>
      </c>
      <c r="G42" s="1295" t="e">
        <f>IF(G35&lt;I35,I35/G35-1,G35/I35-1)</f>
        <v>#DIV/0!</v>
      </c>
      <c r="H42" s="1296" t="e">
        <f>IF(OR(G42&gt;=0.3,G42&lt;=-0.3),"超过30%","")</f>
        <v>#DIV/0!</v>
      </c>
      <c r="I42" s="1295" t="e">
        <f>IF(I35&lt;E35,E35/I35-1,I35/E35-1)</f>
        <v>#DIV/0!</v>
      </c>
      <c r="J42" s="1296" t="e">
        <f>IF(OR(I42&gt;=0.3,I42&lt;=-0.3),"超过30%","")</f>
        <v>#DIV/0!</v>
      </c>
      <c r="K42" s="1383"/>
      <c r="L42" s="1384"/>
      <c r="M42" s="1297"/>
      <c r="N42" s="1297"/>
      <c r="O42" s="1297"/>
      <c r="P42" s="1297"/>
      <c r="Q42" s="1297"/>
      <c r="R42" s="1297"/>
      <c r="S42" s="1297"/>
      <c r="T42" s="1297"/>
      <c r="U42" s="1297"/>
      <c r="V42" s="1297"/>
      <c r="W42" s="1297"/>
      <c r="X42" s="1297"/>
      <c r="Y42" s="1297"/>
      <c r="Z42" s="1297"/>
      <c r="AA42" s="1297"/>
      <c r="AB42" s="1297"/>
      <c r="AC42" s="1297"/>
      <c r="AD42" s="1297"/>
    </row>
    <row r="43" s="1167" customFormat="1" spans="1:30">
      <c r="A43" s="1297"/>
      <c r="B43" s="1298"/>
      <c r="C43" s="1634"/>
      <c r="D43" s="1297"/>
      <c r="E43" s="1297"/>
      <c r="F43" s="1297"/>
      <c r="G43" s="1297"/>
      <c r="H43" s="1297"/>
      <c r="I43" s="1297"/>
      <c r="J43" s="1297"/>
      <c r="K43" s="1383"/>
      <c r="L43" s="1384"/>
      <c r="M43" s="1297"/>
      <c r="N43" s="1297"/>
      <c r="O43" s="1297"/>
      <c r="P43" s="1297"/>
      <c r="Q43" s="1297"/>
      <c r="R43" s="1297"/>
      <c r="S43" s="1297"/>
      <c r="T43" s="1297"/>
      <c r="U43" s="1297"/>
      <c r="V43" s="1297"/>
      <c r="W43" s="1297"/>
      <c r="X43" s="1297"/>
      <c r="Y43" s="1297"/>
      <c r="Z43" s="1297"/>
      <c r="AA43" s="1297"/>
      <c r="AB43" s="1297"/>
      <c r="AC43" s="1297"/>
      <c r="AD43" s="1297"/>
    </row>
    <row r="44" spans="1:30">
      <c r="A44" s="1292"/>
      <c r="B44" s="1298"/>
      <c r="C44" s="1634"/>
      <c r="D44" s="1292"/>
      <c r="E44" s="1292"/>
      <c r="F44" s="1292"/>
      <c r="G44" s="1292"/>
      <c r="H44" s="1292"/>
      <c r="I44" s="1292"/>
      <c r="J44" s="1292"/>
      <c r="K44" s="1381"/>
      <c r="L44" s="1382"/>
      <c r="M44" s="1292"/>
      <c r="N44" s="1292"/>
      <c r="O44" s="1292"/>
      <c r="P44" s="1292"/>
      <c r="Q44" s="1292"/>
      <c r="R44" s="1292"/>
      <c r="S44" s="1292"/>
      <c r="T44" s="1292"/>
      <c r="U44" s="1292"/>
      <c r="V44" s="1292"/>
      <c r="W44" s="1292"/>
      <c r="X44" s="1292"/>
      <c r="Y44" s="1292"/>
      <c r="Z44" s="1292"/>
      <c r="AA44" s="1292"/>
      <c r="AB44" s="1292"/>
      <c r="AC44" s="1292"/>
      <c r="AD44" s="1292"/>
    </row>
    <row r="45" ht="21.15" spans="1:30">
      <c r="A45" s="1332" t="s">
        <v>1528</v>
      </c>
      <c r="B45" s="1333"/>
      <c r="C45" s="1334"/>
      <c r="D45" s="1334"/>
      <c r="E45" s="1334"/>
      <c r="F45" s="1335"/>
      <c r="G45" s="1335"/>
      <c r="H45" s="1334"/>
      <c r="I45" s="1334"/>
      <c r="J45" s="1334"/>
      <c r="K45" s="1391"/>
      <c r="L45" s="1392"/>
      <c r="M45" s="1334"/>
      <c r="N45" s="1394"/>
      <c r="O45" s="1394"/>
      <c r="P45" s="1394"/>
      <c r="Q45" s="1419"/>
      <c r="R45" s="1292"/>
      <c r="S45" s="1292"/>
      <c r="T45" s="1292"/>
      <c r="U45" s="1292"/>
      <c r="V45" s="1292"/>
      <c r="W45" s="1292"/>
      <c r="X45" s="1292"/>
      <c r="Y45" s="1292"/>
      <c r="Z45" s="1292"/>
      <c r="AA45" s="1292"/>
      <c r="AB45" s="1292"/>
      <c r="AC45" s="1292"/>
      <c r="AD45" s="1292"/>
    </row>
    <row r="46" s="1169" customFormat="1" ht="14.4" spans="1:30">
      <c r="A46" s="1635" t="s">
        <v>1488</v>
      </c>
      <c r="B46" s="1636"/>
      <c r="C46" s="1637" t="str">
        <f>YEAR(C7)&amp;"-"&amp;MONTH(C7)</f>
        <v>2023-4</v>
      </c>
      <c r="D46" s="1638">
        <f>EDATE(C46,-1)</f>
        <v>44986</v>
      </c>
      <c r="E46" s="1638">
        <f t="shared" ref="E46:O46" si="16">EDATE(D46,-1)</f>
        <v>44958</v>
      </c>
      <c r="F46" s="1638">
        <f t="shared" si="16"/>
        <v>44927</v>
      </c>
      <c r="G46" s="1638">
        <f t="shared" si="16"/>
        <v>44896</v>
      </c>
      <c r="H46" s="1638">
        <f t="shared" si="16"/>
        <v>44866</v>
      </c>
      <c r="I46" s="1638">
        <f t="shared" si="16"/>
        <v>44835</v>
      </c>
      <c r="J46" s="1638">
        <f t="shared" si="16"/>
        <v>44805</v>
      </c>
      <c r="K46" s="1638">
        <f t="shared" si="16"/>
        <v>44774</v>
      </c>
      <c r="L46" s="1638">
        <f t="shared" si="16"/>
        <v>44743</v>
      </c>
      <c r="M46" s="1638">
        <f t="shared" si="16"/>
        <v>44713</v>
      </c>
      <c r="N46" s="1638">
        <f t="shared" si="16"/>
        <v>44682</v>
      </c>
      <c r="O46" s="1638">
        <f t="shared" si="16"/>
        <v>44652</v>
      </c>
      <c r="P46" s="1484"/>
      <c r="Q46" s="1540"/>
      <c r="R46" s="1540"/>
      <c r="S46" s="1540"/>
      <c r="T46" s="1540"/>
      <c r="U46" s="1540"/>
      <c r="V46" s="1540"/>
      <c r="W46" s="1540"/>
      <c r="X46" s="1540"/>
      <c r="Y46" s="1540"/>
      <c r="Z46" s="1540"/>
      <c r="AA46" s="1540"/>
      <c r="AB46" s="1540"/>
      <c r="AC46" s="1540"/>
      <c r="AD46" s="1540"/>
    </row>
    <row r="47" s="1164" customFormat="1" spans="1:30">
      <c r="A47" s="1639"/>
      <c r="B47" s="1441"/>
      <c r="C47" s="1640">
        <v>100</v>
      </c>
      <c r="D47" s="1445"/>
      <c r="E47" s="1445"/>
      <c r="F47" s="1445"/>
      <c r="G47" s="1445"/>
      <c r="H47" s="1445"/>
      <c r="I47" s="1445"/>
      <c r="J47" s="1445"/>
      <c r="K47" s="1445"/>
      <c r="L47" s="1445"/>
      <c r="M47" s="1647"/>
      <c r="N47" s="1445"/>
      <c r="O47" s="1493"/>
      <c r="P47" s="1419"/>
      <c r="Q47" s="1541"/>
      <c r="R47" s="1541"/>
      <c r="S47" s="1541"/>
      <c r="T47" s="1541"/>
      <c r="U47" s="1541"/>
      <c r="V47" s="1541"/>
      <c r="W47" s="1541"/>
      <c r="X47" s="1541"/>
      <c r="Y47" s="1541"/>
      <c r="Z47" s="1541"/>
      <c r="AA47" s="1541"/>
      <c r="AB47" s="1541"/>
      <c r="AC47" s="1541"/>
      <c r="AD47" s="1541"/>
    </row>
    <row r="48" s="1164" customFormat="1" ht="15.15" spans="1:30">
      <c r="A48" s="1436" t="s">
        <v>1529</v>
      </c>
      <c r="B48" s="1437"/>
      <c r="C48" s="1438"/>
      <c r="D48" s="1439"/>
      <c r="E48" s="1439"/>
      <c r="F48" s="1439"/>
      <c r="G48" s="1439"/>
      <c r="H48" s="1439"/>
      <c r="I48" s="1439"/>
      <c r="J48" s="1439"/>
      <c r="K48" s="1439"/>
      <c r="L48" s="1439"/>
      <c r="M48" s="1487"/>
      <c r="N48" s="1439"/>
      <c r="O48" s="1488"/>
      <c r="P48" s="1419"/>
      <c r="Q48" s="1419"/>
      <c r="R48" s="1541"/>
      <c r="S48" s="1541"/>
      <c r="T48" s="1541"/>
      <c r="U48" s="1541"/>
      <c r="V48" s="1541"/>
      <c r="W48" s="1541"/>
      <c r="X48" s="1541"/>
      <c r="Y48" s="1541"/>
      <c r="Z48" s="1541"/>
      <c r="AA48" s="1541"/>
      <c r="AB48" s="1541"/>
      <c r="AC48" s="1541"/>
      <c r="AD48" s="1541"/>
    </row>
    <row r="49" s="1164" customFormat="1" ht="14.4" spans="1:30">
      <c r="A49" s="1440" t="s">
        <v>1491</v>
      </c>
      <c r="B49" s="1441"/>
      <c r="C49" s="1442" t="s">
        <v>1530</v>
      </c>
      <c r="D49" s="1443"/>
      <c r="E49" s="1443"/>
      <c r="F49" s="1443"/>
      <c r="G49" s="1443"/>
      <c r="H49" s="1443"/>
      <c r="I49" s="1443"/>
      <c r="J49" s="1443"/>
      <c r="K49" s="1443"/>
      <c r="L49" s="1489"/>
      <c r="M49" s="1490"/>
      <c r="N49" s="1491"/>
      <c r="O49" s="1491"/>
      <c r="P49" s="1492"/>
      <c r="Q49" s="1419"/>
      <c r="R49" s="1541"/>
      <c r="S49" s="1541"/>
      <c r="T49" s="1541"/>
      <c r="U49" s="1541"/>
      <c r="V49" s="1541"/>
      <c r="W49" s="1541"/>
      <c r="X49" s="1541"/>
      <c r="Y49" s="1541"/>
      <c r="Z49" s="1541"/>
      <c r="AA49" s="1541"/>
      <c r="AB49" s="1541"/>
      <c r="AC49" s="1541"/>
      <c r="AD49" s="1541"/>
    </row>
    <row r="50" s="1164" customFormat="1" ht="14.55" spans="1:30">
      <c r="A50" s="1440"/>
      <c r="B50" s="1441"/>
      <c r="C50" s="1444">
        <v>100</v>
      </c>
      <c r="D50" s="1445"/>
      <c r="E50" s="1445"/>
      <c r="F50" s="1445"/>
      <c r="G50" s="1445"/>
      <c r="H50" s="1445"/>
      <c r="I50" s="1445"/>
      <c r="J50" s="1445"/>
      <c r="K50" s="1445"/>
      <c r="L50" s="1445"/>
      <c r="M50" s="1493"/>
      <c r="N50" s="1491"/>
      <c r="O50" s="1491"/>
      <c r="P50" s="1419"/>
      <c r="Q50" s="1419"/>
      <c r="R50" s="1541"/>
      <c r="S50" s="1541"/>
      <c r="T50" s="1541"/>
      <c r="U50" s="1541"/>
      <c r="V50" s="1541"/>
      <c r="W50" s="1541"/>
      <c r="X50" s="1541"/>
      <c r="Y50" s="1541"/>
      <c r="Z50" s="1541"/>
      <c r="AA50" s="1541"/>
      <c r="AB50" s="1541"/>
      <c r="AC50" s="1541"/>
      <c r="AD50" s="1541"/>
    </row>
    <row r="51" ht="14.4" spans="1:30">
      <c r="A51" s="1446" t="s">
        <v>1531</v>
      </c>
      <c r="B51" s="1447" t="s">
        <v>1494</v>
      </c>
      <c r="C51" s="1469">
        <f>C9</f>
        <v>0</v>
      </c>
      <c r="D51" s="1374"/>
      <c r="E51" s="1374"/>
      <c r="F51" s="1374"/>
      <c r="G51" s="1374"/>
      <c r="H51" s="1374"/>
      <c r="I51" s="1374"/>
      <c r="J51" s="1374"/>
      <c r="K51" s="1494"/>
      <c r="L51" s="1495"/>
      <c r="M51" s="1496"/>
      <c r="N51" s="1497"/>
      <c r="O51" s="1497"/>
      <c r="P51" s="1498"/>
      <c r="Q51" s="1419"/>
      <c r="R51" s="1292"/>
      <c r="S51" s="1292"/>
      <c r="T51" s="1292"/>
      <c r="U51" s="1292"/>
      <c r="V51" s="1292"/>
      <c r="W51" s="1292"/>
      <c r="X51" s="1292"/>
      <c r="Y51" s="1292"/>
      <c r="Z51" s="1292"/>
      <c r="AA51" s="1292"/>
      <c r="AB51" s="1292"/>
      <c r="AC51" s="1292"/>
      <c r="AD51" s="1292"/>
    </row>
    <row r="52" ht="14.55" spans="1:30">
      <c r="A52" s="1448"/>
      <c r="B52" s="1449"/>
      <c r="C52" s="1450">
        <v>100</v>
      </c>
      <c r="D52" s="1450"/>
      <c r="E52" s="1450"/>
      <c r="F52" s="1450"/>
      <c r="G52" s="1450"/>
      <c r="H52" s="1450"/>
      <c r="I52" s="1450"/>
      <c r="J52" s="1450"/>
      <c r="K52" s="1450"/>
      <c r="L52" s="1450"/>
      <c r="M52" s="1499"/>
      <c r="N52" s="1500"/>
      <c r="O52" s="1500"/>
      <c r="P52" s="1498"/>
      <c r="Q52" s="1419"/>
      <c r="R52" s="1292"/>
      <c r="S52" s="1292"/>
      <c r="T52" s="1292"/>
      <c r="U52" s="1292"/>
      <c r="V52" s="1292"/>
      <c r="W52" s="1292"/>
      <c r="X52" s="1292"/>
      <c r="Y52" s="1292"/>
      <c r="Z52" s="1292"/>
      <c r="AA52" s="1292"/>
      <c r="AB52" s="1292"/>
      <c r="AC52" s="1292"/>
      <c r="AD52" s="1292"/>
    </row>
    <row r="53" ht="29.55" spans="1:30">
      <c r="A53" s="1448"/>
      <c r="B53" s="1451" t="s">
        <v>1497</v>
      </c>
      <c r="C53" s="1476"/>
      <c r="D53" s="1476"/>
      <c r="E53" s="1476"/>
      <c r="F53" s="1476"/>
      <c r="G53" s="1476"/>
      <c r="H53" s="1476"/>
      <c r="I53" s="1476"/>
      <c r="J53" s="1476"/>
      <c r="K53" s="1527"/>
      <c r="L53" s="1528"/>
      <c r="M53" s="1529"/>
      <c r="N53" s="1497"/>
      <c r="O53" s="1497"/>
      <c r="P53" s="1498"/>
      <c r="Q53" s="1419"/>
      <c r="R53" s="1292"/>
      <c r="S53" s="1292"/>
      <c r="T53" s="1292"/>
      <c r="U53" s="1292"/>
      <c r="V53" s="1292"/>
      <c r="W53" s="1292"/>
      <c r="X53" s="1292"/>
      <c r="Y53" s="1292"/>
      <c r="Z53" s="1292"/>
      <c r="AA53" s="1292"/>
      <c r="AB53" s="1292"/>
      <c r="AC53" s="1292"/>
      <c r="AD53" s="1292"/>
    </row>
    <row r="54" ht="14.55" spans="1:30">
      <c r="A54" s="1448"/>
      <c r="B54" s="1453"/>
      <c r="C54" s="1450"/>
      <c r="D54" s="1450"/>
      <c r="E54" s="1450"/>
      <c r="F54" s="1450"/>
      <c r="G54" s="1450"/>
      <c r="H54" s="1450"/>
      <c r="I54" s="1450"/>
      <c r="J54" s="1450"/>
      <c r="K54" s="1450"/>
      <c r="L54" s="1450"/>
      <c r="M54" s="1499"/>
      <c r="N54" s="1500"/>
      <c r="O54" s="1500"/>
      <c r="P54" s="1498"/>
      <c r="Q54" s="1419"/>
      <c r="R54" s="1292"/>
      <c r="S54" s="1292"/>
      <c r="T54" s="1292"/>
      <c r="U54" s="1292"/>
      <c r="V54" s="1292"/>
      <c r="W54" s="1292"/>
      <c r="X54" s="1292"/>
      <c r="Y54" s="1292"/>
      <c r="Z54" s="1292"/>
      <c r="AA54" s="1292"/>
      <c r="AB54" s="1292"/>
      <c r="AC54" s="1292"/>
      <c r="AD54" s="1292"/>
    </row>
    <row r="55" ht="14.55" spans="1:30">
      <c r="A55" s="1448"/>
      <c r="B55" s="1475">
        <f>B11</f>
        <v>111</v>
      </c>
      <c r="C55" s="1223"/>
      <c r="D55" s="1223"/>
      <c r="E55" s="1223"/>
      <c r="F55" s="1223"/>
      <c r="G55" s="1223"/>
      <c r="H55" s="1223"/>
      <c r="I55" s="1223"/>
      <c r="J55" s="1223"/>
      <c r="K55" s="1505"/>
      <c r="L55" s="1506"/>
      <c r="M55" s="1507"/>
      <c r="N55" s="1497"/>
      <c r="O55" s="1497"/>
      <c r="P55" s="1498"/>
      <c r="Q55" s="1419"/>
      <c r="R55" s="1292"/>
      <c r="S55" s="1292"/>
      <c r="T55" s="1292"/>
      <c r="U55" s="1292"/>
      <c r="V55" s="1292"/>
      <c r="W55" s="1292"/>
      <c r="X55" s="1292"/>
      <c r="Y55" s="1292"/>
      <c r="Z55" s="1292"/>
      <c r="AA55" s="1292"/>
      <c r="AB55" s="1292"/>
      <c r="AC55" s="1292"/>
      <c r="AD55" s="1292"/>
    </row>
    <row r="56" ht="14.55" spans="1:30">
      <c r="A56" s="1448"/>
      <c r="B56" s="1449"/>
      <c r="C56" s="1461"/>
      <c r="D56" s="1450"/>
      <c r="E56" s="1450"/>
      <c r="F56" s="1450"/>
      <c r="G56" s="1450"/>
      <c r="H56" s="1450"/>
      <c r="I56" s="1450"/>
      <c r="J56" s="1450"/>
      <c r="K56" s="1450"/>
      <c r="L56" s="1450"/>
      <c r="M56" s="1499"/>
      <c r="N56" s="1500"/>
      <c r="O56" s="1500"/>
      <c r="P56" s="1498"/>
      <c r="Q56" s="1419"/>
      <c r="R56" s="1292"/>
      <c r="S56" s="1292"/>
      <c r="T56" s="1292"/>
      <c r="U56" s="1292"/>
      <c r="V56" s="1292"/>
      <c r="W56" s="1292"/>
      <c r="X56" s="1292"/>
      <c r="Y56" s="1292"/>
      <c r="Z56" s="1292"/>
      <c r="AA56" s="1292"/>
      <c r="AB56" s="1292"/>
      <c r="AC56" s="1292"/>
      <c r="AD56" s="1292"/>
    </row>
    <row r="57" s="1166" customFormat="1" ht="14.55" spans="1:30">
      <c r="A57" s="1458"/>
      <c r="B57" s="1451">
        <f>B12</f>
        <v>111</v>
      </c>
      <c r="C57" s="1223"/>
      <c r="D57" s="1223"/>
      <c r="E57" s="1223"/>
      <c r="F57" s="1223"/>
      <c r="G57" s="1459"/>
      <c r="H57" s="1460"/>
      <c r="I57" s="1460"/>
      <c r="J57" s="1460"/>
      <c r="K57" s="1460"/>
      <c r="L57" s="1508"/>
      <c r="M57" s="1509"/>
      <c r="N57" s="1510"/>
      <c r="O57" s="1510"/>
      <c r="P57" s="1511"/>
      <c r="Q57" s="1542"/>
      <c r="R57" s="1543"/>
      <c r="S57" s="1543"/>
      <c r="T57" s="1543"/>
      <c r="U57" s="1543"/>
      <c r="V57" s="1543"/>
      <c r="W57" s="1543"/>
      <c r="X57" s="1543"/>
      <c r="Y57" s="1543"/>
      <c r="Z57" s="1543"/>
      <c r="AA57" s="1543"/>
      <c r="AB57" s="1543"/>
      <c r="AC57" s="1543"/>
      <c r="AD57" s="1543"/>
    </row>
    <row r="58" s="1166" customFormat="1" ht="14.55" spans="1:30">
      <c r="A58" s="1458"/>
      <c r="B58" s="1453"/>
      <c r="C58" s="1461"/>
      <c r="D58" s="1450"/>
      <c r="E58" s="1450"/>
      <c r="F58" s="1450"/>
      <c r="G58" s="1450"/>
      <c r="H58" s="1450"/>
      <c r="I58" s="1450"/>
      <c r="J58" s="1450"/>
      <c r="K58" s="1450"/>
      <c r="L58" s="1450"/>
      <c r="M58" s="1499"/>
      <c r="N58" s="1500"/>
      <c r="O58" s="1500"/>
      <c r="P58" s="1511"/>
      <c r="Q58" s="1542"/>
      <c r="R58" s="1543"/>
      <c r="S58" s="1543"/>
      <c r="T58" s="1543"/>
      <c r="U58" s="1543"/>
      <c r="V58" s="1543"/>
      <c r="W58" s="1543"/>
      <c r="X58" s="1543"/>
      <c r="Y58" s="1543"/>
      <c r="Z58" s="1543"/>
      <c r="AA58" s="1543"/>
      <c r="AB58" s="1543"/>
      <c r="AC58" s="1543"/>
      <c r="AD58" s="1543"/>
    </row>
    <row r="59" s="1166" customFormat="1" ht="14.55" spans="1:30">
      <c r="A59" s="1458"/>
      <c r="B59" s="1451">
        <f>B13</f>
        <v>111</v>
      </c>
      <c r="C59" s="1223"/>
      <c r="D59" s="1223"/>
      <c r="E59" s="1223"/>
      <c r="F59" s="1223"/>
      <c r="G59" s="1459"/>
      <c r="H59" s="1460"/>
      <c r="I59" s="1460"/>
      <c r="J59" s="1460"/>
      <c r="K59" s="1460"/>
      <c r="L59" s="1508"/>
      <c r="M59" s="1509"/>
      <c r="N59" s="1510"/>
      <c r="O59" s="1510"/>
      <c r="P59" s="1371"/>
      <c r="Q59" s="1544"/>
      <c r="R59" s="1543"/>
      <c r="S59" s="1543"/>
      <c r="T59" s="1543"/>
      <c r="U59" s="1543"/>
      <c r="V59" s="1543"/>
      <c r="W59" s="1543"/>
      <c r="X59" s="1543"/>
      <c r="Y59" s="1543"/>
      <c r="Z59" s="1543"/>
      <c r="AA59" s="1543"/>
      <c r="AB59" s="1543"/>
      <c r="AC59" s="1543"/>
      <c r="AD59" s="1543"/>
    </row>
    <row r="60" s="1166" customFormat="1" ht="14.55" spans="1:30">
      <c r="A60" s="1458"/>
      <c r="B60" s="1453"/>
      <c r="C60" s="1461"/>
      <c r="D60" s="1461"/>
      <c r="E60" s="1461"/>
      <c r="F60" s="1461"/>
      <c r="G60" s="1461"/>
      <c r="H60" s="1462"/>
      <c r="I60" s="1462"/>
      <c r="J60" s="1462"/>
      <c r="K60" s="1462"/>
      <c r="L60" s="1462"/>
      <c r="M60" s="1512"/>
      <c r="N60" s="1510"/>
      <c r="O60" s="1510"/>
      <c r="P60" s="1511"/>
      <c r="Q60" s="1542"/>
      <c r="R60" s="1543"/>
      <c r="S60" s="1543"/>
      <c r="T60" s="1543"/>
      <c r="U60" s="1543"/>
      <c r="V60" s="1543"/>
      <c r="W60" s="1543"/>
      <c r="X60" s="1543"/>
      <c r="Y60" s="1543"/>
      <c r="Z60" s="1543"/>
      <c r="AA60" s="1543"/>
      <c r="AB60" s="1543"/>
      <c r="AC60" s="1543"/>
      <c r="AD60" s="1543"/>
    </row>
    <row r="61" ht="15.15" spans="1:30">
      <c r="A61" s="1446" t="s">
        <v>1499</v>
      </c>
      <c r="B61" s="1447" t="s">
        <v>1502</v>
      </c>
      <c r="C61" s="1468" t="s">
        <v>1532</v>
      </c>
      <c r="D61" s="1468" t="s">
        <v>1533</v>
      </c>
      <c r="E61" s="1468" t="s">
        <v>1534</v>
      </c>
      <c r="F61" s="1468" t="s">
        <v>1535</v>
      </c>
      <c r="G61" s="1468" t="s">
        <v>1536</v>
      </c>
      <c r="H61" s="1469"/>
      <c r="I61" s="1469"/>
      <c r="J61" s="1469"/>
      <c r="K61" s="1517"/>
      <c r="L61" s="1518"/>
      <c r="M61" s="1519"/>
      <c r="N61" s="1497"/>
      <c r="O61" s="1497"/>
      <c r="P61" s="1520"/>
      <c r="Q61" s="1419"/>
      <c r="R61" s="1292"/>
      <c r="S61" s="1292"/>
      <c r="T61" s="1292"/>
      <c r="U61" s="1292"/>
      <c r="V61" s="1292"/>
      <c r="W61" s="1292"/>
      <c r="X61" s="1292"/>
      <c r="Y61" s="1292"/>
      <c r="Z61" s="1292"/>
      <c r="AA61" s="1292"/>
      <c r="AB61" s="1292"/>
      <c r="AC61" s="1292"/>
      <c r="AD61" s="1292"/>
    </row>
    <row r="62" ht="14.55" spans="1:30">
      <c r="A62" s="1448"/>
      <c r="B62" s="1453"/>
      <c r="C62" s="1454">
        <v>100</v>
      </c>
      <c r="D62" s="1454">
        <f>C62-$K14</f>
        <v>100</v>
      </c>
      <c r="E62" s="1454">
        <f>D62-$K14</f>
        <v>100</v>
      </c>
      <c r="F62" s="1454">
        <f>E62-$K14</f>
        <v>100</v>
      </c>
      <c r="G62" s="1454">
        <f>F62-$K14</f>
        <v>100</v>
      </c>
      <c r="H62" s="1454"/>
      <c r="I62" s="1454"/>
      <c r="J62" s="1454"/>
      <c r="K62" s="1454"/>
      <c r="L62" s="1454"/>
      <c r="M62" s="1504"/>
      <c r="N62" s="1500"/>
      <c r="O62" s="1500"/>
      <c r="P62" s="1498"/>
      <c r="Q62" s="1419"/>
      <c r="R62" s="1292"/>
      <c r="S62" s="1292"/>
      <c r="T62" s="1292"/>
      <c r="U62" s="1292"/>
      <c r="V62" s="1292"/>
      <c r="W62" s="1292"/>
      <c r="X62" s="1292"/>
      <c r="Y62" s="1292"/>
      <c r="Z62" s="1292"/>
      <c r="AA62" s="1292"/>
      <c r="AB62" s="1292"/>
      <c r="AC62" s="1292"/>
      <c r="AD62" s="1292"/>
    </row>
    <row r="63" ht="29.55" spans="1:30">
      <c r="A63" s="1448"/>
      <c r="B63" s="1451" t="s">
        <v>1631</v>
      </c>
      <c r="C63" s="1470" t="s">
        <v>1532</v>
      </c>
      <c r="D63" s="1470" t="s">
        <v>1533</v>
      </c>
      <c r="E63" s="1470" t="s">
        <v>1534</v>
      </c>
      <c r="F63" s="1470" t="s">
        <v>1535</v>
      </c>
      <c r="G63" s="1470" t="s">
        <v>1536</v>
      </c>
      <c r="H63" s="1452"/>
      <c r="I63" s="1452"/>
      <c r="J63" s="1452"/>
      <c r="K63" s="1501"/>
      <c r="L63" s="1502"/>
      <c r="M63" s="1503"/>
      <c r="N63" s="1497"/>
      <c r="O63" s="1497"/>
      <c r="P63" s="1498"/>
      <c r="Q63" s="1419"/>
      <c r="R63" s="1292"/>
      <c r="S63" s="1292"/>
      <c r="T63" s="1292"/>
      <c r="U63" s="1292"/>
      <c r="V63" s="1292"/>
      <c r="W63" s="1292"/>
      <c r="X63" s="1292"/>
      <c r="Y63" s="1292"/>
      <c r="Z63" s="1292"/>
      <c r="AA63" s="1292"/>
      <c r="AB63" s="1292"/>
      <c r="AC63" s="1292"/>
      <c r="AD63" s="1292"/>
    </row>
    <row r="64" ht="14.55" spans="1:30">
      <c r="A64" s="1448"/>
      <c r="B64" s="1453"/>
      <c r="C64" s="1454">
        <v>100</v>
      </c>
      <c r="D64" s="1454">
        <f>C64-$K16</f>
        <v>100</v>
      </c>
      <c r="E64" s="1454">
        <f>D64-$K16</f>
        <v>100</v>
      </c>
      <c r="F64" s="1454">
        <f>E64-$K16</f>
        <v>100</v>
      </c>
      <c r="G64" s="1454">
        <f>F64-$K16</f>
        <v>100</v>
      </c>
      <c r="H64" s="1454"/>
      <c r="I64" s="1454"/>
      <c r="J64" s="1454"/>
      <c r="K64" s="1454"/>
      <c r="L64" s="1454"/>
      <c r="M64" s="1504"/>
      <c r="N64" s="1500"/>
      <c r="O64" s="1500"/>
      <c r="P64" s="1498"/>
      <c r="Q64" s="1419"/>
      <c r="R64" s="1292"/>
      <c r="S64" s="1292"/>
      <c r="T64" s="1292"/>
      <c r="U64" s="1292"/>
      <c r="V64" s="1292"/>
      <c r="W64" s="1292"/>
      <c r="X64" s="1292"/>
      <c r="Y64" s="1292"/>
      <c r="Z64" s="1292"/>
      <c r="AA64" s="1292"/>
      <c r="AB64" s="1292"/>
      <c r="AC64" s="1292"/>
      <c r="AD64" s="1292"/>
    </row>
    <row r="65" ht="15.15" spans="1:30">
      <c r="A65" s="1448"/>
      <c r="B65" s="1455" t="s">
        <v>1504</v>
      </c>
      <c r="C65" s="1475" t="s">
        <v>1537</v>
      </c>
      <c r="D65" s="1475" t="s">
        <v>1538</v>
      </c>
      <c r="E65" s="1475" t="s">
        <v>1539</v>
      </c>
      <c r="F65" s="1475" t="s">
        <v>1540</v>
      </c>
      <c r="G65" s="1475" t="s">
        <v>1541</v>
      </c>
      <c r="H65" s="1452"/>
      <c r="I65" s="1452"/>
      <c r="J65" s="1452"/>
      <c r="K65" s="1452"/>
      <c r="L65" s="1452"/>
      <c r="M65" s="1653"/>
      <c r="N65" s="1500"/>
      <c r="O65" s="1500"/>
      <c r="P65" s="1498"/>
      <c r="Q65" s="1419"/>
      <c r="R65" s="1292"/>
      <c r="S65" s="1292"/>
      <c r="T65" s="1292"/>
      <c r="U65" s="1292"/>
      <c r="V65" s="1292"/>
      <c r="W65" s="1292"/>
      <c r="X65" s="1292"/>
      <c r="Y65" s="1292"/>
      <c r="Z65" s="1292"/>
      <c r="AA65" s="1292"/>
      <c r="AB65" s="1292"/>
      <c r="AC65" s="1292"/>
      <c r="AD65" s="1292"/>
    </row>
    <row r="66" ht="14.55" spans="1:30">
      <c r="A66" s="1448"/>
      <c r="B66" s="1455"/>
      <c r="C66" s="1454">
        <v>100</v>
      </c>
      <c r="D66" s="1454">
        <f>C66-$K18</f>
        <v>100</v>
      </c>
      <c r="E66" s="1454">
        <f>D66-$K18</f>
        <v>100</v>
      </c>
      <c r="F66" s="1454">
        <f>E66-$K18</f>
        <v>100</v>
      </c>
      <c r="G66" s="1454">
        <f>F66-$K18</f>
        <v>100</v>
      </c>
      <c r="H66" s="1475"/>
      <c r="I66" s="1475"/>
      <c r="J66" s="1475"/>
      <c r="K66" s="1475"/>
      <c r="L66" s="1475"/>
      <c r="M66" s="1240"/>
      <c r="N66" s="1500"/>
      <c r="O66" s="1500"/>
      <c r="P66" s="1498"/>
      <c r="Q66" s="1419"/>
      <c r="R66" s="1292"/>
      <c r="S66" s="1292"/>
      <c r="T66" s="1292"/>
      <c r="U66" s="1292"/>
      <c r="V66" s="1292"/>
      <c r="W66" s="1292"/>
      <c r="X66" s="1292"/>
      <c r="Y66" s="1292"/>
      <c r="Z66" s="1292"/>
      <c r="AA66" s="1292"/>
      <c r="AB66" s="1292"/>
      <c r="AC66" s="1292"/>
      <c r="AD66" s="1292"/>
    </row>
    <row r="67" ht="15.15" spans="1:30">
      <c r="A67" s="1448"/>
      <c r="B67" s="1451" t="s">
        <v>1505</v>
      </c>
      <c r="C67" s="1470" t="s">
        <v>1532</v>
      </c>
      <c r="D67" s="1470" t="s">
        <v>1533</v>
      </c>
      <c r="E67" s="1470" t="s">
        <v>1534</v>
      </c>
      <c r="F67" s="1470" t="s">
        <v>1535</v>
      </c>
      <c r="G67" s="1470" t="s">
        <v>1536</v>
      </c>
      <c r="H67" s="1452"/>
      <c r="I67" s="1452"/>
      <c r="J67" s="1452"/>
      <c r="K67" s="1501"/>
      <c r="L67" s="1502"/>
      <c r="M67" s="1503"/>
      <c r="N67" s="1497"/>
      <c r="O67" s="1497"/>
      <c r="P67" s="1498"/>
      <c r="Q67" s="1419"/>
      <c r="R67" s="1292"/>
      <c r="S67" s="1292"/>
      <c r="T67" s="1292"/>
      <c r="U67" s="1292"/>
      <c r="V67" s="1292"/>
      <c r="W67" s="1292"/>
      <c r="X67" s="1292"/>
      <c r="Y67" s="1292"/>
      <c r="Z67" s="1292"/>
      <c r="AA67" s="1292"/>
      <c r="AB67" s="1292"/>
      <c r="AC67" s="1292"/>
      <c r="AD67" s="1292"/>
    </row>
    <row r="68" ht="14.55" spans="1:30">
      <c r="A68" s="1448"/>
      <c r="B68" s="1453"/>
      <c r="C68" s="1454">
        <v>100</v>
      </c>
      <c r="D68" s="1454">
        <f>C68-$K20</f>
        <v>100</v>
      </c>
      <c r="E68" s="1454">
        <f>D68-$K20</f>
        <v>100</v>
      </c>
      <c r="F68" s="1454">
        <f>E68-$K20</f>
        <v>100</v>
      </c>
      <c r="G68" s="1454">
        <f>F68-$K20</f>
        <v>100</v>
      </c>
      <c r="H68" s="1454"/>
      <c r="I68" s="1454"/>
      <c r="J68" s="1454"/>
      <c r="K68" s="1454"/>
      <c r="L68" s="1454"/>
      <c r="M68" s="1504"/>
      <c r="N68" s="1500"/>
      <c r="O68" s="1500"/>
      <c r="P68" s="1498"/>
      <c r="Q68" s="1419"/>
      <c r="R68" s="1292"/>
      <c r="S68" s="1292"/>
      <c r="T68" s="1292"/>
      <c r="U68" s="1292"/>
      <c r="V68" s="1292"/>
      <c r="W68" s="1292"/>
      <c r="X68" s="1292"/>
      <c r="Y68" s="1292"/>
      <c r="Z68" s="1292"/>
      <c r="AA68" s="1292"/>
      <c r="AB68" s="1292"/>
      <c r="AC68" s="1292"/>
      <c r="AD68" s="1292"/>
    </row>
    <row r="69" ht="15.15" spans="1:30">
      <c r="A69" s="1448"/>
      <c r="B69" s="1451" t="s">
        <v>1567</v>
      </c>
      <c r="C69" s="1459"/>
      <c r="D69" s="1459"/>
      <c r="E69" s="1459"/>
      <c r="F69" s="1459"/>
      <c r="G69" s="1459"/>
      <c r="H69" s="1476"/>
      <c r="I69" s="1476"/>
      <c r="J69" s="1476"/>
      <c r="K69" s="1527"/>
      <c r="L69" s="1528"/>
      <c r="M69" s="1529"/>
      <c r="N69" s="1497"/>
      <c r="O69" s="1497"/>
      <c r="P69" s="1498"/>
      <c r="Q69" s="1419"/>
      <c r="R69" s="1292"/>
      <c r="S69" s="1292"/>
      <c r="T69" s="1292"/>
      <c r="U69" s="1292"/>
      <c r="V69" s="1292"/>
      <c r="W69" s="1292"/>
      <c r="X69" s="1292"/>
      <c r="Y69" s="1292"/>
      <c r="Z69" s="1292"/>
      <c r="AA69" s="1292"/>
      <c r="AB69" s="1292"/>
      <c r="AC69" s="1292"/>
      <c r="AD69" s="1292"/>
    </row>
    <row r="70" ht="14.55" spans="1:30">
      <c r="A70" s="1448"/>
      <c r="B70" s="1453"/>
      <c r="C70" s="1454">
        <v>100</v>
      </c>
      <c r="D70" s="1454">
        <f>C70-$K22</f>
        <v>100</v>
      </c>
      <c r="E70" s="1454"/>
      <c r="F70" s="1454"/>
      <c r="G70" s="1454"/>
      <c r="H70" s="1454"/>
      <c r="I70" s="1454"/>
      <c r="J70" s="1454"/>
      <c r="K70" s="1454"/>
      <c r="L70" s="1454"/>
      <c r="M70" s="1504"/>
      <c r="N70" s="1500"/>
      <c r="O70" s="1500"/>
      <c r="P70" s="1498"/>
      <c r="Q70" s="1419"/>
      <c r="R70" s="1292"/>
      <c r="S70" s="1292"/>
      <c r="T70" s="1292"/>
      <c r="U70" s="1292"/>
      <c r="V70" s="1292"/>
      <c r="W70" s="1292"/>
      <c r="X70" s="1292"/>
      <c r="Y70" s="1292"/>
      <c r="Z70" s="1292"/>
      <c r="AA70" s="1292"/>
      <c r="AB70" s="1292"/>
      <c r="AC70" s="1292"/>
      <c r="AD70" s="1292"/>
    </row>
    <row r="71" s="1164" customFormat="1" ht="14.55" spans="1:30">
      <c r="A71" s="1471"/>
      <c r="B71" s="1451">
        <f>B23</f>
        <v>111</v>
      </c>
      <c r="C71" s="1223"/>
      <c r="D71" s="1223"/>
      <c r="E71" s="1223"/>
      <c r="F71" s="1223"/>
      <c r="G71" s="1459"/>
      <c r="H71" s="1459"/>
      <c r="I71" s="1459"/>
      <c r="J71" s="1459"/>
      <c r="K71" s="1459"/>
      <c r="L71" s="1654"/>
      <c r="M71" s="1655"/>
      <c r="N71" s="1491"/>
      <c r="O71" s="1491"/>
      <c r="P71" s="1498"/>
      <c r="Q71" s="1419"/>
      <c r="R71" s="1541"/>
      <c r="S71" s="1541"/>
      <c r="T71" s="1541"/>
      <c r="U71" s="1541"/>
      <c r="V71" s="1541"/>
      <c r="W71" s="1541"/>
      <c r="X71" s="1541"/>
      <c r="Y71" s="1541"/>
      <c r="Z71" s="1541"/>
      <c r="AA71" s="1541"/>
      <c r="AB71" s="1541"/>
      <c r="AC71" s="1541"/>
      <c r="AD71" s="1541"/>
    </row>
    <row r="72" s="1164" customFormat="1" ht="14.55" spans="1:30">
      <c r="A72" s="1471"/>
      <c r="B72" s="1453"/>
      <c r="C72" s="1461"/>
      <c r="D72" s="1450"/>
      <c r="E72" s="1450"/>
      <c r="F72" s="1450"/>
      <c r="G72" s="1450"/>
      <c r="H72" s="1450"/>
      <c r="I72" s="1450"/>
      <c r="J72" s="1450"/>
      <c r="K72" s="1450"/>
      <c r="L72" s="1450"/>
      <c r="M72" s="1499"/>
      <c r="N72" s="1500"/>
      <c r="O72" s="1500"/>
      <c r="P72" s="1498"/>
      <c r="Q72" s="1419"/>
      <c r="R72" s="1541"/>
      <c r="S72" s="1541"/>
      <c r="T72" s="1541"/>
      <c r="U72" s="1541"/>
      <c r="V72" s="1541"/>
      <c r="W72" s="1541"/>
      <c r="X72" s="1541"/>
      <c r="Y72" s="1541"/>
      <c r="Z72" s="1541"/>
      <c r="AA72" s="1541"/>
      <c r="AB72" s="1541"/>
      <c r="AC72" s="1541"/>
      <c r="AD72" s="1541"/>
    </row>
    <row r="73" s="1164" customFormat="1" ht="14.55" spans="1:30">
      <c r="A73" s="1471"/>
      <c r="B73" s="1451">
        <f>B24</f>
        <v>111</v>
      </c>
      <c r="C73" s="1223"/>
      <c r="D73" s="1223"/>
      <c r="E73" s="1223"/>
      <c r="F73" s="1223"/>
      <c r="G73" s="1459"/>
      <c r="H73" s="1459"/>
      <c r="I73" s="1459"/>
      <c r="J73" s="1459"/>
      <c r="K73" s="1459"/>
      <c r="L73" s="1459"/>
      <c r="M73" s="1655"/>
      <c r="N73" s="1491"/>
      <c r="O73" s="1491"/>
      <c r="P73" s="1498"/>
      <c r="Q73" s="1419"/>
      <c r="R73" s="1541"/>
      <c r="S73" s="1541"/>
      <c r="T73" s="1541"/>
      <c r="U73" s="1541"/>
      <c r="V73" s="1541"/>
      <c r="W73" s="1541"/>
      <c r="X73" s="1541"/>
      <c r="Y73" s="1541"/>
      <c r="Z73" s="1541"/>
      <c r="AA73" s="1541"/>
      <c r="AB73" s="1541"/>
      <c r="AC73" s="1541"/>
      <c r="AD73" s="1541"/>
    </row>
    <row r="74" s="1164" customFormat="1" ht="14.55" spans="1:30">
      <c r="A74" s="1471"/>
      <c r="B74" s="1453"/>
      <c r="C74" s="1461"/>
      <c r="D74" s="1450"/>
      <c r="E74" s="1450"/>
      <c r="F74" s="1450"/>
      <c r="G74" s="1450"/>
      <c r="H74" s="1450"/>
      <c r="I74" s="1450"/>
      <c r="J74" s="1450"/>
      <c r="K74" s="1450"/>
      <c r="L74" s="1450"/>
      <c r="M74" s="1499"/>
      <c r="N74" s="1500"/>
      <c r="O74" s="1500"/>
      <c r="P74" s="1498"/>
      <c r="Q74" s="1419"/>
      <c r="R74" s="1541"/>
      <c r="S74" s="1541"/>
      <c r="T74" s="1541"/>
      <c r="U74" s="1541"/>
      <c r="V74" s="1541"/>
      <c r="W74" s="1541"/>
      <c r="X74" s="1541"/>
      <c r="Y74" s="1541"/>
      <c r="Z74" s="1541"/>
      <c r="AA74" s="1541"/>
      <c r="AB74" s="1541"/>
      <c r="AC74" s="1541"/>
      <c r="AD74" s="1541"/>
    </row>
    <row r="75" s="1166" customFormat="1" ht="14.55" spans="1:30">
      <c r="A75" s="1458"/>
      <c r="B75" s="1451">
        <f>B25</f>
        <v>111</v>
      </c>
      <c r="C75" s="1223"/>
      <c r="D75" s="1223"/>
      <c r="E75" s="1223"/>
      <c r="F75" s="1223"/>
      <c r="G75" s="1459"/>
      <c r="H75" s="1460"/>
      <c r="I75" s="1460"/>
      <c r="J75" s="1460"/>
      <c r="K75" s="1460"/>
      <c r="L75" s="1508"/>
      <c r="M75" s="1509"/>
      <c r="N75" s="1510"/>
      <c r="O75" s="1510"/>
      <c r="P75" s="1511"/>
      <c r="Q75" s="1542"/>
      <c r="R75" s="1543"/>
      <c r="S75" s="1543"/>
      <c r="T75" s="1543"/>
      <c r="U75" s="1543"/>
      <c r="V75" s="1543"/>
      <c r="W75" s="1543"/>
      <c r="X75" s="1543"/>
      <c r="Y75" s="1543"/>
      <c r="Z75" s="1543"/>
      <c r="AA75" s="1543"/>
      <c r="AB75" s="1543"/>
      <c r="AC75" s="1543"/>
      <c r="AD75" s="1543"/>
    </row>
    <row r="76" s="1166" customFormat="1" ht="14.55" spans="1:30">
      <c r="A76" s="1458"/>
      <c r="B76" s="1453"/>
      <c r="C76" s="1461"/>
      <c r="D76" s="1461"/>
      <c r="E76" s="1461"/>
      <c r="F76" s="1461"/>
      <c r="G76" s="1450"/>
      <c r="H76" s="1450"/>
      <c r="I76" s="1450"/>
      <c r="J76" s="1450"/>
      <c r="K76" s="1450"/>
      <c r="L76" s="1450"/>
      <c r="M76" s="1499"/>
      <c r="N76" s="1510"/>
      <c r="O76" s="1510"/>
      <c r="P76" s="1511"/>
      <c r="Q76" s="1542"/>
      <c r="R76" s="1543"/>
      <c r="S76" s="1543"/>
      <c r="T76" s="1543"/>
      <c r="U76" s="1543"/>
      <c r="V76" s="1543"/>
      <c r="W76" s="1543"/>
      <c r="X76" s="1543"/>
      <c r="Y76" s="1543"/>
      <c r="Z76" s="1543"/>
      <c r="AA76" s="1543"/>
      <c r="AB76" s="1543"/>
      <c r="AC76" s="1543"/>
      <c r="AD76" s="1543"/>
    </row>
    <row r="77" ht="15.15" spans="1:30">
      <c r="A77" s="1446" t="s">
        <v>1508</v>
      </c>
      <c r="B77" s="1447" t="s">
        <v>1514</v>
      </c>
      <c r="C77" s="1459"/>
      <c r="D77" s="1459"/>
      <c r="E77" s="1374"/>
      <c r="F77" s="1374"/>
      <c r="G77" s="1374"/>
      <c r="H77" s="1374"/>
      <c r="I77" s="1374"/>
      <c r="J77" s="1374"/>
      <c r="K77" s="1494"/>
      <c r="L77" s="1495"/>
      <c r="M77" s="1496"/>
      <c r="N77" s="1497"/>
      <c r="O77" s="1497"/>
      <c r="P77" s="1498"/>
      <c r="Q77" s="1419"/>
      <c r="R77" s="1292"/>
      <c r="S77" s="1292"/>
      <c r="T77" s="1292"/>
      <c r="U77" s="1292"/>
      <c r="V77" s="1292"/>
      <c r="W77" s="1292"/>
      <c r="X77" s="1292"/>
      <c r="Y77" s="1292"/>
      <c r="Z77" s="1292"/>
      <c r="AA77" s="1292"/>
      <c r="AB77" s="1292"/>
      <c r="AC77" s="1292"/>
      <c r="AD77" s="1292"/>
    </row>
    <row r="78" ht="14.55" spans="1:30">
      <c r="A78" s="1448"/>
      <c r="B78" s="1453"/>
      <c r="C78" s="1454">
        <v>100</v>
      </c>
      <c r="D78" s="1454">
        <f t="shared" ref="D78:M78" si="17">C78-$K26</f>
        <v>100</v>
      </c>
      <c r="E78" s="1454">
        <f t="shared" si="17"/>
        <v>100</v>
      </c>
      <c r="F78" s="1454">
        <f t="shared" si="17"/>
        <v>100</v>
      </c>
      <c r="G78" s="1454">
        <f t="shared" si="17"/>
        <v>100</v>
      </c>
      <c r="H78" s="1454">
        <f t="shared" si="17"/>
        <v>100</v>
      </c>
      <c r="I78" s="1454">
        <f t="shared" si="17"/>
        <v>100</v>
      </c>
      <c r="J78" s="1454">
        <f t="shared" si="17"/>
        <v>100</v>
      </c>
      <c r="K78" s="1454">
        <f t="shared" si="17"/>
        <v>100</v>
      </c>
      <c r="L78" s="1454">
        <f t="shared" si="17"/>
        <v>100</v>
      </c>
      <c r="M78" s="1504">
        <f t="shared" si="17"/>
        <v>100</v>
      </c>
      <c r="N78" s="1500"/>
      <c r="O78" s="1500"/>
      <c r="P78" s="1498"/>
      <c r="Q78" s="1419"/>
      <c r="R78" s="1292"/>
      <c r="S78" s="1292"/>
      <c r="T78" s="1292"/>
      <c r="U78" s="1292"/>
      <c r="V78" s="1292"/>
      <c r="W78" s="1292"/>
      <c r="X78" s="1292"/>
      <c r="Y78" s="1292"/>
      <c r="Z78" s="1292"/>
      <c r="AA78" s="1292"/>
      <c r="AB78" s="1292"/>
      <c r="AC78" s="1292"/>
      <c r="AD78" s="1292"/>
    </row>
    <row r="79" ht="15.15" spans="1:30">
      <c r="A79" s="1448"/>
      <c r="B79" s="1451" t="s">
        <v>1619</v>
      </c>
      <c r="C79" s="1470" t="str">
        <f>C80&amp;"(含)"&amp;"-"&amp;D80</f>
        <v>0.5(含)-0.6</v>
      </c>
      <c r="D79" s="1470" t="str">
        <f>D80&amp;"(含)"&amp;"-"&amp;E80</f>
        <v>0.6(含)-0.7</v>
      </c>
      <c r="E79" s="1470" t="str">
        <f>E80&amp;"(含)"&amp;"-"&amp;F80</f>
        <v>0.7(含)-0.8</v>
      </c>
      <c r="F79" s="1470" t="str">
        <f>F80&amp;"(含)"&amp;"-"&amp;G80</f>
        <v>0.8(含)-0.9</v>
      </c>
      <c r="G79" s="1470" t="str">
        <f>G80&amp;"(含)"&amp;"-"&amp;ROUND(H80,0)&amp;"(含)"</f>
        <v>0.9(含)-1(含)</v>
      </c>
      <c r="H79" s="1470"/>
      <c r="I79" s="1452"/>
      <c r="J79" s="1452"/>
      <c r="K79" s="1501"/>
      <c r="L79" s="1502"/>
      <c r="M79" s="1503"/>
      <c r="N79" s="1491"/>
      <c r="O79" s="1491"/>
      <c r="P79" s="1498"/>
      <c r="Q79" s="1419"/>
      <c r="R79" s="1292"/>
      <c r="S79" s="1292"/>
      <c r="T79" s="1292"/>
      <c r="U79" s="1292"/>
      <c r="V79" s="1292"/>
      <c r="W79" s="1292"/>
      <c r="X79" s="1292"/>
      <c r="Y79" s="1292"/>
      <c r="Z79" s="1292"/>
      <c r="AA79" s="1292"/>
      <c r="AB79" s="1292"/>
      <c r="AC79" s="1292"/>
      <c r="AD79" s="1292"/>
    </row>
    <row r="80" spans="1:30">
      <c r="A80" s="1448"/>
      <c r="B80" s="1455"/>
      <c r="C80" s="928">
        <v>0.5</v>
      </c>
      <c r="D80" s="928">
        <v>0.6</v>
      </c>
      <c r="E80" s="928">
        <v>0.7</v>
      </c>
      <c r="F80" s="928">
        <v>0.8</v>
      </c>
      <c r="G80" s="928">
        <v>0.9</v>
      </c>
      <c r="H80" s="928">
        <v>1.0001</v>
      </c>
      <c r="I80" s="1475"/>
      <c r="J80" s="1475"/>
      <c r="K80" s="1656"/>
      <c r="L80" s="1657"/>
      <c r="M80" s="1658"/>
      <c r="N80" s="1491"/>
      <c r="O80" s="1491"/>
      <c r="P80" s="1498"/>
      <c r="Q80" s="1419"/>
      <c r="R80" s="1292"/>
      <c r="S80" s="1292"/>
      <c r="T80" s="1292"/>
      <c r="U80" s="1292"/>
      <c r="V80" s="1292"/>
      <c r="W80" s="1292"/>
      <c r="X80" s="1292"/>
      <c r="Y80" s="1292"/>
      <c r="Z80" s="1292"/>
      <c r="AA80" s="1292"/>
      <c r="AB80" s="1292"/>
      <c r="AC80" s="1292"/>
      <c r="AD80" s="1292"/>
    </row>
    <row r="81" s="1166" customFormat="1" ht="14.55" spans="1:30">
      <c r="A81" s="1458"/>
      <c r="B81" s="1453"/>
      <c r="C81" s="1472">
        <v>100</v>
      </c>
      <c r="D81" s="1454">
        <f t="shared" ref="D81:M81" si="18">C81+$K27</f>
        <v>100</v>
      </c>
      <c r="E81" s="1454">
        <f t="shared" si="18"/>
        <v>100</v>
      </c>
      <c r="F81" s="1454">
        <f t="shared" si="18"/>
        <v>100</v>
      </c>
      <c r="G81" s="1454">
        <f t="shared" si="18"/>
        <v>100</v>
      </c>
      <c r="H81" s="1454">
        <f t="shared" si="18"/>
        <v>100</v>
      </c>
      <c r="I81" s="1454">
        <f t="shared" si="18"/>
        <v>100</v>
      </c>
      <c r="J81" s="1454">
        <f t="shared" si="18"/>
        <v>100</v>
      </c>
      <c r="K81" s="1454">
        <f t="shared" si="18"/>
        <v>100</v>
      </c>
      <c r="L81" s="1454">
        <f t="shared" si="18"/>
        <v>100</v>
      </c>
      <c r="M81" s="1454">
        <f t="shared" si="18"/>
        <v>100</v>
      </c>
      <c r="N81" s="1500"/>
      <c r="O81" s="1500"/>
      <c r="P81" s="1511"/>
      <c r="Q81" s="1542"/>
      <c r="R81" s="1543"/>
      <c r="S81" s="1543"/>
      <c r="T81" s="1543"/>
      <c r="U81" s="1543"/>
      <c r="V81" s="1543"/>
      <c r="W81" s="1543"/>
      <c r="X81" s="1543"/>
      <c r="Y81" s="1543"/>
      <c r="Z81" s="1543"/>
      <c r="AA81" s="1543"/>
      <c r="AB81" s="1543"/>
      <c r="AC81" s="1543"/>
      <c r="AD81" s="1543"/>
    </row>
    <row r="82" ht="15.15" spans="1:30">
      <c r="A82" s="1482"/>
      <c r="B82" s="1455" t="s">
        <v>1620</v>
      </c>
      <c r="C82" s="1459"/>
      <c r="D82" s="1459"/>
      <c r="E82" s="1476"/>
      <c r="F82" s="1476"/>
      <c r="G82" s="1476"/>
      <c r="H82" s="1476"/>
      <c r="I82" s="1476"/>
      <c r="J82" s="1476"/>
      <c r="K82" s="1527"/>
      <c r="L82" s="1528"/>
      <c r="M82" s="1529"/>
      <c r="N82" s="1497"/>
      <c r="O82" s="1497"/>
      <c r="P82" s="1498"/>
      <c r="Q82" s="1419"/>
      <c r="R82" s="1292"/>
      <c r="S82" s="1292"/>
      <c r="T82" s="1292"/>
      <c r="U82" s="1292"/>
      <c r="V82" s="1292"/>
      <c r="W82" s="1292"/>
      <c r="X82" s="1292"/>
      <c r="Y82" s="1292"/>
      <c r="Z82" s="1292"/>
      <c r="AA82" s="1292"/>
      <c r="AB82" s="1292"/>
      <c r="AC82" s="1292"/>
      <c r="AD82" s="1292"/>
    </row>
    <row r="83" ht="14.55" spans="1:30">
      <c r="A83" s="1448"/>
      <c r="B83" s="1453"/>
      <c r="C83" s="1454">
        <v>100</v>
      </c>
      <c r="D83" s="1454">
        <f t="shared" ref="D83:M83" si="19">C83-$K28</f>
        <v>100</v>
      </c>
      <c r="E83" s="1454">
        <f t="shared" si="19"/>
        <v>100</v>
      </c>
      <c r="F83" s="1454">
        <f t="shared" si="19"/>
        <v>100</v>
      </c>
      <c r="G83" s="1454">
        <f t="shared" si="19"/>
        <v>100</v>
      </c>
      <c r="H83" s="1454">
        <f t="shared" si="19"/>
        <v>100</v>
      </c>
      <c r="I83" s="1454">
        <f t="shared" si="19"/>
        <v>100</v>
      </c>
      <c r="J83" s="1454">
        <f t="shared" si="19"/>
        <v>100</v>
      </c>
      <c r="K83" s="1454">
        <f t="shared" si="19"/>
        <v>100</v>
      </c>
      <c r="L83" s="1454">
        <f t="shared" si="19"/>
        <v>100</v>
      </c>
      <c r="M83" s="1504">
        <f t="shared" si="19"/>
        <v>100</v>
      </c>
      <c r="N83" s="1500"/>
      <c r="O83" s="1500"/>
      <c r="P83" s="1498"/>
      <c r="Q83" s="1419"/>
      <c r="R83" s="1292"/>
      <c r="S83" s="1292"/>
      <c r="T83" s="1292"/>
      <c r="U83" s="1292"/>
      <c r="V83" s="1292"/>
      <c r="W83" s="1292"/>
      <c r="X83" s="1292"/>
      <c r="Y83" s="1292"/>
      <c r="Z83" s="1292"/>
      <c r="AA83" s="1292"/>
      <c r="AB83" s="1292"/>
      <c r="AC83" s="1292"/>
      <c r="AD83" s="1292"/>
    </row>
    <row r="84" ht="15.15" spans="1:30">
      <c r="A84" s="1482"/>
      <c r="B84" s="1451" t="s">
        <v>1629</v>
      </c>
      <c r="C84" s="1459"/>
      <c r="D84" s="1459"/>
      <c r="E84" s="1459"/>
      <c r="F84" s="1459"/>
      <c r="G84" s="1459"/>
      <c r="H84" s="1459"/>
      <c r="I84" s="1476"/>
      <c r="J84" s="1476"/>
      <c r="K84" s="1527"/>
      <c r="L84" s="1528"/>
      <c r="M84" s="1529"/>
      <c r="N84" s="1497"/>
      <c r="O84" s="1497"/>
      <c r="P84" s="1498"/>
      <c r="Q84" s="1419"/>
      <c r="R84" s="1292"/>
      <c r="S84" s="1292"/>
      <c r="T84" s="1292"/>
      <c r="U84" s="1292"/>
      <c r="V84" s="1292"/>
      <c r="W84" s="1292"/>
      <c r="X84" s="1292"/>
      <c r="Y84" s="1292"/>
      <c r="Z84" s="1292"/>
      <c r="AA84" s="1292"/>
      <c r="AB84" s="1292"/>
      <c r="AC84" s="1292"/>
      <c r="AD84" s="1292"/>
    </row>
    <row r="85" ht="14.55" spans="1:30">
      <c r="A85" s="1448"/>
      <c r="B85" s="1453"/>
      <c r="C85" s="1472">
        <v>100</v>
      </c>
      <c r="D85" s="1454">
        <f t="shared" ref="D85:M85" si="20">C85+$K29</f>
        <v>100</v>
      </c>
      <c r="E85" s="1454">
        <f t="shared" si="20"/>
        <v>100</v>
      </c>
      <c r="F85" s="1454">
        <f t="shared" si="20"/>
        <v>100</v>
      </c>
      <c r="G85" s="1454">
        <f t="shared" si="20"/>
        <v>100</v>
      </c>
      <c r="H85" s="1454">
        <f t="shared" si="20"/>
        <v>100</v>
      </c>
      <c r="I85" s="1454">
        <f t="shared" si="20"/>
        <v>100</v>
      </c>
      <c r="J85" s="1454">
        <f t="shared" si="20"/>
        <v>100</v>
      </c>
      <c r="K85" s="1454">
        <f t="shared" si="20"/>
        <v>100</v>
      </c>
      <c r="L85" s="1454">
        <f t="shared" si="20"/>
        <v>100</v>
      </c>
      <c r="M85" s="1454">
        <f t="shared" si="20"/>
        <v>100</v>
      </c>
      <c r="N85" s="1500"/>
      <c r="O85" s="1500"/>
      <c r="P85" s="1498"/>
      <c r="Q85" s="1419"/>
      <c r="R85" s="1292"/>
      <c r="S85" s="1292"/>
      <c r="T85" s="1292"/>
      <c r="U85" s="1292"/>
      <c r="V85" s="1292"/>
      <c r="W85" s="1292"/>
      <c r="X85" s="1292"/>
      <c r="Y85" s="1292"/>
      <c r="Z85" s="1292"/>
      <c r="AA85" s="1292"/>
      <c r="AB85" s="1292"/>
      <c r="AC85" s="1292"/>
      <c r="AD85" s="1292"/>
    </row>
    <row r="86" ht="15.15" spans="1:30">
      <c r="A86" s="1482"/>
      <c r="B86" s="1455" t="s">
        <v>597</v>
      </c>
      <c r="C86" s="1470" t="str">
        <f t="shared" ref="C86:L86" si="21">C87&amp;"(含)"&amp;"-"&amp;D87</f>
        <v>(含)-</v>
      </c>
      <c r="D86" s="1470" t="str">
        <f t="shared" si="21"/>
        <v>(含)-</v>
      </c>
      <c r="E86" s="1470" t="str">
        <f t="shared" si="21"/>
        <v>(含)-</v>
      </c>
      <c r="F86" s="1470" t="str">
        <f t="shared" si="21"/>
        <v>(含)-</v>
      </c>
      <c r="G86" s="1470" t="str">
        <f t="shared" si="21"/>
        <v>(含)-</v>
      </c>
      <c r="H86" s="1470" t="str">
        <f t="shared" si="21"/>
        <v>(含)-</v>
      </c>
      <c r="I86" s="1470" t="str">
        <f t="shared" si="21"/>
        <v>(含)-</v>
      </c>
      <c r="J86" s="1470" t="str">
        <f t="shared" si="21"/>
        <v>(含)-</v>
      </c>
      <c r="K86" s="1470" t="str">
        <f t="shared" si="21"/>
        <v>(含)-</v>
      </c>
      <c r="L86" s="1470" t="str">
        <f t="shared" si="21"/>
        <v>(含)-</v>
      </c>
      <c r="M86" s="1522" t="str">
        <f>M87&amp;"(含)"&amp;"-"&amp;P87</f>
        <v>(含)-</v>
      </c>
      <c r="N86" s="1497"/>
      <c r="O86" s="1497"/>
      <c r="P86" s="1498"/>
      <c r="Q86" s="1419"/>
      <c r="R86" s="1292"/>
      <c r="S86" s="1292"/>
      <c r="T86" s="1292"/>
      <c r="U86" s="1292"/>
      <c r="V86" s="1292"/>
      <c r="W86" s="1292"/>
      <c r="X86" s="1292"/>
      <c r="Y86" s="1292"/>
      <c r="Z86" s="1292"/>
      <c r="AA86" s="1292"/>
      <c r="AB86" s="1292"/>
      <c r="AC86" s="1292"/>
      <c r="AD86" s="1292"/>
    </row>
    <row r="87" spans="1:30">
      <c r="A87" s="1482"/>
      <c r="B87" s="1455"/>
      <c r="C87" s="1435"/>
      <c r="D87" s="1435"/>
      <c r="E87" s="1435"/>
      <c r="F87" s="1435"/>
      <c r="G87" s="1435"/>
      <c r="H87" s="1435"/>
      <c r="I87" s="1435"/>
      <c r="J87" s="1534"/>
      <c r="K87" s="1534"/>
      <c r="L87" s="1535"/>
      <c r="M87" s="1536"/>
      <c r="N87" s="1497"/>
      <c r="O87" s="1497"/>
      <c r="P87" s="1498"/>
      <c r="Q87" s="1419"/>
      <c r="R87" s="1292"/>
      <c r="S87" s="1292"/>
      <c r="T87" s="1292"/>
      <c r="U87" s="1292"/>
      <c r="V87" s="1292"/>
      <c r="W87" s="1292"/>
      <c r="X87" s="1292"/>
      <c r="Y87" s="1292"/>
      <c r="Z87" s="1292"/>
      <c r="AA87" s="1292"/>
      <c r="AB87" s="1292"/>
      <c r="AC87" s="1292"/>
      <c r="AD87" s="1292"/>
    </row>
    <row r="88" ht="14.55" spans="1:30">
      <c r="A88" s="1448"/>
      <c r="B88" s="1453"/>
      <c r="C88" s="1461"/>
      <c r="D88" s="1450"/>
      <c r="E88" s="1450"/>
      <c r="F88" s="1450"/>
      <c r="G88" s="1450"/>
      <c r="H88" s="1450"/>
      <c r="I88" s="1450"/>
      <c r="J88" s="1450"/>
      <c r="K88" s="1450"/>
      <c r="L88" s="1450"/>
      <c r="M88" s="1450"/>
      <c r="N88" s="1500"/>
      <c r="O88" s="1500"/>
      <c r="P88" s="1498"/>
      <c r="Q88" s="1419"/>
      <c r="R88" s="1292"/>
      <c r="S88" s="1292"/>
      <c r="T88" s="1292"/>
      <c r="U88" s="1292"/>
      <c r="V88" s="1292"/>
      <c r="W88" s="1292"/>
      <c r="X88" s="1292"/>
      <c r="Y88" s="1292"/>
      <c r="Z88" s="1292"/>
      <c r="AA88" s="1292"/>
      <c r="AB88" s="1292"/>
      <c r="AC88" s="1292"/>
      <c r="AD88" s="1292"/>
    </row>
    <row r="89" s="1166" customFormat="1" ht="15.15" spans="1:30">
      <c r="A89" s="1479"/>
      <c r="B89" s="1451" t="s">
        <v>1630</v>
      </c>
      <c r="C89" s="1459"/>
      <c r="D89" s="1459"/>
      <c r="E89" s="1459"/>
      <c r="F89" s="1459"/>
      <c r="G89" s="1459"/>
      <c r="H89" s="1459"/>
      <c r="I89" s="1459"/>
      <c r="J89" s="1459"/>
      <c r="K89" s="1459"/>
      <c r="L89" s="1459"/>
      <c r="M89" s="1655"/>
      <c r="N89" s="1510"/>
      <c r="O89" s="1510"/>
      <c r="P89" s="1511"/>
      <c r="Q89" s="1542"/>
      <c r="R89" s="1543"/>
      <c r="S89" s="1543"/>
      <c r="T89" s="1543"/>
      <c r="U89" s="1543"/>
      <c r="V89" s="1543"/>
      <c r="W89" s="1543"/>
      <c r="X89" s="1543"/>
      <c r="Y89" s="1543"/>
      <c r="Z89" s="1543"/>
      <c r="AA89" s="1543"/>
      <c r="AB89" s="1543"/>
      <c r="AC89" s="1543"/>
      <c r="AD89" s="1543"/>
    </row>
    <row r="90" s="1166" customFormat="1" ht="14.55" spans="1:30">
      <c r="A90" s="1458"/>
      <c r="B90" s="1453"/>
      <c r="C90" s="1461"/>
      <c r="D90" s="1450"/>
      <c r="E90" s="1450"/>
      <c r="F90" s="1450"/>
      <c r="G90" s="1450"/>
      <c r="H90" s="1450"/>
      <c r="I90" s="1450"/>
      <c r="J90" s="1450"/>
      <c r="K90" s="1450"/>
      <c r="L90" s="1450"/>
      <c r="M90" s="1499"/>
      <c r="N90" s="1510"/>
      <c r="O90" s="1510"/>
      <c r="P90" s="1511"/>
      <c r="Q90" s="1542"/>
      <c r="R90" s="1543"/>
      <c r="S90" s="1543"/>
      <c r="T90" s="1543"/>
      <c r="U90" s="1543"/>
      <c r="V90" s="1543"/>
      <c r="W90" s="1543"/>
      <c r="X90" s="1543"/>
      <c r="Y90" s="1543"/>
      <c r="Z90" s="1543"/>
      <c r="AA90" s="1543"/>
      <c r="AB90" s="1543"/>
      <c r="AC90" s="1543"/>
      <c r="AD90" s="1543"/>
    </row>
    <row r="91" ht="14.55" spans="1:30">
      <c r="A91" s="1482"/>
      <c r="B91" s="1451">
        <f>B32</f>
        <v>111</v>
      </c>
      <c r="C91" s="1223"/>
      <c r="D91" s="1223"/>
      <c r="E91" s="1223"/>
      <c r="F91" s="1223"/>
      <c r="G91" s="1459"/>
      <c r="H91" s="1460"/>
      <c r="I91" s="1460"/>
      <c r="J91" s="1460"/>
      <c r="K91" s="1460"/>
      <c r="L91" s="1508"/>
      <c r="M91" s="1509"/>
      <c r="N91" s="1497"/>
      <c r="O91" s="1497"/>
      <c r="P91" s="1498"/>
      <c r="Q91" s="1419"/>
      <c r="R91" s="1292"/>
      <c r="S91" s="1292"/>
      <c r="T91" s="1292"/>
      <c r="U91" s="1292"/>
      <c r="V91" s="1292"/>
      <c r="W91" s="1292"/>
      <c r="X91" s="1292"/>
      <c r="Y91" s="1292"/>
      <c r="Z91" s="1292"/>
      <c r="AA91" s="1292"/>
      <c r="AB91" s="1292"/>
      <c r="AC91" s="1292"/>
      <c r="AD91" s="1292"/>
    </row>
    <row r="92" ht="14.55" spans="1:30">
      <c r="A92" s="1448"/>
      <c r="B92" s="1453"/>
      <c r="C92" s="1461"/>
      <c r="D92" s="1450"/>
      <c r="E92" s="1450"/>
      <c r="F92" s="1450"/>
      <c r="G92" s="1461"/>
      <c r="H92" s="1462"/>
      <c r="I92" s="1462"/>
      <c r="J92" s="1462"/>
      <c r="K92" s="1462"/>
      <c r="L92" s="1462"/>
      <c r="M92" s="1512"/>
      <c r="N92" s="1500"/>
      <c r="O92" s="1500"/>
      <c r="P92" s="1498"/>
      <c r="Q92" s="1419"/>
      <c r="R92" s="1292"/>
      <c r="S92" s="1292"/>
      <c r="T92" s="1292"/>
      <c r="U92" s="1292"/>
      <c r="V92" s="1292"/>
      <c r="W92" s="1292"/>
      <c r="X92" s="1292"/>
      <c r="Y92" s="1292"/>
      <c r="Z92" s="1292"/>
      <c r="AA92" s="1292"/>
      <c r="AB92" s="1292"/>
      <c r="AC92" s="1292"/>
      <c r="AD92" s="1292"/>
    </row>
    <row r="93" ht="14.55" spans="1:30">
      <c r="A93" s="1482"/>
      <c r="B93" s="1451">
        <f>B33</f>
        <v>111</v>
      </c>
      <c r="C93" s="1223"/>
      <c r="D93" s="1223"/>
      <c r="E93" s="1223"/>
      <c r="F93" s="1223"/>
      <c r="G93" s="1459"/>
      <c r="H93" s="1460"/>
      <c r="I93" s="1460"/>
      <c r="J93" s="1460"/>
      <c r="K93" s="1460"/>
      <c r="L93" s="1508"/>
      <c r="M93" s="1509"/>
      <c r="N93" s="1497"/>
      <c r="O93" s="1497"/>
      <c r="P93" s="1498"/>
      <c r="Q93" s="1419"/>
      <c r="R93" s="1292"/>
      <c r="S93" s="1292"/>
      <c r="T93" s="1292"/>
      <c r="U93" s="1292"/>
      <c r="V93" s="1292"/>
      <c r="W93" s="1292"/>
      <c r="X93" s="1292"/>
      <c r="Y93" s="1292"/>
      <c r="Z93" s="1292"/>
      <c r="AA93" s="1292"/>
      <c r="AB93" s="1292"/>
      <c r="AC93" s="1292"/>
      <c r="AD93" s="1292"/>
    </row>
    <row r="94" ht="14.55" spans="1:30">
      <c r="A94" s="1448"/>
      <c r="B94" s="1453"/>
      <c r="C94" s="1461"/>
      <c r="D94" s="1450"/>
      <c r="E94" s="1450"/>
      <c r="F94" s="1450"/>
      <c r="G94" s="1461"/>
      <c r="H94" s="1462"/>
      <c r="I94" s="1462"/>
      <c r="J94" s="1462"/>
      <c r="K94" s="1462"/>
      <c r="L94" s="1462"/>
      <c r="M94" s="1512"/>
      <c r="N94" s="1500"/>
      <c r="O94" s="1500"/>
      <c r="P94" s="1498"/>
      <c r="Q94" s="1419"/>
      <c r="R94" s="1292"/>
      <c r="S94" s="1292"/>
      <c r="T94" s="1292"/>
      <c r="U94" s="1292"/>
      <c r="V94" s="1292"/>
      <c r="W94" s="1292"/>
      <c r="X94" s="1292"/>
      <c r="Y94" s="1292"/>
      <c r="Z94" s="1292"/>
      <c r="AA94" s="1292"/>
      <c r="AB94" s="1292"/>
      <c r="AC94" s="1292"/>
      <c r="AD94" s="1292"/>
    </row>
    <row r="95" ht="14.55" spans="1:30">
      <c r="A95" s="1482"/>
      <c r="B95" s="1651">
        <f>B34</f>
        <v>111</v>
      </c>
      <c r="C95" s="1223"/>
      <c r="D95" s="1223"/>
      <c r="E95" s="1223"/>
      <c r="F95" s="1223"/>
      <c r="G95" s="1459"/>
      <c r="H95" s="1460"/>
      <c r="I95" s="1460"/>
      <c r="J95" s="1460"/>
      <c r="K95" s="1460"/>
      <c r="L95" s="1508"/>
      <c r="M95" s="1509"/>
      <c r="N95" s="1500"/>
      <c r="O95" s="1500"/>
      <c r="P95" s="1659"/>
      <c r="Q95" s="1662"/>
      <c r="R95" s="1292"/>
      <c r="S95" s="1292"/>
      <c r="T95" s="1292"/>
      <c r="U95" s="1292"/>
      <c r="V95" s="1292"/>
      <c r="W95" s="1292"/>
      <c r="X95" s="1292"/>
      <c r="Y95" s="1292"/>
      <c r="Z95" s="1292"/>
      <c r="AA95" s="1292"/>
      <c r="AB95" s="1292"/>
      <c r="AC95" s="1292"/>
      <c r="AD95" s="1292"/>
    </row>
    <row r="96" ht="14.55" spans="1:30">
      <c r="A96" s="1448"/>
      <c r="B96" s="1453"/>
      <c r="C96" s="1461"/>
      <c r="D96" s="1461"/>
      <c r="E96" s="1461"/>
      <c r="F96" s="1461"/>
      <c r="G96" s="1461"/>
      <c r="H96" s="1462"/>
      <c r="I96" s="1462"/>
      <c r="J96" s="1462"/>
      <c r="K96" s="1462"/>
      <c r="L96" s="1462"/>
      <c r="M96" s="1512"/>
      <c r="N96" s="1500"/>
      <c r="O96" s="1500"/>
      <c r="P96" s="1498"/>
      <c r="Q96" s="1419"/>
      <c r="R96" s="1292"/>
      <c r="S96" s="1292"/>
      <c r="T96" s="1292"/>
      <c r="U96" s="1292"/>
      <c r="V96" s="1292"/>
      <c r="W96" s="1292"/>
      <c r="X96" s="1292"/>
      <c r="Y96" s="1292"/>
      <c r="Z96" s="1292"/>
      <c r="AA96" s="1292"/>
      <c r="AB96" s="1292"/>
      <c r="AC96" s="1292"/>
      <c r="AD96" s="1292"/>
    </row>
    <row r="97" ht="14.55" spans="14:30">
      <c r="N97" s="1292"/>
      <c r="O97" s="1292"/>
      <c r="P97" s="1292"/>
      <c r="Q97" s="1292"/>
      <c r="R97" s="1292"/>
      <c r="S97" s="1292"/>
      <c r="T97" s="1292"/>
      <c r="U97" s="1292"/>
      <c r="V97" s="1292"/>
      <c r="W97" s="1292"/>
      <c r="X97" s="1292"/>
      <c r="Y97" s="1292"/>
      <c r="Z97" s="1292"/>
      <c r="AA97" s="1292"/>
      <c r="AB97" s="1292"/>
      <c r="AC97" s="1292"/>
      <c r="AD97" s="1292"/>
    </row>
    <row r="98" spans="1:30">
      <c r="A98" s="1652"/>
      <c r="B98" s="1652"/>
      <c r="C98" s="1652"/>
      <c r="D98" s="1652"/>
      <c r="E98" s="1652"/>
      <c r="F98" s="1652"/>
      <c r="G98" s="1652"/>
      <c r="H98" s="1652"/>
      <c r="I98" s="1652"/>
      <c r="J98" s="1652"/>
      <c r="K98" s="1660"/>
      <c r="L98" s="1661"/>
      <c r="M98" s="1652"/>
      <c r="N98" s="1292"/>
      <c r="O98" s="1292"/>
      <c r="P98" s="1292"/>
      <c r="Q98" s="1292"/>
      <c r="R98" s="1292"/>
      <c r="S98" s="1292"/>
      <c r="T98" s="1292"/>
      <c r="U98" s="1292"/>
      <c r="V98" s="1292"/>
      <c r="W98" s="1292"/>
      <c r="X98" s="1292"/>
      <c r="Y98" s="1292"/>
      <c r="Z98" s="1292"/>
      <c r="AA98" s="1292"/>
      <c r="AB98" s="1292"/>
      <c r="AC98" s="1292"/>
      <c r="AD98" s="1292"/>
    </row>
    <row r="99" spans="1:30">
      <c r="A99" s="1652"/>
      <c r="B99" s="1652"/>
      <c r="C99" s="1652"/>
      <c r="D99" s="1652"/>
      <c r="E99" s="1652"/>
      <c r="F99" s="1652"/>
      <c r="G99" s="1652"/>
      <c r="H99" s="1652"/>
      <c r="I99" s="1652"/>
      <c r="J99" s="1652"/>
      <c r="K99" s="1660"/>
      <c r="L99" s="1661"/>
      <c r="M99" s="1652"/>
      <c r="N99" s="1292"/>
      <c r="O99" s="1292"/>
      <c r="P99" s="1292"/>
      <c r="Q99" s="1292"/>
      <c r="R99" s="1292"/>
      <c r="S99" s="1292"/>
      <c r="T99" s="1292"/>
      <c r="U99" s="1292"/>
      <c r="V99" s="1292"/>
      <c r="W99" s="1292"/>
      <c r="X99" s="1292"/>
      <c r="Y99" s="1292"/>
      <c r="Z99" s="1292"/>
      <c r="AA99" s="1292"/>
      <c r="AB99" s="1292"/>
      <c r="AC99" s="1292"/>
      <c r="AD99" s="1292"/>
    </row>
    <row r="100" spans="1:30">
      <c r="A100" s="1652"/>
      <c r="B100" s="1652"/>
      <c r="C100" s="1652"/>
      <c r="D100" s="1652"/>
      <c r="E100" s="1652"/>
      <c r="F100" s="1652"/>
      <c r="G100" s="1652"/>
      <c r="H100" s="1652"/>
      <c r="I100" s="1652"/>
      <c r="J100" s="1652"/>
      <c r="K100" s="1660"/>
      <c r="L100" s="1661"/>
      <c r="M100" s="1652"/>
      <c r="N100" s="1292"/>
      <c r="O100" s="1292"/>
      <c r="P100" s="1292"/>
      <c r="Q100" s="1292"/>
      <c r="R100" s="1292"/>
      <c r="S100" s="1292"/>
      <c r="T100" s="1292"/>
      <c r="U100" s="1292"/>
      <c r="V100" s="1292"/>
      <c r="W100" s="1292"/>
      <c r="X100" s="1292"/>
      <c r="Y100" s="1292"/>
      <c r="Z100" s="1292"/>
      <c r="AA100" s="1292"/>
      <c r="AB100" s="1292"/>
      <c r="AC100" s="1292"/>
      <c r="AD100" s="1292"/>
    </row>
    <row r="101" spans="1:30">
      <c r="A101" s="1652"/>
      <c r="B101" s="1652"/>
      <c r="C101" s="1652"/>
      <c r="D101" s="1652"/>
      <c r="E101" s="1652"/>
      <c r="F101" s="1652"/>
      <c r="G101" s="1652"/>
      <c r="H101" s="1652"/>
      <c r="I101" s="1652"/>
      <c r="J101" s="1652"/>
      <c r="K101" s="1660"/>
      <c r="L101" s="1661"/>
      <c r="M101" s="1652"/>
      <c r="N101" s="1292"/>
      <c r="O101" s="1292"/>
      <c r="P101" s="1292"/>
      <c r="Q101" s="1292"/>
      <c r="R101" s="1292"/>
      <c r="S101" s="1292"/>
      <c r="T101" s="1292"/>
      <c r="U101" s="1292"/>
      <c r="V101" s="1292"/>
      <c r="W101" s="1292"/>
      <c r="X101" s="1292"/>
      <c r="Y101" s="1292"/>
      <c r="Z101" s="1292"/>
      <c r="AA101" s="1292"/>
      <c r="AB101" s="1292"/>
      <c r="AC101" s="1292"/>
      <c r="AD101" s="1292"/>
    </row>
    <row r="102" spans="1:30">
      <c r="A102" s="1652"/>
      <c r="B102" s="1652"/>
      <c r="C102" s="1652"/>
      <c r="D102" s="1652"/>
      <c r="E102" s="1652"/>
      <c r="F102" s="1652"/>
      <c r="G102" s="1652"/>
      <c r="H102" s="1652"/>
      <c r="I102" s="1652"/>
      <c r="J102" s="1652"/>
      <c r="K102" s="1660"/>
      <c r="L102" s="1661"/>
      <c r="M102" s="1652"/>
      <c r="N102" s="1292"/>
      <c r="O102" s="1292"/>
      <c r="P102" s="1292"/>
      <c r="Q102" s="1292"/>
      <c r="R102" s="1292"/>
      <c r="S102" s="1292"/>
      <c r="T102" s="1292"/>
      <c r="U102" s="1292"/>
      <c r="V102" s="1292"/>
      <c r="W102" s="1292"/>
      <c r="X102" s="1292"/>
      <c r="Y102" s="1292"/>
      <c r="Z102" s="1292"/>
      <c r="AA102" s="1292"/>
      <c r="AB102" s="1292"/>
      <c r="AC102" s="1292"/>
      <c r="AD102" s="1292"/>
    </row>
    <row r="103" spans="1:30">
      <c r="A103" s="1652"/>
      <c r="B103" s="1652"/>
      <c r="C103" s="1652"/>
      <c r="D103" s="1652"/>
      <c r="E103" s="1652"/>
      <c r="F103" s="1652"/>
      <c r="G103" s="1652"/>
      <c r="H103" s="1652"/>
      <c r="I103" s="1652"/>
      <c r="J103" s="1652"/>
      <c r="K103" s="1660"/>
      <c r="L103" s="1661"/>
      <c r="M103" s="1652"/>
      <c r="N103" s="1652"/>
      <c r="O103" s="1652"/>
      <c r="P103" s="1292"/>
      <c r="Q103" s="1292"/>
      <c r="R103" s="1292"/>
      <c r="S103" s="1292"/>
      <c r="T103" s="1292"/>
      <c r="U103" s="1292"/>
      <c r="V103" s="1292"/>
      <c r="W103" s="1292"/>
      <c r="X103" s="1292"/>
      <c r="Y103" s="1292"/>
      <c r="Z103" s="1292"/>
      <c r="AA103" s="1292"/>
      <c r="AB103" s="1292"/>
      <c r="AC103" s="1292"/>
      <c r="AD103" s="1292"/>
    </row>
    <row r="104" spans="1:20">
      <c r="A104" s="1652"/>
      <c r="B104" s="1652"/>
      <c r="C104" s="1652"/>
      <c r="D104" s="1652"/>
      <c r="E104" s="1652"/>
      <c r="F104" s="1652"/>
      <c r="G104" s="1652"/>
      <c r="H104" s="1652"/>
      <c r="I104" s="1652"/>
      <c r="J104" s="1652"/>
      <c r="K104" s="1660"/>
      <c r="L104" s="1661"/>
      <c r="M104" s="1652"/>
      <c r="N104" s="1652"/>
      <c r="O104" s="1652"/>
      <c r="P104" s="1652"/>
      <c r="Q104" s="1652"/>
      <c r="R104" s="1652"/>
      <c r="S104" s="1652"/>
      <c r="T104" s="1652"/>
    </row>
    <row r="105" spans="1:20">
      <c r="A105" s="1652"/>
      <c r="B105" s="1652"/>
      <c r="C105" s="1652"/>
      <c r="D105" s="1652"/>
      <c r="E105" s="1652"/>
      <c r="F105" s="1652"/>
      <c r="G105" s="1652"/>
      <c r="H105" s="1652"/>
      <c r="I105" s="1652"/>
      <c r="J105" s="1652"/>
      <c r="K105" s="1660"/>
      <c r="L105" s="1661"/>
      <c r="M105" s="1652"/>
      <c r="N105" s="1652"/>
      <c r="O105" s="1652"/>
      <c r="P105" s="1652"/>
      <c r="Q105" s="1652"/>
      <c r="R105" s="1652"/>
      <c r="S105" s="1652"/>
      <c r="T105" s="1652"/>
    </row>
    <row r="106" spans="1:20">
      <c r="A106" s="1652"/>
      <c r="B106" s="1652"/>
      <c r="C106" s="1652"/>
      <c r="D106" s="1652"/>
      <c r="E106" s="1652"/>
      <c r="F106" s="1652"/>
      <c r="G106" s="1652"/>
      <c r="H106" s="1652"/>
      <c r="I106" s="1652"/>
      <c r="J106" s="1652"/>
      <c r="K106" s="1660"/>
      <c r="L106" s="1661"/>
      <c r="M106" s="1652"/>
      <c r="N106" s="1652"/>
      <c r="O106" s="1652"/>
      <c r="P106" s="1652"/>
      <c r="Q106" s="1652"/>
      <c r="R106" s="1652"/>
      <c r="S106" s="1652"/>
      <c r="T106" s="1652"/>
    </row>
    <row r="107" spans="1:20">
      <c r="A107" s="1652"/>
      <c r="B107" s="1652"/>
      <c r="C107" s="1652"/>
      <c r="D107" s="1652"/>
      <c r="E107" s="1652"/>
      <c r="F107" s="1652"/>
      <c r="G107" s="1652"/>
      <c r="H107" s="1652"/>
      <c r="I107" s="1652"/>
      <c r="J107" s="1652"/>
      <c r="K107" s="1660"/>
      <c r="L107" s="1661"/>
      <c r="M107" s="1652"/>
      <c r="N107" s="1652"/>
      <c r="O107" s="1652"/>
      <c r="P107" s="1652"/>
      <c r="Q107" s="1652"/>
      <c r="R107" s="1652"/>
      <c r="S107" s="1652"/>
      <c r="T107" s="1652"/>
    </row>
    <row r="108" spans="1:20">
      <c r="A108" s="1652"/>
      <c r="B108" s="1652"/>
      <c r="C108" s="1652"/>
      <c r="D108" s="1652"/>
      <c r="E108" s="1652"/>
      <c r="F108" s="1652"/>
      <c r="G108" s="1652"/>
      <c r="H108" s="1652"/>
      <c r="I108" s="1652"/>
      <c r="J108" s="1652"/>
      <c r="K108" s="1660"/>
      <c r="L108" s="1661"/>
      <c r="M108" s="1652"/>
      <c r="N108" s="1652"/>
      <c r="O108" s="1652"/>
      <c r="P108" s="1652"/>
      <c r="Q108" s="1652"/>
      <c r="R108" s="1652"/>
      <c r="S108" s="1652"/>
      <c r="T108" s="1652"/>
    </row>
    <row r="109" spans="1:20">
      <c r="A109" s="1652"/>
      <c r="B109" s="1652"/>
      <c r="C109" s="1652"/>
      <c r="D109" s="1652"/>
      <c r="E109" s="1652"/>
      <c r="F109" s="1652"/>
      <c r="G109" s="1652"/>
      <c r="H109" s="1652"/>
      <c r="I109" s="1652"/>
      <c r="J109" s="1652"/>
      <c r="K109" s="1660"/>
      <c r="L109" s="1661"/>
      <c r="M109" s="1652"/>
      <c r="N109" s="1652"/>
      <c r="O109" s="1652"/>
      <c r="P109" s="1652"/>
      <c r="Q109" s="1652"/>
      <c r="R109" s="1652"/>
      <c r="S109" s="1652"/>
      <c r="T109" s="1652"/>
    </row>
    <row r="110" spans="1:20">
      <c r="A110" s="1652"/>
      <c r="B110" s="1652"/>
      <c r="C110" s="1652"/>
      <c r="D110" s="1652"/>
      <c r="E110" s="1652"/>
      <c r="F110" s="1652"/>
      <c r="G110" s="1652"/>
      <c r="H110" s="1652"/>
      <c r="I110" s="1652"/>
      <c r="J110" s="1652"/>
      <c r="K110" s="1660"/>
      <c r="L110" s="1661"/>
      <c r="M110" s="1652"/>
      <c r="N110" s="1652"/>
      <c r="O110" s="1652"/>
      <c r="P110" s="1652"/>
      <c r="Q110" s="1652"/>
      <c r="R110" s="1652"/>
      <c r="S110" s="1652"/>
      <c r="T110" s="1652"/>
    </row>
    <row r="111" spans="1:20">
      <c r="A111" s="1652"/>
      <c r="B111" s="1652"/>
      <c r="C111" s="1652"/>
      <c r="D111" s="1652"/>
      <c r="E111" s="1652"/>
      <c r="F111" s="1652"/>
      <c r="G111" s="1652"/>
      <c r="H111" s="1652"/>
      <c r="I111" s="1652"/>
      <c r="J111" s="1652"/>
      <c r="K111" s="1660"/>
      <c r="L111" s="1661"/>
      <c r="M111" s="1652"/>
      <c r="N111" s="1652"/>
      <c r="O111" s="1652"/>
      <c r="P111" s="1652"/>
      <c r="Q111" s="1652"/>
      <c r="R111" s="1652"/>
      <c r="S111" s="1652"/>
      <c r="T111" s="1652"/>
    </row>
    <row r="112" spans="1:20">
      <c r="A112" s="1652"/>
      <c r="B112" s="1652"/>
      <c r="C112" s="1652"/>
      <c r="D112" s="1652"/>
      <c r="E112" s="1652"/>
      <c r="F112" s="1652"/>
      <c r="G112" s="1652"/>
      <c r="H112" s="1652"/>
      <c r="I112" s="1652"/>
      <c r="J112" s="1652"/>
      <c r="K112" s="1660"/>
      <c r="L112" s="1661"/>
      <c r="M112" s="1652"/>
      <c r="N112" s="1652"/>
      <c r="O112" s="1652"/>
      <c r="P112" s="1652"/>
      <c r="Q112" s="1652"/>
      <c r="R112" s="1652"/>
      <c r="S112" s="1652"/>
      <c r="T112" s="1652"/>
    </row>
    <row r="113" spans="1:20">
      <c r="A113" s="1652"/>
      <c r="B113" s="1652"/>
      <c r="C113" s="1652"/>
      <c r="D113" s="1652"/>
      <c r="E113" s="1652"/>
      <c r="F113" s="1652"/>
      <c r="G113" s="1652"/>
      <c r="H113" s="1652"/>
      <c r="I113" s="1652"/>
      <c r="J113" s="1652"/>
      <c r="K113" s="1660"/>
      <c r="L113" s="1661"/>
      <c r="M113" s="1652"/>
      <c r="N113" s="1652"/>
      <c r="O113" s="1652"/>
      <c r="P113" s="1652"/>
      <c r="Q113" s="1652"/>
      <c r="R113" s="1652"/>
      <c r="S113" s="1652"/>
      <c r="T113" s="1652"/>
    </row>
    <row r="114" spans="1:20">
      <c r="A114" s="1652"/>
      <c r="B114" s="1652"/>
      <c r="C114" s="1652"/>
      <c r="D114" s="1652"/>
      <c r="E114" s="1652"/>
      <c r="F114" s="1652"/>
      <c r="G114" s="1652"/>
      <c r="H114" s="1652"/>
      <c r="I114" s="1652"/>
      <c r="J114" s="1652"/>
      <c r="K114" s="1660"/>
      <c r="L114" s="1661"/>
      <c r="M114" s="1652"/>
      <c r="N114" s="1652"/>
      <c r="O114" s="1652"/>
      <c r="P114" s="1652"/>
      <c r="Q114" s="1652"/>
      <c r="R114" s="1652"/>
      <c r="S114" s="1652"/>
      <c r="T114" s="1652"/>
    </row>
    <row r="115" spans="1:20">
      <c r="A115" s="1652"/>
      <c r="B115" s="1652"/>
      <c r="C115" s="1652"/>
      <c r="D115" s="1652"/>
      <c r="E115" s="1652"/>
      <c r="F115" s="1652"/>
      <c r="G115" s="1652"/>
      <c r="H115" s="1652"/>
      <c r="I115" s="1652"/>
      <c r="J115" s="1652"/>
      <c r="K115" s="1660"/>
      <c r="L115" s="1661"/>
      <c r="M115" s="1652"/>
      <c r="N115" s="1652"/>
      <c r="O115" s="1652"/>
      <c r="P115" s="1652"/>
      <c r="Q115" s="1652"/>
      <c r="R115" s="1652"/>
      <c r="S115" s="1652"/>
      <c r="T115" s="1652"/>
    </row>
    <row r="116" spans="1:20">
      <c r="A116" s="1652"/>
      <c r="B116" s="1652"/>
      <c r="C116" s="1652"/>
      <c r="D116" s="1652"/>
      <c r="E116" s="1652"/>
      <c r="F116" s="1652"/>
      <c r="G116" s="1652"/>
      <c r="H116" s="1652"/>
      <c r="I116" s="1652"/>
      <c r="J116" s="1652"/>
      <c r="K116" s="1660"/>
      <c r="L116" s="1661"/>
      <c r="M116" s="1652"/>
      <c r="N116" s="1652"/>
      <c r="O116" s="1652"/>
      <c r="P116" s="1652"/>
      <c r="Q116" s="1652"/>
      <c r="R116" s="1652"/>
      <c r="S116" s="1652"/>
      <c r="T116" s="1652"/>
    </row>
    <row r="117" spans="1:20">
      <c r="A117" s="1652"/>
      <c r="B117" s="1652"/>
      <c r="C117" s="1652"/>
      <c r="D117" s="1652"/>
      <c r="E117" s="1652"/>
      <c r="F117" s="1652"/>
      <c r="G117" s="1652"/>
      <c r="H117" s="1652"/>
      <c r="I117" s="1652"/>
      <c r="J117" s="1652"/>
      <c r="K117" s="1660"/>
      <c r="L117" s="1661"/>
      <c r="M117" s="1652"/>
      <c r="N117" s="1652"/>
      <c r="O117" s="1652"/>
      <c r="P117" s="1652"/>
      <c r="Q117" s="1652"/>
      <c r="R117" s="1652"/>
      <c r="S117" s="1652"/>
      <c r="T117" s="1652"/>
    </row>
    <row r="118" spans="1:20">
      <c r="A118" s="1652"/>
      <c r="B118" s="1652"/>
      <c r="C118" s="1652"/>
      <c r="D118" s="1652"/>
      <c r="E118" s="1652"/>
      <c r="F118" s="1652"/>
      <c r="G118" s="1652"/>
      <c r="H118" s="1652"/>
      <c r="I118" s="1652"/>
      <c r="J118" s="1652"/>
      <c r="K118" s="1660"/>
      <c r="L118" s="1661"/>
      <c r="M118" s="1652"/>
      <c r="N118" s="1652"/>
      <c r="O118" s="1652"/>
      <c r="P118" s="1652"/>
      <c r="Q118" s="1652"/>
      <c r="R118" s="1652"/>
      <c r="S118" s="1652"/>
      <c r="T118" s="1652"/>
    </row>
    <row r="119" spans="1:20">
      <c r="A119" s="1652"/>
      <c r="B119" s="1652"/>
      <c r="C119" s="1652"/>
      <c r="D119" s="1652"/>
      <c r="E119" s="1652"/>
      <c r="F119" s="1652"/>
      <c r="G119" s="1652"/>
      <c r="H119" s="1652"/>
      <c r="I119" s="1652"/>
      <c r="J119" s="1652"/>
      <c r="K119" s="1660"/>
      <c r="L119" s="1661"/>
      <c r="M119" s="1652"/>
      <c r="N119" s="1652"/>
      <c r="O119" s="1652"/>
      <c r="P119" s="1652"/>
      <c r="Q119" s="1652"/>
      <c r="R119" s="1652"/>
      <c r="S119" s="1652"/>
      <c r="T119" s="1652"/>
    </row>
    <row r="120" spans="1:20">
      <c r="A120" s="1652"/>
      <c r="B120" s="1652"/>
      <c r="C120" s="1652"/>
      <c r="D120" s="1652"/>
      <c r="E120" s="1652"/>
      <c r="F120" s="1652"/>
      <c r="G120" s="1652"/>
      <c r="H120" s="1652"/>
      <c r="I120" s="1652"/>
      <c r="J120" s="1652"/>
      <c r="K120" s="1660"/>
      <c r="L120" s="1661"/>
      <c r="M120" s="1652"/>
      <c r="N120" s="1652"/>
      <c r="O120" s="1652"/>
      <c r="P120" s="1652"/>
      <c r="Q120" s="1652"/>
      <c r="R120" s="1652"/>
      <c r="S120" s="1652"/>
      <c r="T120" s="1652"/>
    </row>
    <row r="121" spans="1:20">
      <c r="A121" s="1652"/>
      <c r="B121" s="1652"/>
      <c r="C121" s="1652"/>
      <c r="D121" s="1652"/>
      <c r="E121" s="1652"/>
      <c r="F121" s="1652"/>
      <c r="G121" s="1652"/>
      <c r="H121" s="1652"/>
      <c r="I121" s="1652"/>
      <c r="J121" s="1652"/>
      <c r="K121" s="1660"/>
      <c r="L121" s="1661"/>
      <c r="M121" s="1652"/>
      <c r="N121" s="1652"/>
      <c r="O121" s="1652"/>
      <c r="P121" s="1652"/>
      <c r="Q121" s="1652"/>
      <c r="R121" s="1652"/>
      <c r="S121" s="1652"/>
      <c r="T121" s="1652"/>
    </row>
    <row r="122" spans="1:20">
      <c r="A122" s="1652"/>
      <c r="B122" s="1652"/>
      <c r="C122" s="1652"/>
      <c r="D122" s="1652"/>
      <c r="E122" s="1652"/>
      <c r="F122" s="1652"/>
      <c r="G122" s="1652"/>
      <c r="H122" s="1652"/>
      <c r="I122" s="1652"/>
      <c r="J122" s="1652"/>
      <c r="K122" s="1660"/>
      <c r="L122" s="1661"/>
      <c r="M122" s="1652"/>
      <c r="N122" s="1652"/>
      <c r="O122" s="1652"/>
      <c r="P122" s="1652"/>
      <c r="Q122" s="1652"/>
      <c r="R122" s="1652"/>
      <c r="S122" s="1652"/>
      <c r="T122" s="1652"/>
    </row>
    <row r="123" spans="1:20">
      <c r="A123" s="1652"/>
      <c r="B123" s="1652"/>
      <c r="C123" s="1652"/>
      <c r="D123" s="1652"/>
      <c r="E123" s="1652"/>
      <c r="F123" s="1652"/>
      <c r="G123" s="1652"/>
      <c r="H123" s="1652"/>
      <c r="I123" s="1652"/>
      <c r="J123" s="1652"/>
      <c r="K123" s="1660"/>
      <c r="L123" s="1661"/>
      <c r="M123" s="1652"/>
      <c r="N123" s="1652"/>
      <c r="O123" s="1652"/>
      <c r="P123" s="1652"/>
      <c r="Q123" s="1652"/>
      <c r="R123" s="1652"/>
      <c r="S123" s="1652"/>
      <c r="T123" s="1652"/>
    </row>
    <row r="124" spans="1:20">
      <c r="A124" s="1652"/>
      <c r="B124" s="1652"/>
      <c r="C124" s="1652"/>
      <c r="D124" s="1652"/>
      <c r="E124" s="1652"/>
      <c r="F124" s="1652"/>
      <c r="G124" s="1652"/>
      <c r="H124" s="1652"/>
      <c r="I124" s="1652"/>
      <c r="J124" s="1652"/>
      <c r="K124" s="1660"/>
      <c r="L124" s="1661"/>
      <c r="M124" s="1652"/>
      <c r="N124" s="1652"/>
      <c r="O124" s="1652"/>
      <c r="P124" s="1652"/>
      <c r="Q124" s="1652"/>
      <c r="R124" s="1652"/>
      <c r="S124" s="1652"/>
      <c r="T124" s="1652"/>
    </row>
    <row r="125" spans="1:20">
      <c r="A125" s="1652"/>
      <c r="B125" s="1652"/>
      <c r="C125" s="1652"/>
      <c r="D125" s="1652"/>
      <c r="E125" s="1652"/>
      <c r="F125" s="1652"/>
      <c r="G125" s="1652"/>
      <c r="H125" s="1652"/>
      <c r="I125" s="1652"/>
      <c r="J125" s="1652"/>
      <c r="K125" s="1660"/>
      <c r="L125" s="1661"/>
      <c r="M125" s="1652"/>
      <c r="N125" s="1652"/>
      <c r="O125" s="1652"/>
      <c r="P125" s="1652"/>
      <c r="Q125" s="1652"/>
      <c r="R125" s="1652"/>
      <c r="S125" s="1652"/>
      <c r="T125" s="1652"/>
    </row>
    <row r="126" spans="1:20">
      <c r="A126" s="1652"/>
      <c r="B126" s="1652"/>
      <c r="C126" s="1652"/>
      <c r="D126" s="1652"/>
      <c r="E126" s="1652"/>
      <c r="F126" s="1652"/>
      <c r="G126" s="1652"/>
      <c r="H126" s="1652"/>
      <c r="I126" s="1652"/>
      <c r="J126" s="1652"/>
      <c r="K126" s="1660"/>
      <c r="L126" s="1661"/>
      <c r="M126" s="1652"/>
      <c r="N126" s="1652"/>
      <c r="O126" s="1652"/>
      <c r="P126" s="1652"/>
      <c r="Q126" s="1652"/>
      <c r="R126" s="1652"/>
      <c r="S126" s="1652"/>
      <c r="T126" s="1652"/>
    </row>
    <row r="127" spans="1:20">
      <c r="A127" s="1652"/>
      <c r="B127" s="1652"/>
      <c r="C127" s="1652"/>
      <c r="D127" s="1652"/>
      <c r="E127" s="1652"/>
      <c r="F127" s="1652"/>
      <c r="G127" s="1652"/>
      <c r="H127" s="1652"/>
      <c r="I127" s="1652"/>
      <c r="J127" s="1652"/>
      <c r="K127" s="1660"/>
      <c r="L127" s="1661"/>
      <c r="M127" s="1652"/>
      <c r="N127" s="1652"/>
      <c r="O127" s="1652"/>
      <c r="P127" s="1652"/>
      <c r="Q127" s="1652"/>
      <c r="R127" s="1652"/>
      <c r="S127" s="1652"/>
      <c r="T127" s="1652"/>
    </row>
    <row r="128" spans="1:20">
      <c r="A128" s="1652"/>
      <c r="B128" s="1652"/>
      <c r="C128" s="1652"/>
      <c r="D128" s="1652"/>
      <c r="E128" s="1652"/>
      <c r="F128" s="1652"/>
      <c r="G128" s="1652"/>
      <c r="H128" s="1652"/>
      <c r="I128" s="1652"/>
      <c r="J128" s="1652"/>
      <c r="K128" s="1660"/>
      <c r="L128" s="1661"/>
      <c r="M128" s="1652"/>
      <c r="N128" s="1652"/>
      <c r="O128" s="1652"/>
      <c r="P128" s="1652"/>
      <c r="Q128" s="1652"/>
      <c r="R128" s="1652"/>
      <c r="S128" s="1652"/>
      <c r="T128" s="1652"/>
    </row>
    <row r="129" spans="1:20">
      <c r="A129" s="1652"/>
      <c r="B129" s="1652"/>
      <c r="C129" s="1652"/>
      <c r="D129" s="1652"/>
      <c r="E129" s="1652"/>
      <c r="F129" s="1652"/>
      <c r="G129" s="1652"/>
      <c r="H129" s="1652"/>
      <c r="I129" s="1652"/>
      <c r="J129" s="1652"/>
      <c r="K129" s="1660"/>
      <c r="L129" s="1661"/>
      <c r="M129" s="1652"/>
      <c r="N129" s="1652"/>
      <c r="O129" s="1652"/>
      <c r="P129" s="1652"/>
      <c r="Q129" s="1652"/>
      <c r="R129" s="1652"/>
      <c r="S129" s="1652"/>
      <c r="T129" s="1652"/>
    </row>
    <row r="130" spans="1:20">
      <c r="A130" s="1652"/>
      <c r="B130" s="1652"/>
      <c r="C130" s="1652"/>
      <c r="D130" s="1652"/>
      <c r="E130" s="1652"/>
      <c r="F130" s="1652"/>
      <c r="G130" s="1652"/>
      <c r="H130" s="1652"/>
      <c r="I130" s="1652"/>
      <c r="J130" s="1652"/>
      <c r="K130" s="1660"/>
      <c r="L130" s="1661"/>
      <c r="M130" s="1652"/>
      <c r="N130" s="1652"/>
      <c r="O130" s="1652"/>
      <c r="P130" s="1652"/>
      <c r="Q130" s="1652"/>
      <c r="R130" s="1652"/>
      <c r="S130" s="1652"/>
      <c r="T130" s="1652"/>
    </row>
    <row r="131" spans="1:20">
      <c r="A131" s="1652"/>
      <c r="B131" s="1652"/>
      <c r="C131" s="1652"/>
      <c r="D131" s="1652"/>
      <c r="E131" s="1652"/>
      <c r="F131" s="1652"/>
      <c r="G131" s="1652"/>
      <c r="H131" s="1652"/>
      <c r="I131" s="1652"/>
      <c r="J131" s="1652"/>
      <c r="K131" s="1660"/>
      <c r="L131" s="1661"/>
      <c r="M131" s="1652"/>
      <c r="N131" s="1652"/>
      <c r="O131" s="1652"/>
      <c r="P131" s="1652"/>
      <c r="Q131" s="1652"/>
      <c r="R131" s="1652"/>
      <c r="S131" s="1652"/>
      <c r="T131" s="1652"/>
    </row>
    <row r="132" spans="1:20">
      <c r="A132" s="1652"/>
      <c r="B132" s="1652"/>
      <c r="C132" s="1652"/>
      <c r="D132" s="1652"/>
      <c r="E132" s="1652"/>
      <c r="F132" s="1652"/>
      <c r="G132" s="1652"/>
      <c r="H132" s="1652"/>
      <c r="I132" s="1652"/>
      <c r="J132" s="1652"/>
      <c r="K132" s="1660"/>
      <c r="L132" s="1661"/>
      <c r="M132" s="1652"/>
      <c r="N132" s="1652"/>
      <c r="O132" s="1652"/>
      <c r="P132" s="1652"/>
      <c r="Q132" s="1652"/>
      <c r="R132" s="1652"/>
      <c r="S132" s="1652"/>
      <c r="T132" s="1652"/>
    </row>
    <row r="133" spans="1:20">
      <c r="A133" s="1652"/>
      <c r="B133" s="1652"/>
      <c r="C133" s="1652"/>
      <c r="D133" s="1652"/>
      <c r="E133" s="1652"/>
      <c r="F133" s="1652"/>
      <c r="G133" s="1652"/>
      <c r="H133" s="1652"/>
      <c r="I133" s="1652"/>
      <c r="J133" s="1652"/>
      <c r="K133" s="1660"/>
      <c r="L133" s="1661"/>
      <c r="M133" s="1652"/>
      <c r="N133" s="1652"/>
      <c r="O133" s="1652"/>
      <c r="P133" s="1652"/>
      <c r="Q133" s="1652"/>
      <c r="R133" s="1652"/>
      <c r="S133" s="1652"/>
      <c r="T133" s="1652"/>
    </row>
    <row r="134" spans="1:20">
      <c r="A134" s="1652"/>
      <c r="B134" s="1652"/>
      <c r="C134" s="1652"/>
      <c r="D134" s="1652"/>
      <c r="E134" s="1652"/>
      <c r="F134" s="1652"/>
      <c r="G134" s="1652"/>
      <c r="H134" s="1652"/>
      <c r="I134" s="1652"/>
      <c r="J134" s="1652"/>
      <c r="K134" s="1660"/>
      <c r="L134" s="1661"/>
      <c r="M134" s="1652"/>
      <c r="N134" s="1652"/>
      <c r="O134" s="1652"/>
      <c r="P134" s="1652"/>
      <c r="Q134" s="1652"/>
      <c r="R134" s="1652"/>
      <c r="S134" s="1652"/>
      <c r="T134" s="1652"/>
    </row>
    <row r="135" spans="1:20">
      <c r="A135" s="1652"/>
      <c r="B135" s="1652"/>
      <c r="C135" s="1652"/>
      <c r="D135" s="1652"/>
      <c r="E135" s="1652"/>
      <c r="F135" s="1652"/>
      <c r="G135" s="1652"/>
      <c r="H135" s="1652"/>
      <c r="I135" s="1652"/>
      <c r="J135" s="1652"/>
      <c r="K135" s="1660"/>
      <c r="L135" s="1661"/>
      <c r="M135" s="1652"/>
      <c r="N135" s="1652"/>
      <c r="O135" s="1652"/>
      <c r="P135" s="1652"/>
      <c r="Q135" s="1652"/>
      <c r="R135" s="1652"/>
      <c r="S135" s="1652"/>
      <c r="T135" s="1652"/>
    </row>
    <row r="136" spans="1:20">
      <c r="A136" s="1652"/>
      <c r="B136" s="1652"/>
      <c r="C136" s="1652"/>
      <c r="D136" s="1652"/>
      <c r="E136" s="1652"/>
      <c r="F136" s="1652"/>
      <c r="G136" s="1652"/>
      <c r="H136" s="1652"/>
      <c r="I136" s="1652"/>
      <c r="J136" s="1652"/>
      <c r="K136" s="1660"/>
      <c r="L136" s="1661"/>
      <c r="M136" s="1652"/>
      <c r="N136" s="1652"/>
      <c r="O136" s="1652"/>
      <c r="P136" s="1652"/>
      <c r="Q136" s="1652"/>
      <c r="R136" s="1652"/>
      <c r="S136" s="1652"/>
      <c r="T136" s="1652"/>
    </row>
    <row r="137" spans="1:20">
      <c r="A137" s="1652"/>
      <c r="B137" s="1652"/>
      <c r="C137" s="1652"/>
      <c r="D137" s="1652"/>
      <c r="E137" s="1652"/>
      <c r="F137" s="1652"/>
      <c r="G137" s="1652"/>
      <c r="H137" s="1652"/>
      <c r="I137" s="1652"/>
      <c r="J137" s="1652"/>
      <c r="K137" s="1660"/>
      <c r="L137" s="1661"/>
      <c r="M137" s="1652"/>
      <c r="N137" s="1652"/>
      <c r="O137" s="1652"/>
      <c r="P137" s="1652"/>
      <c r="Q137" s="1652"/>
      <c r="R137" s="1652"/>
      <c r="S137" s="1652"/>
      <c r="T137" s="1652"/>
    </row>
    <row r="138" spans="1:20">
      <c r="A138" s="1652"/>
      <c r="B138" s="1652"/>
      <c r="C138" s="1652"/>
      <c r="D138" s="1652"/>
      <c r="E138" s="1652"/>
      <c r="F138" s="1652"/>
      <c r="G138" s="1652"/>
      <c r="H138" s="1652"/>
      <c r="I138" s="1652"/>
      <c r="J138" s="1652"/>
      <c r="K138" s="1660"/>
      <c r="L138" s="1661"/>
      <c r="M138" s="1652"/>
      <c r="N138" s="1652"/>
      <c r="O138" s="1652"/>
      <c r="P138" s="1652"/>
      <c r="Q138" s="1652"/>
      <c r="R138" s="1652"/>
      <c r="S138" s="1652"/>
      <c r="T138" s="1652"/>
    </row>
    <row r="139" spans="1:20">
      <c r="A139" s="1652"/>
      <c r="B139" s="1652"/>
      <c r="C139" s="1652"/>
      <c r="D139" s="1652"/>
      <c r="E139" s="1652"/>
      <c r="F139" s="1652"/>
      <c r="G139" s="1652"/>
      <c r="H139" s="1652"/>
      <c r="I139" s="1652"/>
      <c r="J139" s="1652"/>
      <c r="K139" s="1660"/>
      <c r="L139" s="1661"/>
      <c r="M139" s="1652"/>
      <c r="N139" s="1652"/>
      <c r="O139" s="1652"/>
      <c r="P139" s="1652"/>
      <c r="Q139" s="1652"/>
      <c r="R139" s="1652"/>
      <c r="S139" s="1652"/>
      <c r="T139" s="1652"/>
    </row>
    <row r="140" spans="1:20">
      <c r="A140" s="1652"/>
      <c r="B140" s="1652"/>
      <c r="C140" s="1652"/>
      <c r="D140" s="1652"/>
      <c r="E140" s="1652"/>
      <c r="F140" s="1652"/>
      <c r="G140" s="1652"/>
      <c r="H140" s="1652"/>
      <c r="I140" s="1652"/>
      <c r="J140" s="1652"/>
      <c r="K140" s="1660"/>
      <c r="L140" s="1661"/>
      <c r="M140" s="1652"/>
      <c r="N140" s="1652"/>
      <c r="O140" s="1652"/>
      <c r="P140" s="1652"/>
      <c r="Q140" s="1652"/>
      <c r="R140" s="1652"/>
      <c r="S140" s="1652"/>
      <c r="T140" s="1652"/>
    </row>
    <row r="141" spans="1:20">
      <c r="A141" s="1652"/>
      <c r="B141" s="1652"/>
      <c r="C141" s="1652"/>
      <c r="D141" s="1652"/>
      <c r="E141" s="1652"/>
      <c r="F141" s="1652"/>
      <c r="G141" s="1652"/>
      <c r="H141" s="1652"/>
      <c r="I141" s="1652"/>
      <c r="J141" s="1652"/>
      <c r="K141" s="1660"/>
      <c r="L141" s="1661"/>
      <c r="M141" s="1652"/>
      <c r="N141" s="1652"/>
      <c r="O141" s="1652"/>
      <c r="P141" s="1652"/>
      <c r="Q141" s="1652"/>
      <c r="R141" s="1652"/>
      <c r="S141" s="1652"/>
      <c r="T141" s="1652"/>
    </row>
    <row r="142" spans="1:20">
      <c r="A142" s="1652"/>
      <c r="B142" s="1652"/>
      <c r="C142" s="1652"/>
      <c r="D142" s="1652"/>
      <c r="E142" s="1652"/>
      <c r="F142" s="1652"/>
      <c r="G142" s="1652"/>
      <c r="H142" s="1652"/>
      <c r="I142" s="1652"/>
      <c r="J142" s="1652"/>
      <c r="K142" s="1660"/>
      <c r="L142" s="1661"/>
      <c r="M142" s="1652"/>
      <c r="N142" s="1652"/>
      <c r="O142" s="1652"/>
      <c r="P142" s="1652"/>
      <c r="Q142" s="1652"/>
      <c r="R142" s="1652"/>
      <c r="S142" s="1652"/>
      <c r="T142" s="1652"/>
    </row>
    <row r="143" spans="1:20">
      <c r="A143" s="1652"/>
      <c r="B143" s="1652"/>
      <c r="C143" s="1652"/>
      <c r="D143" s="1652"/>
      <c r="E143" s="1652"/>
      <c r="F143" s="1652"/>
      <c r="G143" s="1652"/>
      <c r="H143" s="1652"/>
      <c r="I143" s="1652"/>
      <c r="J143" s="1652"/>
      <c r="K143" s="1660"/>
      <c r="L143" s="1661"/>
      <c r="M143" s="1652"/>
      <c r="N143" s="1652"/>
      <c r="O143" s="1652"/>
      <c r="P143" s="1652"/>
      <c r="Q143" s="1652"/>
      <c r="R143" s="1652"/>
      <c r="S143" s="1652"/>
      <c r="T143" s="1652"/>
    </row>
    <row r="144" spans="1:20">
      <c r="A144" s="1652"/>
      <c r="B144" s="1652"/>
      <c r="C144" s="1652"/>
      <c r="D144" s="1652"/>
      <c r="E144" s="1652"/>
      <c r="F144" s="1652"/>
      <c r="G144" s="1652"/>
      <c r="H144" s="1652"/>
      <c r="I144" s="1652"/>
      <c r="J144" s="1652"/>
      <c r="K144" s="1660"/>
      <c r="L144" s="1661"/>
      <c r="M144" s="1652"/>
      <c r="N144" s="1652"/>
      <c r="O144" s="1652"/>
      <c r="P144" s="1652"/>
      <c r="Q144" s="1652"/>
      <c r="R144" s="1652"/>
      <c r="S144" s="1652"/>
      <c r="T144" s="1652"/>
    </row>
    <row r="145" spans="1:20">
      <c r="A145" s="1652"/>
      <c r="B145" s="1652"/>
      <c r="C145" s="1652"/>
      <c r="D145" s="1652"/>
      <c r="E145" s="1652"/>
      <c r="F145" s="1652"/>
      <c r="G145" s="1652"/>
      <c r="H145" s="1652"/>
      <c r="I145" s="1652"/>
      <c r="J145" s="1652"/>
      <c r="K145" s="1660"/>
      <c r="L145" s="1661"/>
      <c r="M145" s="1652"/>
      <c r="N145" s="1652"/>
      <c r="O145" s="1652"/>
      <c r="P145" s="1652"/>
      <c r="Q145" s="1652"/>
      <c r="R145" s="1652"/>
      <c r="S145" s="1652"/>
      <c r="T145" s="1652"/>
    </row>
    <row r="146" spans="1:20">
      <c r="A146" s="1652"/>
      <c r="B146" s="1652"/>
      <c r="C146" s="1652"/>
      <c r="D146" s="1652"/>
      <c r="E146" s="1652"/>
      <c r="F146" s="1652"/>
      <c r="G146" s="1652"/>
      <c r="H146" s="1652"/>
      <c r="I146" s="1652"/>
      <c r="J146" s="1652"/>
      <c r="K146" s="1660"/>
      <c r="L146" s="1661"/>
      <c r="M146" s="1652"/>
      <c r="N146" s="1652"/>
      <c r="O146" s="1652"/>
      <c r="P146" s="1652"/>
      <c r="Q146" s="1652"/>
      <c r="R146" s="1652"/>
      <c r="S146" s="1652"/>
      <c r="T146" s="1652"/>
    </row>
    <row r="147" spans="1:20">
      <c r="A147" s="1652"/>
      <c r="B147" s="1652"/>
      <c r="C147" s="1652"/>
      <c r="D147" s="1652"/>
      <c r="E147" s="1652"/>
      <c r="F147" s="1652"/>
      <c r="G147" s="1652"/>
      <c r="H147" s="1652"/>
      <c r="I147" s="1652"/>
      <c r="J147" s="1652"/>
      <c r="K147" s="1660"/>
      <c r="L147" s="1661"/>
      <c r="M147" s="1652"/>
      <c r="N147" s="1652"/>
      <c r="O147" s="1652"/>
      <c r="P147" s="1652"/>
      <c r="Q147" s="1652"/>
      <c r="R147" s="1652"/>
      <c r="S147" s="1652"/>
      <c r="T147" s="1652"/>
    </row>
    <row r="148" spans="1:20">
      <c r="A148" s="1652"/>
      <c r="B148" s="1652"/>
      <c r="C148" s="1652"/>
      <c r="D148" s="1652"/>
      <c r="E148" s="1652"/>
      <c r="F148" s="1652"/>
      <c r="G148" s="1652"/>
      <c r="H148" s="1652"/>
      <c r="I148" s="1652"/>
      <c r="J148" s="1652"/>
      <c r="K148" s="1660"/>
      <c r="L148" s="1661"/>
      <c r="M148" s="1652"/>
      <c r="N148" s="1652"/>
      <c r="O148" s="1652"/>
      <c r="P148" s="1652"/>
      <c r="Q148" s="1652"/>
      <c r="R148" s="1652"/>
      <c r="S148" s="1652"/>
      <c r="T148" s="1652"/>
    </row>
    <row r="149" spans="1:20">
      <c r="A149" s="1652"/>
      <c r="B149" s="1652"/>
      <c r="C149" s="1652"/>
      <c r="D149" s="1652"/>
      <c r="E149" s="1652"/>
      <c r="F149" s="1652"/>
      <c r="G149" s="1652"/>
      <c r="H149" s="1652"/>
      <c r="I149" s="1652"/>
      <c r="J149" s="1652"/>
      <c r="K149" s="1660"/>
      <c r="L149" s="1661"/>
      <c r="M149" s="1652"/>
      <c r="N149" s="1652"/>
      <c r="O149" s="1652"/>
      <c r="P149" s="1652"/>
      <c r="Q149" s="1652"/>
      <c r="R149" s="1652"/>
      <c r="S149" s="1652"/>
      <c r="T149" s="1652"/>
    </row>
    <row r="150" spans="1:20">
      <c r="A150" s="1652"/>
      <c r="B150" s="1652"/>
      <c r="C150" s="1652"/>
      <c r="D150" s="1652"/>
      <c r="E150" s="1652"/>
      <c r="F150" s="1652"/>
      <c r="G150" s="1652"/>
      <c r="H150" s="1652"/>
      <c r="I150" s="1652"/>
      <c r="J150" s="1652"/>
      <c r="K150" s="1660"/>
      <c r="L150" s="1661"/>
      <c r="M150" s="1652"/>
      <c r="N150" s="1652"/>
      <c r="O150" s="1652"/>
      <c r="P150" s="1652"/>
      <c r="Q150" s="1652"/>
      <c r="R150" s="1652"/>
      <c r="S150" s="1652"/>
      <c r="T150" s="1652"/>
    </row>
    <row r="151" spans="1:20">
      <c r="A151" s="1652"/>
      <c r="B151" s="1652"/>
      <c r="C151" s="1652"/>
      <c r="D151" s="1652"/>
      <c r="E151" s="1652"/>
      <c r="F151" s="1652"/>
      <c r="G151" s="1652"/>
      <c r="H151" s="1652"/>
      <c r="I151" s="1652"/>
      <c r="J151" s="1652"/>
      <c r="K151" s="1660"/>
      <c r="L151" s="1661"/>
      <c r="M151" s="1652"/>
      <c r="N151" s="1652"/>
      <c r="O151" s="1652"/>
      <c r="P151" s="1652"/>
      <c r="Q151" s="1652"/>
      <c r="R151" s="1652"/>
      <c r="S151" s="1652"/>
      <c r="T151" s="1652"/>
    </row>
    <row r="152" spans="1:20">
      <c r="A152" s="1652"/>
      <c r="B152" s="1652"/>
      <c r="C152" s="1652"/>
      <c r="D152" s="1652"/>
      <c r="E152" s="1652"/>
      <c r="F152" s="1652"/>
      <c r="G152" s="1652"/>
      <c r="H152" s="1652"/>
      <c r="I152" s="1652"/>
      <c r="J152" s="1652"/>
      <c r="K152" s="1660"/>
      <c r="L152" s="1661"/>
      <c r="M152" s="1652"/>
      <c r="N152" s="1652"/>
      <c r="O152" s="1652"/>
      <c r="P152" s="1652"/>
      <c r="Q152" s="1652"/>
      <c r="R152" s="1652"/>
      <c r="S152" s="1652"/>
      <c r="T152" s="1652"/>
    </row>
    <row r="153" spans="1:20">
      <c r="A153" s="1652"/>
      <c r="B153" s="1652"/>
      <c r="C153" s="1652"/>
      <c r="D153" s="1652"/>
      <c r="E153" s="1652"/>
      <c r="F153" s="1652"/>
      <c r="G153" s="1652"/>
      <c r="H153" s="1652"/>
      <c r="I153" s="1652"/>
      <c r="J153" s="1652"/>
      <c r="K153" s="1660"/>
      <c r="L153" s="1661"/>
      <c r="M153" s="1652"/>
      <c r="N153" s="1652"/>
      <c r="O153" s="1652"/>
      <c r="P153" s="1652"/>
      <c r="Q153" s="1652"/>
      <c r="R153" s="1652"/>
      <c r="S153" s="1652"/>
      <c r="T153" s="1652"/>
    </row>
    <row r="154" spans="1:20">
      <c r="A154" s="1652"/>
      <c r="B154" s="1652"/>
      <c r="C154" s="1652"/>
      <c r="D154" s="1652"/>
      <c r="E154" s="1652"/>
      <c r="F154" s="1652"/>
      <c r="G154" s="1652"/>
      <c r="H154" s="1652"/>
      <c r="I154" s="1652"/>
      <c r="J154" s="1652"/>
      <c r="K154" s="1660"/>
      <c r="L154" s="1661"/>
      <c r="M154" s="1652"/>
      <c r="N154" s="1652"/>
      <c r="O154" s="1652"/>
      <c r="P154" s="1652"/>
      <c r="Q154" s="1652"/>
      <c r="R154" s="1652"/>
      <c r="S154" s="1652"/>
      <c r="T154" s="1652"/>
    </row>
    <row r="155" spans="1:20">
      <c r="A155" s="1652"/>
      <c r="B155" s="1652"/>
      <c r="C155" s="1652"/>
      <c r="D155" s="1652"/>
      <c r="E155" s="1652"/>
      <c r="F155" s="1652"/>
      <c r="G155" s="1652"/>
      <c r="H155" s="1652"/>
      <c r="I155" s="1652"/>
      <c r="J155" s="1652"/>
      <c r="K155" s="1660"/>
      <c r="L155" s="1661"/>
      <c r="M155" s="1652"/>
      <c r="N155" s="1652"/>
      <c r="O155" s="1652"/>
      <c r="P155" s="1652"/>
      <c r="Q155" s="1652"/>
      <c r="R155" s="1652"/>
      <c r="S155" s="1652"/>
      <c r="T155" s="1652"/>
    </row>
    <row r="156" spans="1:20">
      <c r="A156" s="1652"/>
      <c r="B156" s="1652"/>
      <c r="C156" s="1652"/>
      <c r="D156" s="1652"/>
      <c r="E156" s="1652"/>
      <c r="F156" s="1652"/>
      <c r="G156" s="1652"/>
      <c r="H156" s="1652"/>
      <c r="I156" s="1652"/>
      <c r="J156" s="1652"/>
      <c r="K156" s="1660"/>
      <c r="L156" s="1661"/>
      <c r="M156" s="1652"/>
      <c r="N156" s="1652"/>
      <c r="O156" s="1652"/>
      <c r="P156" s="1652"/>
      <c r="Q156" s="1652"/>
      <c r="R156" s="1652"/>
      <c r="S156" s="1652"/>
      <c r="T156" s="1652"/>
    </row>
    <row r="157" spans="1:20">
      <c r="A157" s="1652"/>
      <c r="B157" s="1652"/>
      <c r="C157" s="1652"/>
      <c r="D157" s="1652"/>
      <c r="E157" s="1652"/>
      <c r="F157" s="1652"/>
      <c r="G157" s="1652"/>
      <c r="H157" s="1652"/>
      <c r="I157" s="1652"/>
      <c r="J157" s="1652"/>
      <c r="K157" s="1660"/>
      <c r="L157" s="1661"/>
      <c r="M157" s="1652"/>
      <c r="N157" s="1652"/>
      <c r="O157" s="1652"/>
      <c r="P157" s="1652"/>
      <c r="Q157" s="1652"/>
      <c r="R157" s="1652"/>
      <c r="S157" s="1652"/>
      <c r="T157" s="1652"/>
    </row>
    <row r="158" spans="1:20">
      <c r="A158" s="1652"/>
      <c r="B158" s="1652"/>
      <c r="C158" s="1652"/>
      <c r="D158" s="1652"/>
      <c r="E158" s="1652"/>
      <c r="F158" s="1652"/>
      <c r="G158" s="1652"/>
      <c r="H158" s="1652"/>
      <c r="I158" s="1652"/>
      <c r="J158" s="1652"/>
      <c r="K158" s="1660"/>
      <c r="L158" s="1661"/>
      <c r="M158" s="1652"/>
      <c r="N158" s="1652"/>
      <c r="O158" s="1652"/>
      <c r="P158" s="1652"/>
      <c r="Q158" s="1652"/>
      <c r="R158" s="1652"/>
      <c r="S158" s="1652"/>
      <c r="T158" s="1652"/>
    </row>
    <row r="159" spans="1:20">
      <c r="A159" s="1652"/>
      <c r="B159" s="1652"/>
      <c r="C159" s="1652"/>
      <c r="D159" s="1652"/>
      <c r="E159" s="1652"/>
      <c r="F159" s="1652"/>
      <c r="G159" s="1652"/>
      <c r="H159" s="1652"/>
      <c r="I159" s="1652"/>
      <c r="J159" s="1652"/>
      <c r="K159" s="1660"/>
      <c r="L159" s="1661"/>
      <c r="M159" s="1652"/>
      <c r="N159" s="1652"/>
      <c r="O159" s="1652"/>
      <c r="P159" s="1652"/>
      <c r="Q159" s="1652"/>
      <c r="R159" s="1652"/>
      <c r="S159" s="1652"/>
      <c r="T159" s="1652"/>
    </row>
    <row r="160" spans="1:20">
      <c r="A160" s="1652"/>
      <c r="B160" s="1652"/>
      <c r="C160" s="1652"/>
      <c r="D160" s="1652"/>
      <c r="E160" s="1652"/>
      <c r="F160" s="1652"/>
      <c r="G160" s="1652"/>
      <c r="H160" s="1652"/>
      <c r="I160" s="1652"/>
      <c r="J160" s="1652"/>
      <c r="K160" s="1660"/>
      <c r="L160" s="1661"/>
      <c r="M160" s="1652"/>
      <c r="N160" s="1652"/>
      <c r="O160" s="1652"/>
      <c r="P160" s="1652"/>
      <c r="Q160" s="1652"/>
      <c r="R160" s="1652"/>
      <c r="S160" s="1652"/>
      <c r="T160" s="1652"/>
    </row>
    <row r="161" spans="1:20">
      <c r="A161" s="1652"/>
      <c r="B161" s="1652"/>
      <c r="C161" s="1652"/>
      <c r="D161" s="1652"/>
      <c r="E161" s="1652"/>
      <c r="F161" s="1652"/>
      <c r="G161" s="1652"/>
      <c r="H161" s="1652"/>
      <c r="I161" s="1652"/>
      <c r="J161" s="1652"/>
      <c r="K161" s="1660"/>
      <c r="L161" s="1661"/>
      <c r="M161" s="1652"/>
      <c r="N161" s="1652"/>
      <c r="O161" s="1652"/>
      <c r="P161" s="1652"/>
      <c r="Q161" s="1652"/>
      <c r="R161" s="1652"/>
      <c r="S161" s="1652"/>
      <c r="T161" s="1652"/>
    </row>
    <row r="162" spans="1:20">
      <c r="A162" s="1652"/>
      <c r="B162" s="1652"/>
      <c r="C162" s="1652"/>
      <c r="D162" s="1652"/>
      <c r="E162" s="1652"/>
      <c r="F162" s="1652"/>
      <c r="G162" s="1652"/>
      <c r="H162" s="1652"/>
      <c r="I162" s="1652"/>
      <c r="J162" s="1652"/>
      <c r="K162" s="1660"/>
      <c r="L162" s="1661"/>
      <c r="M162" s="1652"/>
      <c r="N162" s="1652"/>
      <c r="O162" s="1652"/>
      <c r="P162" s="1652"/>
      <c r="Q162" s="1652"/>
      <c r="R162" s="1652"/>
      <c r="S162" s="1652"/>
      <c r="T162" s="1652"/>
    </row>
    <row r="163" spans="1:20">
      <c r="A163" s="1652"/>
      <c r="B163" s="1652"/>
      <c r="C163" s="1652"/>
      <c r="D163" s="1652"/>
      <c r="E163" s="1652"/>
      <c r="F163" s="1652"/>
      <c r="G163" s="1652"/>
      <c r="H163" s="1652"/>
      <c r="I163" s="1652"/>
      <c r="J163" s="1652"/>
      <c r="K163" s="1660"/>
      <c r="L163" s="1661"/>
      <c r="M163" s="1652"/>
      <c r="N163" s="1652"/>
      <c r="O163" s="1652"/>
      <c r="P163" s="1652"/>
      <c r="Q163" s="1652"/>
      <c r="R163" s="1652"/>
      <c r="S163" s="1652"/>
      <c r="T163" s="1652"/>
    </row>
    <row r="164" spans="1:20">
      <c r="A164" s="1652"/>
      <c r="B164" s="1652"/>
      <c r="C164" s="1652"/>
      <c r="D164" s="1652"/>
      <c r="E164" s="1652"/>
      <c r="F164" s="1652"/>
      <c r="G164" s="1652"/>
      <c r="H164" s="1652"/>
      <c r="I164" s="1652"/>
      <c r="J164" s="1652"/>
      <c r="K164" s="1660"/>
      <c r="L164" s="1661"/>
      <c r="M164" s="1652"/>
      <c r="N164" s="1652"/>
      <c r="O164" s="1652"/>
      <c r="P164" s="1652"/>
      <c r="Q164" s="1652"/>
      <c r="R164" s="1652"/>
      <c r="S164" s="1652"/>
      <c r="T164" s="1652"/>
    </row>
    <row r="165" spans="1:20">
      <c r="A165" s="1652"/>
      <c r="B165" s="1652"/>
      <c r="C165" s="1652"/>
      <c r="D165" s="1652"/>
      <c r="E165" s="1652"/>
      <c r="F165" s="1652"/>
      <c r="G165" s="1652"/>
      <c r="H165" s="1652"/>
      <c r="I165" s="1652"/>
      <c r="J165" s="1652"/>
      <c r="K165" s="1660"/>
      <c r="L165" s="1661"/>
      <c r="M165" s="1652"/>
      <c r="N165" s="1652"/>
      <c r="O165" s="1652"/>
      <c r="P165" s="1652"/>
      <c r="Q165" s="1652"/>
      <c r="R165" s="1652"/>
      <c r="S165" s="1652"/>
      <c r="T165" s="1652"/>
    </row>
    <row r="166" spans="1:20">
      <c r="A166" s="1652"/>
      <c r="B166" s="1652"/>
      <c r="C166" s="1652"/>
      <c r="D166" s="1652"/>
      <c r="E166" s="1652"/>
      <c r="F166" s="1652"/>
      <c r="G166" s="1652"/>
      <c r="H166" s="1652"/>
      <c r="I166" s="1652"/>
      <c r="J166" s="1652"/>
      <c r="K166" s="1660"/>
      <c r="L166" s="1661"/>
      <c r="M166" s="1652"/>
      <c r="N166" s="1652"/>
      <c r="O166" s="1652"/>
      <c r="P166" s="1652"/>
      <c r="Q166" s="1652"/>
      <c r="R166" s="1652"/>
      <c r="S166" s="1652"/>
      <c r="T166" s="1652"/>
    </row>
    <row r="167" spans="1:20">
      <c r="A167" s="1652"/>
      <c r="B167" s="1652"/>
      <c r="C167" s="1652"/>
      <c r="D167" s="1652"/>
      <c r="E167" s="1652"/>
      <c r="F167" s="1652"/>
      <c r="G167" s="1652"/>
      <c r="H167" s="1652"/>
      <c r="I167" s="1652"/>
      <c r="J167" s="1652"/>
      <c r="K167" s="1660"/>
      <c r="L167" s="1661"/>
      <c r="M167" s="1652"/>
      <c r="N167" s="1652"/>
      <c r="O167" s="1652"/>
      <c r="P167" s="1652"/>
      <c r="Q167" s="1652"/>
      <c r="R167" s="1652"/>
      <c r="S167" s="1652"/>
      <c r="T167" s="1652"/>
    </row>
    <row r="168" spans="1:20">
      <c r="A168" s="1652"/>
      <c r="B168" s="1652"/>
      <c r="C168" s="1652"/>
      <c r="D168" s="1652"/>
      <c r="E168" s="1652"/>
      <c r="F168" s="1652"/>
      <c r="G168" s="1652"/>
      <c r="H168" s="1652"/>
      <c r="I168" s="1652"/>
      <c r="J168" s="1652"/>
      <c r="K168" s="1660"/>
      <c r="L168" s="1661"/>
      <c r="M168" s="1652"/>
      <c r="N168" s="1652"/>
      <c r="O168" s="1652"/>
      <c r="P168" s="1652"/>
      <c r="Q168" s="1652"/>
      <c r="R168" s="1652"/>
      <c r="S168" s="1652"/>
      <c r="T168" s="1652"/>
    </row>
    <row r="169" spans="1:20">
      <c r="A169" s="1652"/>
      <c r="B169" s="1652"/>
      <c r="C169" s="1652"/>
      <c r="D169" s="1652"/>
      <c r="E169" s="1652"/>
      <c r="F169" s="1652"/>
      <c r="G169" s="1652"/>
      <c r="H169" s="1652"/>
      <c r="I169" s="1652"/>
      <c r="J169" s="1652"/>
      <c r="K169" s="1660"/>
      <c r="L169" s="1661"/>
      <c r="M169" s="1652"/>
      <c r="N169" s="1652"/>
      <c r="O169" s="1652"/>
      <c r="P169" s="1652"/>
      <c r="Q169" s="1652"/>
      <c r="R169" s="1652"/>
      <c r="S169" s="1652"/>
      <c r="T169" s="1652"/>
    </row>
    <row r="170" spans="1:20">
      <c r="A170" s="1652"/>
      <c r="B170" s="1652"/>
      <c r="C170" s="1652"/>
      <c r="D170" s="1652"/>
      <c r="E170" s="1652"/>
      <c r="F170" s="1652"/>
      <c r="G170" s="1652"/>
      <c r="H170" s="1652"/>
      <c r="I170" s="1652"/>
      <c r="J170" s="1652"/>
      <c r="K170" s="1660"/>
      <c r="L170" s="1661"/>
      <c r="M170" s="1652"/>
      <c r="N170" s="1652"/>
      <c r="O170" s="1652"/>
      <c r="P170" s="1652"/>
      <c r="Q170" s="1652"/>
      <c r="R170" s="1652"/>
      <c r="S170" s="1652"/>
      <c r="T170" s="1652"/>
    </row>
    <row r="171" spans="1:20">
      <c r="A171" s="1652"/>
      <c r="B171" s="1652"/>
      <c r="C171" s="1652"/>
      <c r="D171" s="1652"/>
      <c r="E171" s="1652"/>
      <c r="F171" s="1652"/>
      <c r="G171" s="1652"/>
      <c r="H171" s="1652"/>
      <c r="I171" s="1652"/>
      <c r="J171" s="1652"/>
      <c r="K171" s="1660"/>
      <c r="L171" s="1661"/>
      <c r="M171" s="1652"/>
      <c r="N171" s="1652"/>
      <c r="O171" s="1652"/>
      <c r="P171" s="1652"/>
      <c r="Q171" s="1652"/>
      <c r="R171" s="1652"/>
      <c r="S171" s="1652"/>
      <c r="T171" s="1652"/>
    </row>
    <row r="172" spans="1:20">
      <c r="A172" s="1652"/>
      <c r="B172" s="1652"/>
      <c r="C172" s="1652"/>
      <c r="D172" s="1652"/>
      <c r="E172" s="1652"/>
      <c r="F172" s="1652"/>
      <c r="G172" s="1652"/>
      <c r="H172" s="1652"/>
      <c r="I172" s="1652"/>
      <c r="J172" s="1652"/>
      <c r="K172" s="1660"/>
      <c r="L172" s="1661"/>
      <c r="M172" s="1652"/>
      <c r="N172" s="1652"/>
      <c r="O172" s="1652"/>
      <c r="P172" s="1652"/>
      <c r="Q172" s="1652"/>
      <c r="R172" s="1652"/>
      <c r="S172" s="1652"/>
      <c r="T172" s="1652"/>
    </row>
    <row r="173" spans="1:20">
      <c r="A173" s="1652"/>
      <c r="B173" s="1652"/>
      <c r="C173" s="1652"/>
      <c r="D173" s="1652"/>
      <c r="E173" s="1652"/>
      <c r="F173" s="1652"/>
      <c r="G173" s="1652"/>
      <c r="H173" s="1652"/>
      <c r="I173" s="1652"/>
      <c r="J173" s="1652"/>
      <c r="K173" s="1660"/>
      <c r="L173" s="1661"/>
      <c r="M173" s="1652"/>
      <c r="N173" s="1652"/>
      <c r="O173" s="1652"/>
      <c r="P173" s="1652"/>
      <c r="Q173" s="1652"/>
      <c r="R173" s="1652"/>
      <c r="S173" s="1652"/>
      <c r="T173" s="1652"/>
    </row>
    <row r="174" spans="1:20">
      <c r="A174" s="1652"/>
      <c r="B174" s="1652"/>
      <c r="C174" s="1652"/>
      <c r="D174" s="1652"/>
      <c r="E174" s="1652"/>
      <c r="F174" s="1652"/>
      <c r="G174" s="1652"/>
      <c r="H174" s="1652"/>
      <c r="I174" s="1652"/>
      <c r="J174" s="1652"/>
      <c r="K174" s="1660"/>
      <c r="L174" s="1661"/>
      <c r="M174" s="1652"/>
      <c r="N174" s="1652"/>
      <c r="O174" s="1652"/>
      <c r="P174" s="1652"/>
      <c r="Q174" s="1652"/>
      <c r="R174" s="1652"/>
      <c r="S174" s="1652"/>
      <c r="T174" s="1652"/>
    </row>
    <row r="175" spans="1:20">
      <c r="A175" s="1652"/>
      <c r="B175" s="1652"/>
      <c r="C175" s="1652"/>
      <c r="D175" s="1652"/>
      <c r="E175" s="1652"/>
      <c r="F175" s="1652"/>
      <c r="G175" s="1652"/>
      <c r="H175" s="1652"/>
      <c r="I175" s="1652"/>
      <c r="J175" s="1652"/>
      <c r="K175" s="1660"/>
      <c r="L175" s="1661"/>
      <c r="M175" s="1652"/>
      <c r="N175" s="1652"/>
      <c r="O175" s="1652"/>
      <c r="P175" s="1652"/>
      <c r="Q175" s="1652"/>
      <c r="R175" s="1652"/>
      <c r="S175" s="1652"/>
      <c r="T175" s="1652"/>
    </row>
    <row r="176" spans="1:20">
      <c r="A176" s="1652"/>
      <c r="B176" s="1652"/>
      <c r="C176" s="1652"/>
      <c r="D176" s="1652"/>
      <c r="E176" s="1652"/>
      <c r="F176" s="1652"/>
      <c r="G176" s="1652"/>
      <c r="H176" s="1652"/>
      <c r="I176" s="1652"/>
      <c r="J176" s="1652"/>
      <c r="K176" s="1660"/>
      <c r="L176" s="1661"/>
      <c r="M176" s="1652"/>
      <c r="N176" s="1652"/>
      <c r="O176" s="1652"/>
      <c r="P176" s="1652"/>
      <c r="Q176" s="1652"/>
      <c r="R176" s="1652"/>
      <c r="S176" s="1652"/>
      <c r="T176" s="1652"/>
    </row>
    <row r="177" spans="1:20">
      <c r="A177" s="1652"/>
      <c r="B177" s="1652"/>
      <c r="C177" s="1652"/>
      <c r="D177" s="1652"/>
      <c r="E177" s="1652"/>
      <c r="F177" s="1652"/>
      <c r="G177" s="1652"/>
      <c r="H177" s="1652"/>
      <c r="I177" s="1652"/>
      <c r="J177" s="1652"/>
      <c r="K177" s="1660"/>
      <c r="L177" s="1661"/>
      <c r="M177" s="1652"/>
      <c r="N177" s="1652"/>
      <c r="O177" s="1652"/>
      <c r="P177" s="1652"/>
      <c r="Q177" s="1652"/>
      <c r="R177" s="1652"/>
      <c r="S177" s="1652"/>
      <c r="T177" s="1652"/>
    </row>
    <row r="178" spans="1:20">
      <c r="A178" s="1652"/>
      <c r="B178" s="1652"/>
      <c r="C178" s="1652"/>
      <c r="D178" s="1652"/>
      <c r="E178" s="1652"/>
      <c r="F178" s="1652"/>
      <c r="G178" s="1652"/>
      <c r="H178" s="1652"/>
      <c r="I178" s="1652"/>
      <c r="J178" s="1652"/>
      <c r="K178" s="1660"/>
      <c r="L178" s="1661"/>
      <c r="M178" s="1652"/>
      <c r="N178" s="1652"/>
      <c r="O178" s="1652"/>
      <c r="P178" s="1652"/>
      <c r="Q178" s="1652"/>
      <c r="R178" s="1652"/>
      <c r="S178" s="1652"/>
      <c r="T178" s="1652"/>
    </row>
    <row r="179" spans="1:20">
      <c r="A179" s="1652"/>
      <c r="B179" s="1652"/>
      <c r="C179" s="1652"/>
      <c r="D179" s="1652"/>
      <c r="E179" s="1652"/>
      <c r="F179" s="1652"/>
      <c r="G179" s="1652"/>
      <c r="H179" s="1652"/>
      <c r="I179" s="1652"/>
      <c r="J179" s="1652"/>
      <c r="K179" s="1660"/>
      <c r="L179" s="1661"/>
      <c r="M179" s="1652"/>
      <c r="N179" s="1652"/>
      <c r="O179" s="1652"/>
      <c r="P179" s="1652"/>
      <c r="Q179" s="1652"/>
      <c r="R179" s="1652"/>
      <c r="S179" s="1652"/>
      <c r="T179" s="1652"/>
    </row>
    <row r="180" spans="1:20">
      <c r="A180" s="1652"/>
      <c r="B180" s="1652"/>
      <c r="C180" s="1652"/>
      <c r="D180" s="1652"/>
      <c r="E180" s="1652"/>
      <c r="F180" s="1652"/>
      <c r="G180" s="1652"/>
      <c r="H180" s="1652"/>
      <c r="I180" s="1652"/>
      <c r="J180" s="1652"/>
      <c r="K180" s="1660"/>
      <c r="L180" s="1661"/>
      <c r="M180" s="1652"/>
      <c r="N180" s="1652"/>
      <c r="O180" s="1652"/>
      <c r="P180" s="1652"/>
      <c r="Q180" s="1652"/>
      <c r="R180" s="1652"/>
      <c r="S180" s="1652"/>
      <c r="T180" s="1652"/>
    </row>
    <row r="181" spans="1:20">
      <c r="A181" s="1652"/>
      <c r="B181" s="1652"/>
      <c r="C181" s="1652"/>
      <c r="D181" s="1652"/>
      <c r="E181" s="1652"/>
      <c r="F181" s="1652"/>
      <c r="G181" s="1652"/>
      <c r="H181" s="1652"/>
      <c r="I181" s="1652"/>
      <c r="J181" s="1652"/>
      <c r="K181" s="1660"/>
      <c r="L181" s="1661"/>
      <c r="M181" s="1652"/>
      <c r="N181" s="1652"/>
      <c r="O181" s="1652"/>
      <c r="P181" s="1652"/>
      <c r="Q181" s="1652"/>
      <c r="R181" s="1652"/>
      <c r="S181" s="1652"/>
      <c r="T181" s="1652"/>
    </row>
    <row r="182" spans="1:20">
      <c r="A182" s="1652"/>
      <c r="B182" s="1652"/>
      <c r="C182" s="1652"/>
      <c r="D182" s="1652"/>
      <c r="E182" s="1652"/>
      <c r="F182" s="1652"/>
      <c r="G182" s="1652"/>
      <c r="H182" s="1652"/>
      <c r="I182" s="1652"/>
      <c r="J182" s="1652"/>
      <c r="K182" s="1660"/>
      <c r="L182" s="1661"/>
      <c r="M182" s="1652"/>
      <c r="N182" s="1652"/>
      <c r="O182" s="1652"/>
      <c r="P182" s="1652"/>
      <c r="Q182" s="1652"/>
      <c r="R182" s="1652"/>
      <c r="S182" s="1652"/>
      <c r="T182" s="1652"/>
    </row>
    <row r="183" spans="1:20">
      <c r="A183" s="1652"/>
      <c r="B183" s="1652"/>
      <c r="C183" s="1652"/>
      <c r="D183" s="1652"/>
      <c r="E183" s="1652"/>
      <c r="F183" s="1652"/>
      <c r="G183" s="1652"/>
      <c r="H183" s="1652"/>
      <c r="I183" s="1652"/>
      <c r="J183" s="1652"/>
      <c r="K183" s="1660"/>
      <c r="L183" s="1661"/>
      <c r="M183" s="1652"/>
      <c r="N183" s="1652"/>
      <c r="O183" s="1652"/>
      <c r="P183" s="1652"/>
      <c r="Q183" s="1652"/>
      <c r="R183" s="1652"/>
      <c r="S183" s="1652"/>
      <c r="T183" s="1652"/>
    </row>
    <row r="184" spans="1:20">
      <c r="A184" s="1652"/>
      <c r="B184" s="1652"/>
      <c r="C184" s="1652"/>
      <c r="D184" s="1652"/>
      <c r="E184" s="1652"/>
      <c r="F184" s="1652"/>
      <c r="G184" s="1652"/>
      <c r="H184" s="1652"/>
      <c r="I184" s="1652"/>
      <c r="J184" s="1652"/>
      <c r="K184" s="1660"/>
      <c r="L184" s="1661"/>
      <c r="M184" s="1652"/>
      <c r="N184" s="1652"/>
      <c r="O184" s="1652"/>
      <c r="P184" s="1652"/>
      <c r="Q184" s="1652"/>
      <c r="R184" s="1652"/>
      <c r="S184" s="1652"/>
      <c r="T184" s="1652"/>
    </row>
    <row r="185" spans="1:20">
      <c r="A185" s="1652"/>
      <c r="B185" s="1652"/>
      <c r="C185" s="1652"/>
      <c r="D185" s="1652"/>
      <c r="E185" s="1652"/>
      <c r="F185" s="1652"/>
      <c r="G185" s="1652"/>
      <c r="H185" s="1652"/>
      <c r="I185" s="1652"/>
      <c r="J185" s="1652"/>
      <c r="K185" s="1660"/>
      <c r="L185" s="1661"/>
      <c r="M185" s="1652"/>
      <c r="N185" s="1652"/>
      <c r="O185" s="1652"/>
      <c r="P185" s="1652"/>
      <c r="Q185" s="1652"/>
      <c r="R185" s="1652"/>
      <c r="S185" s="1652"/>
      <c r="T185" s="1652"/>
    </row>
    <row r="186" spans="1:20">
      <c r="A186" s="1652"/>
      <c r="B186" s="1652"/>
      <c r="C186" s="1652"/>
      <c r="D186" s="1652"/>
      <c r="E186" s="1652"/>
      <c r="F186" s="1652"/>
      <c r="G186" s="1652"/>
      <c r="H186" s="1652"/>
      <c r="I186" s="1652"/>
      <c r="J186" s="1652"/>
      <c r="K186" s="1660"/>
      <c r="L186" s="1661"/>
      <c r="M186" s="1652"/>
      <c r="N186" s="1652"/>
      <c r="O186" s="1652"/>
      <c r="P186" s="1652"/>
      <c r="Q186" s="1652"/>
      <c r="R186" s="1652"/>
      <c r="S186" s="1652"/>
      <c r="T186" s="1652"/>
    </row>
    <row r="187" spans="1:20">
      <c r="A187" s="1652"/>
      <c r="B187" s="1652"/>
      <c r="C187" s="1652"/>
      <c r="D187" s="1652"/>
      <c r="E187" s="1652"/>
      <c r="F187" s="1652"/>
      <c r="G187" s="1652"/>
      <c r="H187" s="1652"/>
      <c r="I187" s="1652"/>
      <c r="J187" s="1652"/>
      <c r="K187" s="1660"/>
      <c r="L187" s="1661"/>
      <c r="M187" s="1652"/>
      <c r="N187" s="1652"/>
      <c r="O187" s="1652"/>
      <c r="P187" s="1652"/>
      <c r="Q187" s="1652"/>
      <c r="R187" s="1652"/>
      <c r="S187" s="1652"/>
      <c r="T187" s="1652"/>
    </row>
    <row r="188" spans="1:20">
      <c r="A188" s="1652"/>
      <c r="B188" s="1652"/>
      <c r="C188" s="1652"/>
      <c r="D188" s="1652"/>
      <c r="E188" s="1652"/>
      <c r="F188" s="1652"/>
      <c r="G188" s="1652"/>
      <c r="H188" s="1652"/>
      <c r="I188" s="1652"/>
      <c r="J188" s="1652"/>
      <c r="K188" s="1660"/>
      <c r="L188" s="1661"/>
      <c r="M188" s="1652"/>
      <c r="N188" s="1652"/>
      <c r="O188" s="1652"/>
      <c r="P188" s="1652"/>
      <c r="Q188" s="1652"/>
      <c r="R188" s="1652"/>
      <c r="S188" s="1652"/>
      <c r="T188" s="1652"/>
    </row>
    <row r="189" spans="1:20">
      <c r="A189" s="1652"/>
      <c r="B189" s="1652"/>
      <c r="C189" s="1652"/>
      <c r="D189" s="1652"/>
      <c r="E189" s="1652"/>
      <c r="F189" s="1652"/>
      <c r="G189" s="1652"/>
      <c r="H189" s="1652"/>
      <c r="I189" s="1652"/>
      <c r="J189" s="1652"/>
      <c r="K189" s="1660"/>
      <c r="L189" s="1661"/>
      <c r="M189" s="1652"/>
      <c r="N189" s="1652"/>
      <c r="O189" s="1652"/>
      <c r="P189" s="1652"/>
      <c r="Q189" s="1652"/>
      <c r="R189" s="1652"/>
      <c r="S189" s="1652"/>
      <c r="T189" s="1652"/>
    </row>
    <row r="190" spans="1:20">
      <c r="A190" s="1652"/>
      <c r="B190" s="1652"/>
      <c r="C190" s="1652"/>
      <c r="D190" s="1652"/>
      <c r="E190" s="1652"/>
      <c r="F190" s="1652"/>
      <c r="G190" s="1652"/>
      <c r="H190" s="1652"/>
      <c r="I190" s="1652"/>
      <c r="J190" s="1652"/>
      <c r="K190" s="1660"/>
      <c r="L190" s="1661"/>
      <c r="M190" s="1652"/>
      <c r="N190" s="1652"/>
      <c r="O190" s="1652"/>
      <c r="P190" s="1652"/>
      <c r="Q190" s="1652"/>
      <c r="R190" s="1652"/>
      <c r="S190" s="1652"/>
      <c r="T190" s="1652"/>
    </row>
    <row r="191" spans="1:20">
      <c r="A191" s="1652"/>
      <c r="B191" s="1652"/>
      <c r="C191" s="1652"/>
      <c r="D191" s="1652"/>
      <c r="E191" s="1652"/>
      <c r="F191" s="1652"/>
      <c r="G191" s="1652"/>
      <c r="H191" s="1652"/>
      <c r="I191" s="1652"/>
      <c r="J191" s="1652"/>
      <c r="K191" s="1660"/>
      <c r="L191" s="1661"/>
      <c r="M191" s="1652"/>
      <c r="N191" s="1652"/>
      <c r="O191" s="1652"/>
      <c r="P191" s="1652"/>
      <c r="Q191" s="1652"/>
      <c r="R191" s="1652"/>
      <c r="S191" s="1652"/>
      <c r="T191" s="1652"/>
    </row>
    <row r="192" spans="1:20">
      <c r="A192" s="1652"/>
      <c r="B192" s="1652"/>
      <c r="C192" s="1652"/>
      <c r="D192" s="1652"/>
      <c r="E192" s="1652"/>
      <c r="F192" s="1652"/>
      <c r="G192" s="1652"/>
      <c r="H192" s="1652"/>
      <c r="I192" s="1652"/>
      <c r="J192" s="1652"/>
      <c r="K192" s="1660"/>
      <c r="L192" s="1661"/>
      <c r="M192" s="1652"/>
      <c r="N192" s="1652"/>
      <c r="O192" s="1652"/>
      <c r="P192" s="1652"/>
      <c r="Q192" s="1652"/>
      <c r="R192" s="1652"/>
      <c r="S192" s="1652"/>
      <c r="T192" s="1652"/>
    </row>
    <row r="193" spans="1:20">
      <c r="A193" s="1652"/>
      <c r="B193" s="1652"/>
      <c r="C193" s="1652"/>
      <c r="D193" s="1652"/>
      <c r="E193" s="1652"/>
      <c r="F193" s="1652"/>
      <c r="G193" s="1652"/>
      <c r="H193" s="1652"/>
      <c r="I193" s="1652"/>
      <c r="J193" s="1652"/>
      <c r="K193" s="1660"/>
      <c r="L193" s="1661"/>
      <c r="M193" s="1652"/>
      <c r="N193" s="1652"/>
      <c r="O193" s="1652"/>
      <c r="P193" s="1652"/>
      <c r="Q193" s="1652"/>
      <c r="R193" s="1652"/>
      <c r="S193" s="1652"/>
      <c r="T193" s="1652"/>
    </row>
    <row r="194" spans="1:20">
      <c r="A194" s="1652"/>
      <c r="B194" s="1652"/>
      <c r="C194" s="1652"/>
      <c r="D194" s="1652"/>
      <c r="E194" s="1652"/>
      <c r="F194" s="1652"/>
      <c r="G194" s="1652"/>
      <c r="H194" s="1652"/>
      <c r="I194" s="1652"/>
      <c r="J194" s="1652"/>
      <c r="K194" s="1660"/>
      <c r="L194" s="1661"/>
      <c r="M194" s="1652"/>
      <c r="N194" s="1652"/>
      <c r="O194" s="1652"/>
      <c r="P194" s="1652"/>
      <c r="Q194" s="1652"/>
      <c r="R194" s="1652"/>
      <c r="S194" s="1652"/>
      <c r="T194" s="1652"/>
    </row>
    <row r="195" spans="1:20">
      <c r="A195" s="1652"/>
      <c r="B195" s="1652"/>
      <c r="C195" s="1652"/>
      <c r="D195" s="1652"/>
      <c r="E195" s="1652"/>
      <c r="F195" s="1652"/>
      <c r="G195" s="1652"/>
      <c r="H195" s="1652"/>
      <c r="I195" s="1652"/>
      <c r="J195" s="1652"/>
      <c r="K195" s="1660"/>
      <c r="L195" s="1661"/>
      <c r="M195" s="1652"/>
      <c r="N195" s="1652"/>
      <c r="O195" s="1652"/>
      <c r="P195" s="1652"/>
      <c r="Q195" s="1652"/>
      <c r="R195" s="1652"/>
      <c r="S195" s="1652"/>
      <c r="T195" s="1652"/>
    </row>
    <row r="196" spans="1:20">
      <c r="A196" s="1652"/>
      <c r="B196" s="1652"/>
      <c r="C196" s="1652"/>
      <c r="D196" s="1652"/>
      <c r="E196" s="1652"/>
      <c r="F196" s="1652"/>
      <c r="G196" s="1652"/>
      <c r="H196" s="1652"/>
      <c r="I196" s="1652"/>
      <c r="J196" s="1652"/>
      <c r="K196" s="1660"/>
      <c r="L196" s="1661"/>
      <c r="M196" s="1652"/>
      <c r="N196" s="1652"/>
      <c r="O196" s="1652"/>
      <c r="P196" s="1652"/>
      <c r="Q196" s="1652"/>
      <c r="R196" s="1652"/>
      <c r="S196" s="1652"/>
      <c r="T196" s="1652"/>
    </row>
    <row r="197" spans="1:20">
      <c r="A197" s="1652"/>
      <c r="B197" s="1652"/>
      <c r="C197" s="1652"/>
      <c r="D197" s="1652"/>
      <c r="E197" s="1652"/>
      <c r="F197" s="1652"/>
      <c r="G197" s="1652"/>
      <c r="H197" s="1652"/>
      <c r="I197" s="1652"/>
      <c r="J197" s="1652"/>
      <c r="K197" s="1660"/>
      <c r="L197" s="1661"/>
      <c r="M197" s="1652"/>
      <c r="N197" s="1652"/>
      <c r="O197" s="1652"/>
      <c r="P197" s="1652"/>
      <c r="Q197" s="1652"/>
      <c r="R197" s="1652"/>
      <c r="S197" s="1652"/>
      <c r="T197" s="1652"/>
    </row>
    <row r="198" spans="1:20">
      <c r="A198" s="1652"/>
      <c r="B198" s="1652"/>
      <c r="C198" s="1652"/>
      <c r="D198" s="1652"/>
      <c r="E198" s="1652"/>
      <c r="F198" s="1652"/>
      <c r="G198" s="1652"/>
      <c r="H198" s="1652"/>
      <c r="I198" s="1652"/>
      <c r="J198" s="1652"/>
      <c r="K198" s="1660"/>
      <c r="L198" s="1661"/>
      <c r="M198" s="1652"/>
      <c r="N198" s="1652"/>
      <c r="O198" s="1652"/>
      <c r="P198" s="1652"/>
      <c r="Q198" s="1652"/>
      <c r="R198" s="1652"/>
      <c r="S198" s="1652"/>
      <c r="T198" s="1652"/>
    </row>
    <row r="199" spans="1:20">
      <c r="A199" s="1652"/>
      <c r="B199" s="1652"/>
      <c r="C199" s="1652"/>
      <c r="D199" s="1652"/>
      <c r="E199" s="1652"/>
      <c r="F199" s="1652"/>
      <c r="G199" s="1652"/>
      <c r="H199" s="1652"/>
      <c r="I199" s="1652"/>
      <c r="J199" s="1652"/>
      <c r="K199" s="1660"/>
      <c r="L199" s="1661"/>
      <c r="M199" s="1652"/>
      <c r="N199" s="1652"/>
      <c r="O199" s="1652"/>
      <c r="P199" s="1652"/>
      <c r="Q199" s="1652"/>
      <c r="R199" s="1652"/>
      <c r="S199" s="1652"/>
      <c r="T199" s="1652"/>
    </row>
    <row r="200" spans="1:20">
      <c r="A200" s="1652"/>
      <c r="B200" s="1652"/>
      <c r="C200" s="1652"/>
      <c r="D200" s="1652"/>
      <c r="E200" s="1652"/>
      <c r="F200" s="1652"/>
      <c r="G200" s="1652"/>
      <c r="H200" s="1652"/>
      <c r="I200" s="1652"/>
      <c r="J200" s="1652"/>
      <c r="K200" s="1660"/>
      <c r="L200" s="1661"/>
      <c r="M200" s="1652"/>
      <c r="N200" s="1652"/>
      <c r="O200" s="1652"/>
      <c r="P200" s="1652"/>
      <c r="Q200" s="1652"/>
      <c r="R200" s="1652"/>
      <c r="S200" s="1652"/>
      <c r="T200" s="1652"/>
    </row>
    <row r="201" spans="1:20">
      <c r="A201" s="1652"/>
      <c r="B201" s="1652"/>
      <c r="C201" s="1652"/>
      <c r="D201" s="1652"/>
      <c r="E201" s="1652"/>
      <c r="F201" s="1652"/>
      <c r="G201" s="1652"/>
      <c r="H201" s="1652"/>
      <c r="I201" s="1652"/>
      <c r="J201" s="1652"/>
      <c r="K201" s="1660"/>
      <c r="L201" s="1661"/>
      <c r="M201" s="1652"/>
      <c r="N201" s="1652"/>
      <c r="O201" s="1652"/>
      <c r="P201" s="1652"/>
      <c r="Q201" s="1652"/>
      <c r="R201" s="1652"/>
      <c r="S201" s="1652"/>
      <c r="T201" s="1652"/>
    </row>
    <row r="202" spans="1:20">
      <c r="A202" s="1652"/>
      <c r="B202" s="1652"/>
      <c r="C202" s="1652"/>
      <c r="D202" s="1652"/>
      <c r="E202" s="1652"/>
      <c r="F202" s="1652"/>
      <c r="G202" s="1652"/>
      <c r="H202" s="1652"/>
      <c r="I202" s="1652"/>
      <c r="J202" s="1652"/>
      <c r="K202" s="1660"/>
      <c r="L202" s="1661"/>
      <c r="M202" s="1652"/>
      <c r="N202" s="1652"/>
      <c r="O202" s="1652"/>
      <c r="P202" s="1652"/>
      <c r="Q202" s="1652"/>
      <c r="R202" s="1652"/>
      <c r="S202" s="1652"/>
      <c r="T202" s="1652"/>
    </row>
    <row r="203" spans="1:20">
      <c r="A203" s="1652"/>
      <c r="B203" s="1652"/>
      <c r="C203" s="1652"/>
      <c r="D203" s="1652"/>
      <c r="E203" s="1652"/>
      <c r="F203" s="1652"/>
      <c r="G203" s="1652"/>
      <c r="H203" s="1652"/>
      <c r="I203" s="1652"/>
      <c r="J203" s="1652"/>
      <c r="K203" s="1660"/>
      <c r="L203" s="1661"/>
      <c r="M203" s="1652"/>
      <c r="N203" s="1652"/>
      <c r="O203" s="1652"/>
      <c r="P203" s="1652"/>
      <c r="Q203" s="1652"/>
      <c r="R203" s="1652"/>
      <c r="S203" s="1652"/>
      <c r="T203" s="1652"/>
    </row>
    <row r="204" spans="1:20">
      <c r="A204" s="1652"/>
      <c r="B204" s="1652"/>
      <c r="C204" s="1652"/>
      <c r="D204" s="1652"/>
      <c r="E204" s="1652"/>
      <c r="F204" s="1652"/>
      <c r="G204" s="1652"/>
      <c r="H204" s="1652"/>
      <c r="I204" s="1652"/>
      <c r="J204" s="1652"/>
      <c r="K204" s="1660"/>
      <c r="L204" s="1661"/>
      <c r="M204" s="1652"/>
      <c r="N204" s="1652"/>
      <c r="O204" s="1652"/>
      <c r="P204" s="1652"/>
      <c r="Q204" s="1652"/>
      <c r="R204" s="1652"/>
      <c r="S204" s="1652"/>
      <c r="T204" s="1652"/>
    </row>
    <row r="205" spans="1:20">
      <c r="A205" s="1652"/>
      <c r="B205" s="1652"/>
      <c r="C205" s="1652"/>
      <c r="D205" s="1652"/>
      <c r="E205" s="1652"/>
      <c r="F205" s="1652"/>
      <c r="G205" s="1652"/>
      <c r="H205" s="1652"/>
      <c r="I205" s="1652"/>
      <c r="J205" s="1652"/>
      <c r="K205" s="1660"/>
      <c r="L205" s="1661"/>
      <c r="M205" s="1652"/>
      <c r="N205" s="1652"/>
      <c r="O205" s="1652"/>
      <c r="P205" s="1652"/>
      <c r="Q205" s="1652"/>
      <c r="R205" s="1652"/>
      <c r="S205" s="1652"/>
      <c r="T205" s="1652"/>
    </row>
    <row r="206" spans="1:20">
      <c r="A206" s="1652"/>
      <c r="B206" s="1652"/>
      <c r="C206" s="1652"/>
      <c r="D206" s="1652"/>
      <c r="E206" s="1652"/>
      <c r="F206" s="1652"/>
      <c r="G206" s="1652"/>
      <c r="H206" s="1652"/>
      <c r="I206" s="1652"/>
      <c r="J206" s="1652"/>
      <c r="K206" s="1660"/>
      <c r="L206" s="1661"/>
      <c r="M206" s="1652"/>
      <c r="N206" s="1652"/>
      <c r="O206" s="1652"/>
      <c r="P206" s="1652"/>
      <c r="Q206" s="1652"/>
      <c r="R206" s="1652"/>
      <c r="S206" s="1652"/>
      <c r="T206" s="1652"/>
    </row>
    <row r="207" spans="1:20">
      <c r="A207" s="1652"/>
      <c r="B207" s="1652"/>
      <c r="C207" s="1652"/>
      <c r="D207" s="1652"/>
      <c r="E207" s="1652"/>
      <c r="F207" s="1652"/>
      <c r="G207" s="1652"/>
      <c r="H207" s="1652"/>
      <c r="I207" s="1652"/>
      <c r="J207" s="1652"/>
      <c r="K207" s="1660"/>
      <c r="L207" s="1661"/>
      <c r="M207" s="1652"/>
      <c r="N207" s="1652"/>
      <c r="O207" s="1652"/>
      <c r="P207" s="1652"/>
      <c r="Q207" s="1652"/>
      <c r="R207" s="1652"/>
      <c r="S207" s="1652"/>
      <c r="T207" s="1652"/>
    </row>
    <row r="208" spans="1:20">
      <c r="A208" s="1652"/>
      <c r="B208" s="1652"/>
      <c r="C208" s="1652"/>
      <c r="D208" s="1652"/>
      <c r="E208" s="1652"/>
      <c r="F208" s="1652"/>
      <c r="G208" s="1652"/>
      <c r="H208" s="1652"/>
      <c r="I208" s="1652"/>
      <c r="J208" s="1652"/>
      <c r="K208" s="1660"/>
      <c r="L208" s="1661"/>
      <c r="M208" s="1652"/>
      <c r="N208" s="1652"/>
      <c r="O208" s="1652"/>
      <c r="P208" s="1652"/>
      <c r="Q208" s="1652"/>
      <c r="R208" s="1652"/>
      <c r="S208" s="1652"/>
      <c r="T208" s="1652"/>
    </row>
    <row r="209" spans="1:20">
      <c r="A209" s="1652"/>
      <c r="B209" s="1652"/>
      <c r="C209" s="1652"/>
      <c r="D209" s="1652"/>
      <c r="E209" s="1652"/>
      <c r="F209" s="1652"/>
      <c r="G209" s="1652"/>
      <c r="H209" s="1652"/>
      <c r="I209" s="1652"/>
      <c r="J209" s="1652"/>
      <c r="K209" s="1660"/>
      <c r="L209" s="1661"/>
      <c r="M209" s="1652"/>
      <c r="N209" s="1652"/>
      <c r="O209" s="1652"/>
      <c r="P209" s="1652"/>
      <c r="Q209" s="1652"/>
      <c r="R209" s="1652"/>
      <c r="S209" s="1652"/>
      <c r="T209" s="1652"/>
    </row>
    <row r="210" spans="1:20">
      <c r="A210" s="1652"/>
      <c r="B210" s="1652"/>
      <c r="C210" s="1652"/>
      <c r="D210" s="1652"/>
      <c r="E210" s="1652"/>
      <c r="F210" s="1652"/>
      <c r="G210" s="1652"/>
      <c r="H210" s="1652"/>
      <c r="I210" s="1652"/>
      <c r="J210" s="1652"/>
      <c r="K210" s="1660"/>
      <c r="L210" s="1661"/>
      <c r="M210" s="1652"/>
      <c r="N210" s="1652"/>
      <c r="O210" s="1652"/>
      <c r="P210" s="1652"/>
      <c r="Q210" s="1652"/>
      <c r="R210" s="1652"/>
      <c r="S210" s="1652"/>
      <c r="T210" s="1652"/>
    </row>
    <row r="211" spans="1:20">
      <c r="A211" s="1652"/>
      <c r="B211" s="1652"/>
      <c r="C211" s="1652"/>
      <c r="D211" s="1652"/>
      <c r="E211" s="1652"/>
      <c r="F211" s="1652"/>
      <c r="G211" s="1652"/>
      <c r="H211" s="1652"/>
      <c r="I211" s="1652"/>
      <c r="J211" s="1652"/>
      <c r="K211" s="1660"/>
      <c r="L211" s="1661"/>
      <c r="M211" s="1652"/>
      <c r="N211" s="1652"/>
      <c r="O211" s="1652"/>
      <c r="P211" s="1652"/>
      <c r="Q211" s="1652"/>
      <c r="R211" s="1652"/>
      <c r="S211" s="1652"/>
      <c r="T211" s="1652"/>
    </row>
    <row r="212" spans="1:20">
      <c r="A212" s="1652"/>
      <c r="B212" s="1652"/>
      <c r="C212" s="1652"/>
      <c r="D212" s="1652"/>
      <c r="E212" s="1652"/>
      <c r="F212" s="1652"/>
      <c r="G212" s="1652"/>
      <c r="H212" s="1652"/>
      <c r="I212" s="1652"/>
      <c r="J212" s="1652"/>
      <c r="K212" s="1660"/>
      <c r="L212" s="1661"/>
      <c r="M212" s="1652"/>
      <c r="N212" s="1652"/>
      <c r="O212" s="1652"/>
      <c r="P212" s="1652"/>
      <c r="Q212" s="1652"/>
      <c r="R212" s="1652"/>
      <c r="S212" s="1652"/>
      <c r="T212" s="1652"/>
    </row>
    <row r="213" spans="1:20">
      <c r="A213" s="1652"/>
      <c r="B213" s="1652"/>
      <c r="C213" s="1652"/>
      <c r="D213" s="1652"/>
      <c r="E213" s="1652"/>
      <c r="F213" s="1652"/>
      <c r="G213" s="1652"/>
      <c r="H213" s="1652"/>
      <c r="I213" s="1652"/>
      <c r="J213" s="1652"/>
      <c r="K213" s="1660"/>
      <c r="L213" s="1661"/>
      <c r="M213" s="1652"/>
      <c r="N213" s="1652"/>
      <c r="O213" s="1652"/>
      <c r="P213" s="1652"/>
      <c r="Q213" s="1652"/>
      <c r="R213" s="1652"/>
      <c r="S213" s="1652"/>
      <c r="T213" s="1652"/>
    </row>
    <row r="214" spans="1:20">
      <c r="A214" s="1652"/>
      <c r="B214" s="1652"/>
      <c r="C214" s="1652"/>
      <c r="D214" s="1652"/>
      <c r="E214" s="1652"/>
      <c r="F214" s="1652"/>
      <c r="G214" s="1652"/>
      <c r="H214" s="1652"/>
      <c r="I214" s="1652"/>
      <c r="J214" s="1652"/>
      <c r="K214" s="1660"/>
      <c r="L214" s="1661"/>
      <c r="M214" s="1652"/>
      <c r="N214" s="1652"/>
      <c r="O214" s="1652"/>
      <c r="P214" s="1652"/>
      <c r="Q214" s="1652"/>
      <c r="R214" s="1652"/>
      <c r="S214" s="1652"/>
      <c r="T214" s="1652"/>
    </row>
    <row r="215" spans="1:20">
      <c r="A215" s="1652"/>
      <c r="B215" s="1652"/>
      <c r="C215" s="1652"/>
      <c r="D215" s="1652"/>
      <c r="E215" s="1652"/>
      <c r="F215" s="1652"/>
      <c r="G215" s="1652"/>
      <c r="H215" s="1652"/>
      <c r="I215" s="1652"/>
      <c r="J215" s="1652"/>
      <c r="K215" s="1660"/>
      <c r="L215" s="1661"/>
      <c r="M215" s="1652"/>
      <c r="N215" s="1652"/>
      <c r="O215" s="1652"/>
      <c r="P215" s="1652"/>
      <c r="Q215" s="1652"/>
      <c r="R215" s="1652"/>
      <c r="S215" s="1652"/>
      <c r="T215" s="1652"/>
    </row>
    <row r="216" spans="1:20">
      <c r="A216" s="1652"/>
      <c r="B216" s="1652"/>
      <c r="C216" s="1652"/>
      <c r="D216" s="1652"/>
      <c r="E216" s="1652"/>
      <c r="F216" s="1652"/>
      <c r="G216" s="1652"/>
      <c r="H216" s="1652"/>
      <c r="I216" s="1652"/>
      <c r="J216" s="1652"/>
      <c r="K216" s="1660"/>
      <c r="L216" s="1661"/>
      <c r="M216" s="1652"/>
      <c r="N216" s="1652"/>
      <c r="O216" s="1652"/>
      <c r="P216" s="1652"/>
      <c r="Q216" s="1652"/>
      <c r="R216" s="1652"/>
      <c r="S216" s="1652"/>
      <c r="T216" s="1652"/>
    </row>
    <row r="217" spans="1:20">
      <c r="A217" s="1652"/>
      <c r="B217" s="1652"/>
      <c r="C217" s="1652"/>
      <c r="D217" s="1652"/>
      <c r="E217" s="1652"/>
      <c r="F217" s="1652"/>
      <c r="G217" s="1652"/>
      <c r="H217" s="1652"/>
      <c r="I217" s="1652"/>
      <c r="J217" s="1652"/>
      <c r="K217" s="1660"/>
      <c r="L217" s="1661"/>
      <c r="M217" s="1652"/>
      <c r="N217" s="1652"/>
      <c r="O217" s="1652"/>
      <c r="P217" s="1652"/>
      <c r="Q217" s="1652"/>
      <c r="R217" s="1652"/>
      <c r="S217" s="1652"/>
      <c r="T217" s="1652"/>
    </row>
    <row r="218" spans="1:20">
      <c r="A218" s="1652"/>
      <c r="B218" s="1652"/>
      <c r="C218" s="1652"/>
      <c r="D218" s="1652"/>
      <c r="E218" s="1652"/>
      <c r="F218" s="1652"/>
      <c r="G218" s="1652"/>
      <c r="H218" s="1652"/>
      <c r="I218" s="1652"/>
      <c r="J218" s="1652"/>
      <c r="K218" s="1660"/>
      <c r="L218" s="1661"/>
      <c r="M218" s="1652"/>
      <c r="N218" s="1652"/>
      <c r="O218" s="1652"/>
      <c r="P218" s="1652"/>
      <c r="Q218" s="1652"/>
      <c r="R218" s="1652"/>
      <c r="S218" s="1652"/>
      <c r="T218" s="1652"/>
    </row>
    <row r="219" spans="1:20">
      <c r="A219" s="1652"/>
      <c r="B219" s="1652"/>
      <c r="C219" s="1652"/>
      <c r="D219" s="1652"/>
      <c r="E219" s="1652"/>
      <c r="F219" s="1652"/>
      <c r="G219" s="1652"/>
      <c r="H219" s="1652"/>
      <c r="I219" s="1652"/>
      <c r="J219" s="1652"/>
      <c r="K219" s="1660"/>
      <c r="L219" s="1661"/>
      <c r="M219" s="1652"/>
      <c r="N219" s="1652"/>
      <c r="O219" s="1652"/>
      <c r="P219" s="1652"/>
      <c r="Q219" s="1652"/>
      <c r="R219" s="1652"/>
      <c r="S219" s="1652"/>
      <c r="T219" s="1652"/>
    </row>
    <row r="220" spans="1:20">
      <c r="A220" s="1652"/>
      <c r="B220" s="1652"/>
      <c r="C220" s="1652"/>
      <c r="D220" s="1652"/>
      <c r="E220" s="1652"/>
      <c r="F220" s="1652"/>
      <c r="G220" s="1652"/>
      <c r="H220" s="1652"/>
      <c r="I220" s="1652"/>
      <c r="J220" s="1652"/>
      <c r="K220" s="1660"/>
      <c r="L220" s="1661"/>
      <c r="M220" s="1652"/>
      <c r="N220" s="1652"/>
      <c r="O220" s="1652"/>
      <c r="P220" s="1652"/>
      <c r="Q220" s="1652"/>
      <c r="R220" s="1652"/>
      <c r="S220" s="1652"/>
      <c r="T220" s="1652"/>
    </row>
    <row r="221" spans="1:20">
      <c r="A221" s="1652"/>
      <c r="B221" s="1652"/>
      <c r="C221" s="1652"/>
      <c r="D221" s="1652"/>
      <c r="E221" s="1652"/>
      <c r="F221" s="1652"/>
      <c r="G221" s="1652"/>
      <c r="H221" s="1652"/>
      <c r="I221" s="1652"/>
      <c r="J221" s="1652"/>
      <c r="K221" s="1660"/>
      <c r="L221" s="1661"/>
      <c r="M221" s="1652"/>
      <c r="N221" s="1652"/>
      <c r="O221" s="1652"/>
      <c r="P221" s="1652"/>
      <c r="Q221" s="1652"/>
      <c r="R221" s="1652"/>
      <c r="S221" s="1652"/>
      <c r="T221" s="1652"/>
    </row>
    <row r="222" spans="1:20">
      <c r="A222" s="1652"/>
      <c r="B222" s="1652"/>
      <c r="C222" s="1652"/>
      <c r="D222" s="1652"/>
      <c r="E222" s="1652"/>
      <c r="F222" s="1652"/>
      <c r="G222" s="1652"/>
      <c r="H222" s="1652"/>
      <c r="I222" s="1652"/>
      <c r="J222" s="1652"/>
      <c r="K222" s="1660"/>
      <c r="L222" s="1661"/>
      <c r="M222" s="1652"/>
      <c r="N222" s="1652"/>
      <c r="O222" s="1652"/>
      <c r="P222" s="1652"/>
      <c r="Q222" s="1652"/>
      <c r="R222" s="1652"/>
      <c r="S222" s="1652"/>
      <c r="T222" s="1652"/>
    </row>
    <row r="223" spans="1:20">
      <c r="A223" s="1652"/>
      <c r="B223" s="1652"/>
      <c r="C223" s="1652"/>
      <c r="D223" s="1652"/>
      <c r="E223" s="1652"/>
      <c r="F223" s="1652"/>
      <c r="G223" s="1652"/>
      <c r="H223" s="1652"/>
      <c r="I223" s="1652"/>
      <c r="J223" s="1652"/>
      <c r="K223" s="1660"/>
      <c r="L223" s="1661"/>
      <c r="M223" s="1652"/>
      <c r="N223" s="1652"/>
      <c r="O223" s="1652"/>
      <c r="P223" s="1652"/>
      <c r="Q223" s="1652"/>
      <c r="R223" s="1652"/>
      <c r="S223" s="1652"/>
      <c r="T223" s="1652"/>
    </row>
    <row r="224" spans="1:20">
      <c r="A224" s="1652"/>
      <c r="B224" s="1652"/>
      <c r="C224" s="1652"/>
      <c r="D224" s="1652"/>
      <c r="E224" s="1652"/>
      <c r="F224" s="1652"/>
      <c r="G224" s="1652"/>
      <c r="H224" s="1652"/>
      <c r="I224" s="1652"/>
      <c r="J224" s="1652"/>
      <c r="K224" s="1660"/>
      <c r="L224" s="1661"/>
      <c r="M224" s="1652"/>
      <c r="N224" s="1652"/>
      <c r="O224" s="1652"/>
      <c r="P224" s="1652"/>
      <c r="Q224" s="1652"/>
      <c r="R224" s="1652"/>
      <c r="S224" s="1652"/>
      <c r="T224" s="1652"/>
    </row>
    <row r="225" spans="1:20">
      <c r="A225" s="1652"/>
      <c r="B225" s="1652"/>
      <c r="C225" s="1652"/>
      <c r="D225" s="1652"/>
      <c r="E225" s="1652"/>
      <c r="F225" s="1652"/>
      <c r="G225" s="1652"/>
      <c r="H225" s="1652"/>
      <c r="I225" s="1652"/>
      <c r="J225" s="1652"/>
      <c r="K225" s="1660"/>
      <c r="L225" s="1661"/>
      <c r="M225" s="1652"/>
      <c r="N225" s="1652"/>
      <c r="O225" s="1652"/>
      <c r="P225" s="1652"/>
      <c r="Q225" s="1652"/>
      <c r="R225" s="1652"/>
      <c r="S225" s="1652"/>
      <c r="T225" s="1652"/>
    </row>
    <row r="226" spans="1:20">
      <c r="A226" s="1652"/>
      <c r="B226" s="1652"/>
      <c r="C226" s="1652"/>
      <c r="D226" s="1652"/>
      <c r="E226" s="1652"/>
      <c r="F226" s="1652"/>
      <c r="G226" s="1652"/>
      <c r="H226" s="1652"/>
      <c r="I226" s="1652"/>
      <c r="J226" s="1652"/>
      <c r="K226" s="1660"/>
      <c r="L226" s="1661"/>
      <c r="M226" s="1652"/>
      <c r="N226" s="1652"/>
      <c r="O226" s="1652"/>
      <c r="P226" s="1652"/>
      <c r="Q226" s="1652"/>
      <c r="R226" s="1652"/>
      <c r="S226" s="1652"/>
      <c r="T226" s="1652"/>
    </row>
    <row r="227" spans="1:20">
      <c r="A227" s="1652"/>
      <c r="B227" s="1652"/>
      <c r="C227" s="1652"/>
      <c r="D227" s="1652"/>
      <c r="E227" s="1652"/>
      <c r="F227" s="1652"/>
      <c r="G227" s="1652"/>
      <c r="H227" s="1652"/>
      <c r="I227" s="1652"/>
      <c r="J227" s="1652"/>
      <c r="K227" s="1660"/>
      <c r="L227" s="1661"/>
      <c r="M227" s="1652"/>
      <c r="N227" s="1652"/>
      <c r="O227" s="1652"/>
      <c r="P227" s="1652"/>
      <c r="Q227" s="1652"/>
      <c r="R227" s="1652"/>
      <c r="S227" s="1652"/>
      <c r="T227" s="1652"/>
    </row>
    <row r="228" spans="1:20">
      <c r="A228" s="1652"/>
      <c r="B228" s="1652"/>
      <c r="C228" s="1652"/>
      <c r="D228" s="1652"/>
      <c r="E228" s="1652"/>
      <c r="F228" s="1652"/>
      <c r="G228" s="1652"/>
      <c r="H228" s="1652"/>
      <c r="I228" s="1652"/>
      <c r="J228" s="1652"/>
      <c r="K228" s="1660"/>
      <c r="L228" s="1661"/>
      <c r="M228" s="1652"/>
      <c r="N228" s="1652"/>
      <c r="O228" s="1652"/>
      <c r="P228" s="1652"/>
      <c r="Q228" s="1652"/>
      <c r="R228" s="1652"/>
      <c r="S228" s="1652"/>
      <c r="T228" s="1652"/>
    </row>
    <row r="229" spans="1:20">
      <c r="A229" s="1652"/>
      <c r="B229" s="1652"/>
      <c r="C229" s="1652"/>
      <c r="D229" s="1652"/>
      <c r="E229" s="1652"/>
      <c r="F229" s="1652"/>
      <c r="G229" s="1652"/>
      <c r="H229" s="1652"/>
      <c r="I229" s="1652"/>
      <c r="J229" s="1652"/>
      <c r="K229" s="1660"/>
      <c r="L229" s="1661"/>
      <c r="M229" s="1652"/>
      <c r="N229" s="1652"/>
      <c r="O229" s="1652"/>
      <c r="P229" s="1652"/>
      <c r="Q229" s="1652"/>
      <c r="R229" s="1652"/>
      <c r="S229" s="1652"/>
      <c r="T229" s="1652"/>
    </row>
    <row r="230" spans="1:20">
      <c r="A230" s="1652"/>
      <c r="B230" s="1652"/>
      <c r="C230" s="1652"/>
      <c r="D230" s="1652"/>
      <c r="E230" s="1652"/>
      <c r="F230" s="1652"/>
      <c r="G230" s="1652"/>
      <c r="H230" s="1652"/>
      <c r="I230" s="1652"/>
      <c r="J230" s="1652"/>
      <c r="K230" s="1660"/>
      <c r="L230" s="1661"/>
      <c r="M230" s="1652"/>
      <c r="N230" s="1652"/>
      <c r="O230" s="1652"/>
      <c r="P230" s="1652"/>
      <c r="Q230" s="1652"/>
      <c r="R230" s="1652"/>
      <c r="S230" s="1652"/>
      <c r="T230" s="1652"/>
    </row>
    <row r="231" spans="1:20">
      <c r="A231" s="1652"/>
      <c r="B231" s="1652"/>
      <c r="C231" s="1652"/>
      <c r="D231" s="1652"/>
      <c r="E231" s="1652"/>
      <c r="F231" s="1652"/>
      <c r="G231" s="1652"/>
      <c r="H231" s="1652"/>
      <c r="I231" s="1652"/>
      <c r="J231" s="1652"/>
      <c r="K231" s="1660"/>
      <c r="L231" s="1661"/>
      <c r="M231" s="1652"/>
      <c r="N231" s="1652"/>
      <c r="O231" s="1652"/>
      <c r="P231" s="1652"/>
      <c r="Q231" s="1652"/>
      <c r="R231" s="1652"/>
      <c r="S231" s="1652"/>
      <c r="T231" s="1652"/>
    </row>
    <row r="232" spans="1:20">
      <c r="A232" s="1652"/>
      <c r="B232" s="1652"/>
      <c r="C232" s="1652"/>
      <c r="D232" s="1652"/>
      <c r="E232" s="1652"/>
      <c r="F232" s="1652"/>
      <c r="G232" s="1652"/>
      <c r="H232" s="1652"/>
      <c r="I232" s="1652"/>
      <c r="J232" s="1652"/>
      <c r="K232" s="1660"/>
      <c r="L232" s="1661"/>
      <c r="M232" s="1652"/>
      <c r="N232" s="1652"/>
      <c r="O232" s="1652"/>
      <c r="P232" s="1652"/>
      <c r="Q232" s="1652"/>
      <c r="R232" s="1652"/>
      <c r="S232" s="1652"/>
      <c r="T232" s="1652"/>
    </row>
    <row r="233" spans="1:20">
      <c r="A233" s="1652"/>
      <c r="B233" s="1652"/>
      <c r="C233" s="1652"/>
      <c r="D233" s="1652"/>
      <c r="E233" s="1652"/>
      <c r="F233" s="1652"/>
      <c r="G233" s="1652"/>
      <c r="H233" s="1652"/>
      <c r="I233" s="1652"/>
      <c r="J233" s="1652"/>
      <c r="K233" s="1660"/>
      <c r="L233" s="1661"/>
      <c r="M233" s="1652"/>
      <c r="N233" s="1652"/>
      <c r="O233" s="1652"/>
      <c r="P233" s="1652"/>
      <c r="Q233" s="1652"/>
      <c r="R233" s="1652"/>
      <c r="S233" s="1652"/>
      <c r="T233" s="1652"/>
    </row>
    <row r="234" spans="1:20">
      <c r="A234" s="1652"/>
      <c r="B234" s="1652"/>
      <c r="C234" s="1652"/>
      <c r="D234" s="1652"/>
      <c r="E234" s="1652"/>
      <c r="F234" s="1652"/>
      <c r="G234" s="1652"/>
      <c r="H234" s="1652"/>
      <c r="I234" s="1652"/>
      <c r="J234" s="1652"/>
      <c r="K234" s="1660"/>
      <c r="L234" s="1661"/>
      <c r="M234" s="1652"/>
      <c r="N234" s="1652"/>
      <c r="O234" s="1652"/>
      <c r="P234" s="1652"/>
      <c r="Q234" s="1652"/>
      <c r="R234" s="1652"/>
      <c r="S234" s="1652"/>
      <c r="T234" s="1652"/>
    </row>
    <row r="235" spans="1:20">
      <c r="A235" s="1652"/>
      <c r="B235" s="1652"/>
      <c r="C235" s="1652"/>
      <c r="D235" s="1652"/>
      <c r="E235" s="1652"/>
      <c r="F235" s="1652"/>
      <c r="G235" s="1652"/>
      <c r="H235" s="1652"/>
      <c r="I235" s="1652"/>
      <c r="J235" s="1652"/>
      <c r="K235" s="1660"/>
      <c r="L235" s="1661"/>
      <c r="M235" s="1652"/>
      <c r="N235" s="1652"/>
      <c r="O235" s="1652"/>
      <c r="P235" s="1652"/>
      <c r="Q235" s="1652"/>
      <c r="R235" s="1652"/>
      <c r="S235" s="1652"/>
      <c r="T235" s="1652"/>
    </row>
    <row r="236" spans="1:20">
      <c r="A236" s="1652"/>
      <c r="B236" s="1652"/>
      <c r="C236" s="1652"/>
      <c r="D236" s="1652"/>
      <c r="E236" s="1652"/>
      <c r="F236" s="1652"/>
      <c r="G236" s="1652"/>
      <c r="H236" s="1652"/>
      <c r="I236" s="1652"/>
      <c r="J236" s="1652"/>
      <c r="K236" s="1660"/>
      <c r="L236" s="1661"/>
      <c r="M236" s="1652"/>
      <c r="N236" s="1652"/>
      <c r="O236" s="1652"/>
      <c r="P236" s="1652"/>
      <c r="Q236" s="1652"/>
      <c r="R236" s="1652"/>
      <c r="S236" s="1652"/>
      <c r="T236" s="1652"/>
    </row>
    <row r="237" spans="1:20">
      <c r="A237" s="1652"/>
      <c r="B237" s="1652"/>
      <c r="C237" s="1652"/>
      <c r="D237" s="1652"/>
      <c r="E237" s="1652"/>
      <c r="F237" s="1652"/>
      <c r="G237" s="1652"/>
      <c r="H237" s="1652"/>
      <c r="I237" s="1652"/>
      <c r="J237" s="1652"/>
      <c r="K237" s="1660"/>
      <c r="L237" s="1661"/>
      <c r="M237" s="1652"/>
      <c r="N237" s="1652"/>
      <c r="O237" s="1652"/>
      <c r="P237" s="1652"/>
      <c r="Q237" s="1652"/>
      <c r="R237" s="1652"/>
      <c r="S237" s="1652"/>
      <c r="T237" s="1652"/>
    </row>
    <row r="238" spans="1:20">
      <c r="A238" s="1652"/>
      <c r="B238" s="1652"/>
      <c r="C238" s="1652"/>
      <c r="D238" s="1652"/>
      <c r="E238" s="1652"/>
      <c r="F238" s="1652"/>
      <c r="G238" s="1652"/>
      <c r="H238" s="1652"/>
      <c r="I238" s="1652"/>
      <c r="J238" s="1652"/>
      <c r="K238" s="1660"/>
      <c r="L238" s="1661"/>
      <c r="M238" s="1652"/>
      <c r="N238" s="1652"/>
      <c r="O238" s="1652"/>
      <c r="P238" s="1652"/>
      <c r="Q238" s="1652"/>
      <c r="R238" s="1652"/>
      <c r="S238" s="1652"/>
      <c r="T238" s="1652"/>
    </row>
    <row r="239" spans="1:20">
      <c r="A239" s="1652"/>
      <c r="B239" s="1652"/>
      <c r="C239" s="1652"/>
      <c r="D239" s="1652"/>
      <c r="E239" s="1652"/>
      <c r="F239" s="1652"/>
      <c r="G239" s="1652"/>
      <c r="H239" s="1652"/>
      <c r="I239" s="1652"/>
      <c r="J239" s="1652"/>
      <c r="K239" s="1660"/>
      <c r="L239" s="1661"/>
      <c r="M239" s="1652"/>
      <c r="N239" s="1652"/>
      <c r="O239" s="1652"/>
      <c r="P239" s="1652"/>
      <c r="Q239" s="1652"/>
      <c r="R239" s="1652"/>
      <c r="S239" s="1652"/>
      <c r="T239" s="1652"/>
    </row>
    <row r="240" spans="1:20">
      <c r="A240" s="1652"/>
      <c r="B240" s="1652"/>
      <c r="C240" s="1652"/>
      <c r="D240" s="1652"/>
      <c r="E240" s="1652"/>
      <c r="F240" s="1652"/>
      <c r="G240" s="1652"/>
      <c r="H240" s="1652"/>
      <c r="I240" s="1652"/>
      <c r="J240" s="1652"/>
      <c r="K240" s="1660"/>
      <c r="L240" s="1661"/>
      <c r="M240" s="1652"/>
      <c r="N240" s="1652"/>
      <c r="O240" s="1652"/>
      <c r="P240" s="1652"/>
      <c r="Q240" s="1652"/>
      <c r="R240" s="1652"/>
      <c r="S240" s="1652"/>
      <c r="T240" s="1652"/>
    </row>
    <row r="241" spans="1:20">
      <c r="A241" s="1652"/>
      <c r="B241" s="1652"/>
      <c r="C241" s="1652"/>
      <c r="D241" s="1652"/>
      <c r="E241" s="1652"/>
      <c r="F241" s="1652"/>
      <c r="G241" s="1652"/>
      <c r="H241" s="1652"/>
      <c r="I241" s="1652"/>
      <c r="J241" s="1652"/>
      <c r="K241" s="1660"/>
      <c r="L241" s="1661"/>
      <c r="M241" s="1652"/>
      <c r="N241" s="1652"/>
      <c r="O241" s="1652"/>
      <c r="P241" s="1652"/>
      <c r="Q241" s="1652"/>
      <c r="R241" s="1652"/>
      <c r="S241" s="1652"/>
      <c r="T241" s="16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33333333333" style="1170" customWidth="1"/>
    <col min="2" max="2" width="15.7777777777778" style="1170" customWidth="1"/>
    <col min="3" max="3" width="14.3333333333333" style="1170" customWidth="1"/>
    <col min="4" max="4" width="14.1111111111111" style="1170" customWidth="1"/>
    <col min="5" max="5" width="14.3333333333333" style="1170" customWidth="1"/>
    <col min="6" max="6" width="12.2222222222222" style="1170" customWidth="1"/>
    <col min="7" max="7" width="14.4444444444444" style="1170" customWidth="1"/>
    <col min="8" max="8" width="12.2222222222222" style="1170" customWidth="1"/>
    <col min="9" max="9" width="14.4444444444444" style="1170" customWidth="1"/>
    <col min="10" max="10" width="12.2222222222222" style="1170" customWidth="1"/>
    <col min="11" max="11" width="12.2222222222222" style="1171" customWidth="1"/>
    <col min="12" max="12" width="12.2222222222222" style="1172" customWidth="1"/>
    <col min="13" max="15" width="12.2222222222222" style="1170" customWidth="1"/>
    <col min="16" max="16" width="4.77777777777778" style="1170" customWidth="1"/>
    <col min="17" max="17" width="19.4444444444444" style="1170" customWidth="1"/>
    <col min="18" max="22" width="6.11111111111111" style="1170" customWidth="1"/>
    <col min="23" max="23" width="5.77777777777778" style="1170" customWidth="1"/>
    <col min="24" max="24" width="4.22222222222222" style="1170" customWidth="1"/>
    <col min="25" max="25" width="3.44444444444444" style="1170" customWidth="1"/>
    <col min="26" max="26" width="19.7777777777778" style="1170" customWidth="1"/>
    <col min="27" max="28" width="9.33333333333333" style="1170" customWidth="1"/>
    <col min="29" max="16384" width="9" style="1170"/>
  </cols>
  <sheetData>
    <row r="1" s="1163" customFormat="1" ht="28.5" customHeight="1" spans="1:30">
      <c r="A1" s="1173" t="s">
        <v>1632</v>
      </c>
      <c r="B1" s="1174"/>
      <c r="C1" s="1175" t="s">
        <v>1633</v>
      </c>
      <c r="D1" s="1176"/>
      <c r="E1" s="1176"/>
      <c r="F1" s="1177" t="s">
        <v>1473</v>
      </c>
      <c r="G1" s="1176"/>
      <c r="H1" s="1176"/>
      <c r="I1" s="1176"/>
      <c r="J1" s="1176"/>
      <c r="K1" s="1336"/>
      <c r="L1" s="1337"/>
      <c r="M1" s="1338"/>
      <c r="N1" s="1338"/>
      <c r="O1" s="1338"/>
      <c r="P1" s="1339"/>
      <c r="Q1" s="1339"/>
      <c r="R1" s="1339"/>
      <c r="S1" s="1339"/>
      <c r="T1" s="1339"/>
      <c r="U1" s="1339"/>
      <c r="V1" s="1339"/>
      <c r="W1" s="1339"/>
      <c r="X1" s="1339"/>
      <c r="Y1" s="1339"/>
      <c r="Z1" s="1339"/>
      <c r="AA1" s="1339"/>
      <c r="AB1" s="1339"/>
      <c r="AC1" s="1420"/>
      <c r="AD1" s="1574"/>
    </row>
    <row r="2" s="1163" customFormat="1" ht="28.5" customHeight="1" spans="1:30">
      <c r="A2" s="394" t="s">
        <v>989</v>
      </c>
      <c r="B2" s="1178" t="e">
        <f>F65</f>
        <v>#DIV/0!</v>
      </c>
      <c r="C2" s="1545"/>
      <c r="D2" s="1545"/>
      <c r="E2" s="1179"/>
      <c r="F2" s="1180"/>
      <c r="G2" s="1179"/>
      <c r="H2" s="1179"/>
      <c r="I2" s="1179"/>
      <c r="J2" s="1179"/>
      <c r="K2" s="1340"/>
      <c r="L2" s="1341"/>
      <c r="M2" s="1342"/>
      <c r="N2" s="1342"/>
      <c r="O2" s="1342"/>
      <c r="P2" s="1339"/>
      <c r="Q2" s="1339"/>
      <c r="R2" s="1339"/>
      <c r="S2" s="1339"/>
      <c r="T2" s="1339"/>
      <c r="U2" s="1339"/>
      <c r="V2" s="1339"/>
      <c r="W2" s="1339"/>
      <c r="X2" s="1339"/>
      <c r="Y2" s="1339"/>
      <c r="Z2" s="1339"/>
      <c r="AA2" s="1339"/>
      <c r="AB2" s="1339"/>
      <c r="AC2" s="1420"/>
      <c r="AD2" s="1574"/>
    </row>
    <row r="3" s="1163" customFormat="1" ht="28.5" customHeight="1" spans="1:29">
      <c r="A3" s="397" t="s">
        <v>991</v>
      </c>
      <c r="B3" s="1181" t="e">
        <f>ROUND(IF(D3="",B2*10000/'数据-汇总表'!E3,B2*10000/D3),0)</f>
        <v>#DIV/0!</v>
      </c>
      <c r="C3" s="397" t="s">
        <v>1474</v>
      </c>
      <c r="D3" s="1182"/>
      <c r="E3" s="1179"/>
      <c r="F3" s="1180"/>
      <c r="G3" s="1179"/>
      <c r="H3" s="1179"/>
      <c r="I3" s="1179"/>
      <c r="J3" s="1179"/>
      <c r="K3" s="1340"/>
      <c r="L3" s="1341"/>
      <c r="M3" s="1342"/>
      <c r="N3" s="1342"/>
      <c r="O3" s="1342"/>
      <c r="P3" s="1339"/>
      <c r="Q3" s="1339"/>
      <c r="R3" s="1339"/>
      <c r="S3" s="1339"/>
      <c r="T3" s="1339"/>
      <c r="U3" s="1339"/>
      <c r="V3" s="1339"/>
      <c r="W3" s="1339"/>
      <c r="X3" s="1339"/>
      <c r="Y3" s="1339"/>
      <c r="Z3" s="1339"/>
      <c r="AA3" s="1339"/>
      <c r="AB3" s="1421"/>
      <c r="AC3" s="1422"/>
    </row>
    <row r="4" ht="14.4" spans="1:29">
      <c r="A4" s="1183" t="s">
        <v>1475</v>
      </c>
      <c r="B4" s="1184"/>
      <c r="C4" s="1185" t="s">
        <v>1476</v>
      </c>
      <c r="D4" s="1186"/>
      <c r="E4" s="1187" t="s">
        <v>1477</v>
      </c>
      <c r="F4" s="1188"/>
      <c r="G4" s="1185" t="s">
        <v>1478</v>
      </c>
      <c r="H4" s="1186"/>
      <c r="I4" s="1185" t="s">
        <v>1479</v>
      </c>
      <c r="J4" s="1186"/>
      <c r="K4" s="1343" t="s">
        <v>1480</v>
      </c>
      <c r="L4" s="1344"/>
      <c r="M4" s="1345"/>
      <c r="N4" s="1345"/>
      <c r="O4" s="1345"/>
      <c r="P4" s="1346" t="s">
        <v>1481</v>
      </c>
      <c r="Q4" s="1395"/>
      <c r="R4" s="1396" t="s">
        <v>1477</v>
      </c>
      <c r="S4" s="1397"/>
      <c r="T4" s="1396" t="s">
        <v>1478</v>
      </c>
      <c r="U4" s="1397"/>
      <c r="V4" s="1385" t="s">
        <v>1479</v>
      </c>
      <c r="W4" s="1385"/>
      <c r="X4" s="1398"/>
      <c r="Y4" s="1396" t="s">
        <v>1481</v>
      </c>
      <c r="Z4" s="1397"/>
      <c r="AA4" s="1423" t="s">
        <v>1477</v>
      </c>
      <c r="AB4" s="1398" t="s">
        <v>1478</v>
      </c>
      <c r="AC4" s="1423" t="s">
        <v>1479</v>
      </c>
    </row>
    <row r="5" spans="1:29">
      <c r="A5" s="1189"/>
      <c r="B5" s="1190"/>
      <c r="C5" s="1191" t="s">
        <v>1482</v>
      </c>
      <c r="D5" s="1192"/>
      <c r="E5" s="1193" t="s">
        <v>1483</v>
      </c>
      <c r="F5" s="1194"/>
      <c r="G5" s="1191" t="s">
        <v>1484</v>
      </c>
      <c r="H5" s="1192"/>
      <c r="I5" s="1191" t="s">
        <v>1485</v>
      </c>
      <c r="J5" s="1192"/>
      <c r="K5" s="1343"/>
      <c r="L5" s="1344"/>
      <c r="M5" s="1345"/>
      <c r="N5" s="1345"/>
      <c r="O5" s="1345"/>
      <c r="P5" s="1347"/>
      <c r="Q5" s="1399"/>
      <c r="R5" s="1400"/>
      <c r="S5" s="1401"/>
      <c r="T5" s="1400"/>
      <c r="U5" s="1401"/>
      <c r="V5" s="1385"/>
      <c r="W5" s="1385"/>
      <c r="X5" s="1398"/>
      <c r="Y5" s="1400"/>
      <c r="Z5" s="1401"/>
      <c r="AA5" s="1398"/>
      <c r="AB5" s="1398"/>
      <c r="AC5" s="1398"/>
    </row>
    <row r="6" ht="15.15" spans="1:29">
      <c r="A6" s="1195"/>
      <c r="B6" s="1196"/>
      <c r="C6" s="1546" t="s">
        <v>1486</v>
      </c>
      <c r="D6" s="1547"/>
      <c r="E6" s="1548" t="s">
        <v>1486</v>
      </c>
      <c r="F6" s="1549"/>
      <c r="G6" s="1546" t="s">
        <v>1486</v>
      </c>
      <c r="H6" s="1547"/>
      <c r="I6" s="1546" t="s">
        <v>1486</v>
      </c>
      <c r="J6" s="1547"/>
      <c r="K6" s="1343" t="s">
        <v>1487</v>
      </c>
      <c r="L6" s="1344"/>
      <c r="M6" s="1345"/>
      <c r="N6" s="1345"/>
      <c r="O6" s="1345"/>
      <c r="P6" s="1348"/>
      <c r="Q6" s="1402"/>
      <c r="R6" s="1400"/>
      <c r="S6" s="1401"/>
      <c r="T6" s="1403"/>
      <c r="U6" s="1404"/>
      <c r="V6" s="1385"/>
      <c r="W6" s="1385"/>
      <c r="X6" s="1398"/>
      <c r="Y6" s="1403"/>
      <c r="Z6" s="1404"/>
      <c r="AA6" s="1424"/>
      <c r="AB6" s="1424"/>
      <c r="AC6" s="1424"/>
    </row>
    <row r="7" s="1164" customFormat="1" ht="15.15" spans="1:29">
      <c r="A7" s="1201" t="s">
        <v>1488</v>
      </c>
      <c r="B7" s="1202"/>
      <c r="C7" s="1203">
        <f>'数据-取费表'!B2</f>
        <v>45022</v>
      </c>
      <c r="D7" s="1204">
        <v>100</v>
      </c>
      <c r="E7" s="1205"/>
      <c r="F7" s="1206">
        <f>SUMIF(69:69,YEAR(E7)&amp;"-"&amp;INT((MONTH(E7)+2)/3),70:70)</f>
        <v>0</v>
      </c>
      <c r="G7" s="1207"/>
      <c r="H7" s="1204">
        <f>SUMIF(69:69,YEAR(G7)&amp;"-"&amp;INT((MONTH(G7)+2)/3),70:70)</f>
        <v>0</v>
      </c>
      <c r="I7" s="1207"/>
      <c r="J7" s="1204">
        <f>SUMIF(69:69,YEAR(I7)&amp;"-"&amp;INT((MONTH(I7)+2)/3),70:70)</f>
        <v>0</v>
      </c>
      <c r="K7" s="1349"/>
      <c r="L7" s="1350"/>
      <c r="M7" s="1351"/>
      <c r="N7" s="1351"/>
      <c r="O7" s="1351"/>
      <c r="P7" s="1352" t="s">
        <v>1489</v>
      </c>
      <c r="Q7" s="1405"/>
      <c r="R7" s="1406" t="s">
        <v>1490</v>
      </c>
      <c r="S7" s="1407">
        <f t="shared" ref="S7:S15" si="0">F7</f>
        <v>0</v>
      </c>
      <c r="T7" s="1406" t="s">
        <v>1490</v>
      </c>
      <c r="U7" s="1407">
        <f t="shared" ref="U7:U15" si="1">H7</f>
        <v>0</v>
      </c>
      <c r="V7" s="1406" t="s">
        <v>1490</v>
      </c>
      <c r="W7" s="1407">
        <f t="shared" ref="W7:W15" si="2">J7</f>
        <v>0</v>
      </c>
      <c r="X7" s="1408"/>
      <c r="Y7" s="1352" t="s">
        <v>1489</v>
      </c>
      <c r="Z7" s="1409"/>
      <c r="AA7" s="1425" t="e">
        <f>D7/F7</f>
        <v>#DIV/0!</v>
      </c>
      <c r="AB7" s="1425" t="e">
        <f>D7/H7</f>
        <v>#DIV/0!</v>
      </c>
      <c r="AC7" s="1425" t="e">
        <f>D7/J7</f>
        <v>#DIV/0!</v>
      </c>
    </row>
    <row r="8" s="1164" customFormat="1" ht="15.15" spans="1:29">
      <c r="A8" s="1201" t="s">
        <v>1491</v>
      </c>
      <c r="B8" s="1202"/>
      <c r="C8" s="1208" t="s">
        <v>1530</v>
      </c>
      <c r="D8" s="1204">
        <v>100</v>
      </c>
      <c r="E8" s="1208"/>
      <c r="F8" s="1206">
        <f>SUMIF(72:72,E8,73:73)-SUMIF(72:72,C8,73:73)+100</f>
        <v>0</v>
      </c>
      <c r="G8" s="1208"/>
      <c r="H8" s="1204">
        <f>SUMIF(72:72,G8,73:73)-SUMIF(72:72,C8,73:73)+100</f>
        <v>0</v>
      </c>
      <c r="I8" s="1208"/>
      <c r="J8" s="1204">
        <f>SUMIF(72:72,I8,73:73)-SUMIF(72:72,C8,73:73)+100</f>
        <v>0</v>
      </c>
      <c r="K8" s="1349"/>
      <c r="L8" s="1350"/>
      <c r="M8" s="1351"/>
      <c r="N8" s="1351"/>
      <c r="O8" s="1351"/>
      <c r="P8" s="1352" t="s">
        <v>1492</v>
      </c>
      <c r="Q8" s="1409"/>
      <c r="R8" s="1406" t="s">
        <v>1490</v>
      </c>
      <c r="S8" s="1407">
        <f t="shared" si="0"/>
        <v>0</v>
      </c>
      <c r="T8" s="1406" t="s">
        <v>1490</v>
      </c>
      <c r="U8" s="1407">
        <f t="shared" si="1"/>
        <v>0</v>
      </c>
      <c r="V8" s="1406" t="s">
        <v>1490</v>
      </c>
      <c r="W8" s="1407">
        <f t="shared" si="2"/>
        <v>0</v>
      </c>
      <c r="X8" s="1408"/>
      <c r="Y8" s="1352" t="s">
        <v>1492</v>
      </c>
      <c r="Z8" s="1409"/>
      <c r="AA8" s="1425" t="e">
        <f t="shared" ref="AA8:AA45" si="3">D8/F8</f>
        <v>#DIV/0!</v>
      </c>
      <c r="AB8" s="1425" t="e">
        <f t="shared" ref="AB8:AB45" si="4">D8/H8</f>
        <v>#DIV/0!</v>
      </c>
      <c r="AC8" s="1425" t="e">
        <f t="shared" ref="AC8:AC45" si="5">D8/J8</f>
        <v>#DIV/0!</v>
      </c>
    </row>
    <row r="9" s="1164" customFormat="1" ht="14.4" spans="1:29">
      <c r="A9" s="1209" t="s">
        <v>1493</v>
      </c>
      <c r="B9" s="1210" t="s">
        <v>1494</v>
      </c>
      <c r="C9" s="1211"/>
      <c r="D9" s="1212">
        <v>100</v>
      </c>
      <c r="E9" s="1211"/>
      <c r="F9" s="1212">
        <f>SUMIF(74:74,E9,75:75)-SUMIF(74:74,C9,75:75)+100</f>
        <v>100</v>
      </c>
      <c r="G9" s="1211"/>
      <c r="H9" s="1212">
        <f>SUMIF(74:74,G9,75:75)-SUMIF(74:74,C9,75:75)+100</f>
        <v>100</v>
      </c>
      <c r="I9" s="1211"/>
      <c r="J9" s="1212">
        <f>SUMIF(74:74,I9,75:75)-SUMIF(74:74,C9,75:75)+100</f>
        <v>100</v>
      </c>
      <c r="K9" s="1349"/>
      <c r="L9" s="1350"/>
      <c r="M9" s="1351"/>
      <c r="N9" s="1351"/>
      <c r="O9" s="1353"/>
      <c r="P9" s="749" t="s">
        <v>1495</v>
      </c>
      <c r="Q9" s="1410" t="str">
        <f t="shared" ref="Q9:Q15" si="6">B9</f>
        <v>用途</v>
      </c>
      <c r="R9" s="1406" t="s">
        <v>1490</v>
      </c>
      <c r="S9" s="1407">
        <f t="shared" si="0"/>
        <v>100</v>
      </c>
      <c r="T9" s="1406" t="s">
        <v>1490</v>
      </c>
      <c r="U9" s="1407">
        <f t="shared" si="1"/>
        <v>100</v>
      </c>
      <c r="V9" s="1406" t="s">
        <v>1490</v>
      </c>
      <c r="W9" s="1407">
        <f t="shared" si="2"/>
        <v>100</v>
      </c>
      <c r="X9" s="1408"/>
      <c r="Y9" s="1410" t="s">
        <v>1496</v>
      </c>
      <c r="Z9" s="1426" t="str">
        <f t="shared" ref="Z9:Z15" si="7">Q9</f>
        <v>用途</v>
      </c>
      <c r="AA9" s="1425">
        <f t="shared" si="3"/>
        <v>1</v>
      </c>
      <c r="AB9" s="1425">
        <f t="shared" si="4"/>
        <v>1</v>
      </c>
      <c r="AC9" s="1425">
        <f t="shared" si="5"/>
        <v>1</v>
      </c>
    </row>
    <row r="10" s="1165" customFormat="1" ht="28.8" spans="1:29">
      <c r="A10" s="1213"/>
      <c r="B10" s="1214" t="s">
        <v>1497</v>
      </c>
      <c r="C10" s="1215"/>
      <c r="D10" s="1216">
        <v>100</v>
      </c>
      <c r="E10" s="1550"/>
      <c r="F10" s="1216">
        <f>ROUND(100/'数据-取费表'!G16,0)</f>
        <v>139</v>
      </c>
      <c r="G10" s="1551"/>
      <c r="H10" s="1216">
        <f>ROUND(100/'数据-取费表'!G16,0)</f>
        <v>139</v>
      </c>
      <c r="I10" s="1551"/>
      <c r="J10" s="1216">
        <f>ROUND(100/'数据-取费表'!G16,0)</f>
        <v>139</v>
      </c>
      <c r="K10" s="1354"/>
      <c r="L10" s="1355"/>
      <c r="M10" s="1356"/>
      <c r="N10" s="1356"/>
      <c r="O10" s="1357"/>
      <c r="P10" s="749"/>
      <c r="Q10" s="1410" t="str">
        <f t="shared" si="6"/>
        <v>土地使用年限（年）</v>
      </c>
      <c r="R10" s="1406" t="s">
        <v>1490</v>
      </c>
      <c r="S10" s="1407">
        <f t="shared" si="0"/>
        <v>139</v>
      </c>
      <c r="T10" s="1406" t="s">
        <v>1490</v>
      </c>
      <c r="U10" s="1407">
        <f t="shared" si="1"/>
        <v>139</v>
      </c>
      <c r="V10" s="1406" t="s">
        <v>1490</v>
      </c>
      <c r="W10" s="1407">
        <f t="shared" si="2"/>
        <v>139</v>
      </c>
      <c r="X10" s="1408"/>
      <c r="Y10" s="1410"/>
      <c r="Z10" s="1426" t="str">
        <f t="shared" si="7"/>
        <v>土地使用年限（年）</v>
      </c>
      <c r="AA10" s="1425">
        <f t="shared" si="3"/>
        <v>0.719424460431655</v>
      </c>
      <c r="AB10" s="1425">
        <f t="shared" si="4"/>
        <v>0.719424460431655</v>
      </c>
      <c r="AC10" s="1425">
        <f t="shared" si="5"/>
        <v>0.719424460431655</v>
      </c>
    </row>
    <row r="11" ht="15" spans="1:29">
      <c r="A11" s="1217"/>
      <c r="B11" s="1214" t="s">
        <v>1498</v>
      </c>
      <c r="C11" s="1218"/>
      <c r="D11" s="1216">
        <v>100</v>
      </c>
      <c r="E11" s="1218"/>
      <c r="F11" s="1216" t="e">
        <f>LOOKUP(E11,79:79,80:80)-LOOKUP(C11,79:79,80:80)+100</f>
        <v>#N/A</v>
      </c>
      <c r="G11" s="1219"/>
      <c r="H11" s="1216" t="e">
        <f>LOOKUP(G11,79:79,80:80)-LOOKUP(C11,79:79,80:80)+100</f>
        <v>#N/A</v>
      </c>
      <c r="I11" s="1218"/>
      <c r="J11" s="1216" t="e">
        <f>LOOKUP(I11,79:79,80:80)-LOOKUP(C11,79:79,80:80)+100</f>
        <v>#N/A</v>
      </c>
      <c r="K11" s="1358"/>
      <c r="L11" s="1359"/>
      <c r="M11" s="1345"/>
      <c r="N11" s="1345"/>
      <c r="O11" s="1360"/>
      <c r="P11" s="749"/>
      <c r="Q11" s="1410" t="str">
        <f t="shared" si="6"/>
        <v>容积率</v>
      </c>
      <c r="R11" s="1406" t="s">
        <v>1490</v>
      </c>
      <c r="S11" s="1407" t="e">
        <f t="shared" si="0"/>
        <v>#N/A</v>
      </c>
      <c r="T11" s="1406" t="s">
        <v>1490</v>
      </c>
      <c r="U11" s="1407" t="e">
        <f t="shared" si="1"/>
        <v>#N/A</v>
      </c>
      <c r="V11" s="1406" t="s">
        <v>1490</v>
      </c>
      <c r="W11" s="1407" t="e">
        <f t="shared" si="2"/>
        <v>#N/A</v>
      </c>
      <c r="X11" s="1408"/>
      <c r="Y11" s="1410"/>
      <c r="Z11" s="1426" t="str">
        <f t="shared" si="7"/>
        <v>容积率</v>
      </c>
      <c r="AA11" s="1425" t="e">
        <f t="shared" si="3"/>
        <v>#N/A</v>
      </c>
      <c r="AB11" s="1425" t="e">
        <f t="shared" si="4"/>
        <v>#N/A</v>
      </c>
      <c r="AC11" s="1425" t="e">
        <f t="shared" si="5"/>
        <v>#N/A</v>
      </c>
    </row>
    <row r="12" s="1164" customFormat="1" ht="15" spans="1:29">
      <c r="A12" s="1220"/>
      <c r="B12" s="1221" t="s">
        <v>1634</v>
      </c>
      <c r="C12" s="1215"/>
      <c r="D12" s="1222">
        <v>100</v>
      </c>
      <c r="E12" s="1550"/>
      <c r="F12" s="1216">
        <f>SUMIF(81:81,E12,82:82)-SUMIF(81:81,C12,82:82)+100</f>
        <v>100</v>
      </c>
      <c r="G12" s="1551"/>
      <c r="H12" s="1216">
        <f>SUMIF(81:81,G12,82:82)-SUMIF(81:81,C12,82:82)+100</f>
        <v>100</v>
      </c>
      <c r="I12" s="1550"/>
      <c r="J12" s="1216">
        <f>SUMIF(81:81,I12,82:82)-SUMIF(81:81,C12,82:82)+100</f>
        <v>100</v>
      </c>
      <c r="K12" s="1354"/>
      <c r="L12" s="1350"/>
      <c r="M12" s="1351"/>
      <c r="N12" s="1351"/>
      <c r="O12" s="1353"/>
      <c r="P12" s="749"/>
      <c r="Q12" s="1410" t="str">
        <f t="shared" si="6"/>
        <v>配建</v>
      </c>
      <c r="R12" s="1406" t="s">
        <v>1490</v>
      </c>
      <c r="S12" s="1407">
        <f t="shared" si="0"/>
        <v>100</v>
      </c>
      <c r="T12" s="1406" t="s">
        <v>1490</v>
      </c>
      <c r="U12" s="1407">
        <f t="shared" si="1"/>
        <v>100</v>
      </c>
      <c r="V12" s="1406" t="s">
        <v>1490</v>
      </c>
      <c r="W12" s="1407">
        <f t="shared" si="2"/>
        <v>100</v>
      </c>
      <c r="X12" s="1408"/>
      <c r="Y12" s="1410"/>
      <c r="Z12" s="1426" t="str">
        <f t="shared" si="7"/>
        <v>配建</v>
      </c>
      <c r="AA12" s="1425">
        <f t="shared" si="3"/>
        <v>1</v>
      </c>
      <c r="AB12" s="1425">
        <f t="shared" si="4"/>
        <v>1</v>
      </c>
      <c r="AC12" s="1425">
        <f t="shared" si="5"/>
        <v>1</v>
      </c>
    </row>
    <row r="13" ht="15" spans="1:29">
      <c r="A13" s="1217"/>
      <c r="B13" s="1221">
        <v>111</v>
      </c>
      <c r="C13" s="1225"/>
      <c r="D13" s="1226">
        <v>100</v>
      </c>
      <c r="E13" s="1223"/>
      <c r="F13" s="1216">
        <f>SUMIF(83:83,E13,84:84)-SUMIF(83:83,C13,84:84)+100</f>
        <v>100</v>
      </c>
      <c r="G13" s="1224"/>
      <c r="H13" s="1226">
        <f>SUMIF(83:83,G13,84:84)-SUMIF(83:83,C13,84:84)+100</f>
        <v>100</v>
      </c>
      <c r="I13" s="1224"/>
      <c r="J13" s="1226">
        <f>SUMIF(83:83,I13,84:84)-SUMIF(83:83,C13,84:84)+100</f>
        <v>100</v>
      </c>
      <c r="K13" s="1354"/>
      <c r="L13" s="1361"/>
      <c r="M13" s="1345"/>
      <c r="N13" s="1345"/>
      <c r="O13" s="1360"/>
      <c r="P13" s="749"/>
      <c r="Q13" s="1410">
        <f t="shared" si="6"/>
        <v>111</v>
      </c>
      <c r="R13" s="1406" t="s">
        <v>1490</v>
      </c>
      <c r="S13" s="1407">
        <f t="shared" si="0"/>
        <v>100</v>
      </c>
      <c r="T13" s="1406" t="s">
        <v>1490</v>
      </c>
      <c r="U13" s="1407">
        <f t="shared" si="1"/>
        <v>100</v>
      </c>
      <c r="V13" s="1406" t="s">
        <v>1490</v>
      </c>
      <c r="W13" s="1407">
        <f t="shared" si="2"/>
        <v>100</v>
      </c>
      <c r="X13" s="1408"/>
      <c r="Y13" s="1410"/>
      <c r="Z13" s="1426">
        <f t="shared" si="7"/>
        <v>111</v>
      </c>
      <c r="AA13" s="1425">
        <f t="shared" si="3"/>
        <v>1</v>
      </c>
      <c r="AB13" s="1425">
        <f t="shared" si="4"/>
        <v>1</v>
      </c>
      <c r="AC13" s="1425">
        <f t="shared" si="5"/>
        <v>1</v>
      </c>
    </row>
    <row r="14" ht="15.75" spans="1:29">
      <c r="A14" s="1227"/>
      <c r="B14" s="1228">
        <v>111</v>
      </c>
      <c r="C14" s="1229"/>
      <c r="D14" s="1230">
        <v>100</v>
      </c>
      <c r="E14" s="1223"/>
      <c r="F14" s="1230">
        <f>SUMIF(85:85,E14,86:86)-SUMIF(85:85,C14,86:86)+100</f>
        <v>100</v>
      </c>
      <c r="G14" s="1224"/>
      <c r="H14" s="1230">
        <f>SUMIF(85:85,G14,86:86)-SUMIF(85:85,C14,86:86)+100</f>
        <v>100</v>
      </c>
      <c r="I14" s="1224"/>
      <c r="J14" s="1230">
        <f>SUMIF(85:85,I14,86:86)-SUMIF(85:85,C14,86:86)+100</f>
        <v>100</v>
      </c>
      <c r="K14" s="1354"/>
      <c r="L14" s="1361"/>
      <c r="M14" s="1345"/>
      <c r="N14" s="1345"/>
      <c r="O14" s="1360"/>
      <c r="P14" s="749"/>
      <c r="Q14" s="1410">
        <f t="shared" si="6"/>
        <v>111</v>
      </c>
      <c r="R14" s="1406" t="s">
        <v>1490</v>
      </c>
      <c r="S14" s="1407">
        <f t="shared" si="0"/>
        <v>100</v>
      </c>
      <c r="T14" s="1406" t="s">
        <v>1490</v>
      </c>
      <c r="U14" s="1407">
        <f t="shared" si="1"/>
        <v>100</v>
      </c>
      <c r="V14" s="1406" t="s">
        <v>1490</v>
      </c>
      <c r="W14" s="1407">
        <f t="shared" si="2"/>
        <v>100</v>
      </c>
      <c r="X14" s="1408"/>
      <c r="Y14" s="1410"/>
      <c r="Z14" s="1426">
        <f t="shared" si="7"/>
        <v>111</v>
      </c>
      <c r="AA14" s="1425">
        <f t="shared" si="3"/>
        <v>1</v>
      </c>
      <c r="AB14" s="1425">
        <f t="shared" si="4"/>
        <v>1</v>
      </c>
      <c r="AC14" s="1425">
        <f t="shared" si="5"/>
        <v>1</v>
      </c>
    </row>
    <row r="15" ht="100.8" spans="1:29">
      <c r="A15" s="1231" t="s">
        <v>1499</v>
      </c>
      <c r="B15" s="1552" t="s">
        <v>1500</v>
      </c>
      <c r="C15" s="1553" t="str">
        <f>估价对象房地状况!C15</f>
        <v>估价对象周边居住用地比例、居住小区规模和社区发展完善程度，综合评价居住社区成熟度一般</v>
      </c>
      <c r="D15" s="1234">
        <v>100</v>
      </c>
      <c r="E15" s="1235"/>
      <c r="F15" s="1234">
        <f>SUMIF(87:87,E16,88:88)-SUMIF(87:87,C16,88:88)+100</f>
        <v>100</v>
      </c>
      <c r="G15" s="1235"/>
      <c r="H15" s="1234">
        <f>SUMIF(87:87,G16,88:88)-SUMIF(87:87,C16,88:88)+100</f>
        <v>100</v>
      </c>
      <c r="I15" s="1362"/>
      <c r="J15" s="1234">
        <f>SUMIF(87:87,I16,88:88)-SUMIF(87:87,C16,88:88)+100</f>
        <v>100</v>
      </c>
      <c r="K15" s="1358"/>
      <c r="L15" s="1361"/>
      <c r="M15" s="1345"/>
      <c r="N15" s="1345"/>
      <c r="O15" s="1360"/>
      <c r="P15" s="1363" t="s">
        <v>1501</v>
      </c>
      <c r="Q15" s="749" t="str">
        <f t="shared" si="6"/>
        <v>居住社区成熟度</v>
      </c>
      <c r="R15" s="1411" t="s">
        <v>1490</v>
      </c>
      <c r="S15" s="1412">
        <f t="shared" si="0"/>
        <v>100</v>
      </c>
      <c r="T15" s="1411" t="s">
        <v>1490</v>
      </c>
      <c r="U15" s="1412">
        <f t="shared" si="1"/>
        <v>100</v>
      </c>
      <c r="V15" s="1411" t="s">
        <v>1490</v>
      </c>
      <c r="W15" s="1412">
        <f t="shared" si="2"/>
        <v>100</v>
      </c>
      <c r="X15" s="1398"/>
      <c r="Y15" s="1363" t="s">
        <v>1501</v>
      </c>
      <c r="Z15" s="1385" t="str">
        <f t="shared" si="7"/>
        <v>居住社区成熟度</v>
      </c>
      <c r="AA15" s="1427">
        <f t="shared" si="3"/>
        <v>1</v>
      </c>
      <c r="AB15" s="1427">
        <f t="shared" si="4"/>
        <v>1</v>
      </c>
      <c r="AC15" s="1427">
        <f t="shared" si="5"/>
        <v>1</v>
      </c>
    </row>
    <row r="16" ht="15" spans="1:29">
      <c r="A16" s="1217"/>
      <c r="B16" s="1554"/>
      <c r="C16" s="1237"/>
      <c r="D16" s="1238"/>
      <c r="E16" s="1246"/>
      <c r="F16" s="1238"/>
      <c r="G16" s="1246"/>
      <c r="H16" s="1240"/>
      <c r="I16" s="1366"/>
      <c r="J16" s="1238"/>
      <c r="K16" s="1354"/>
      <c r="L16" s="1361"/>
      <c r="M16" s="1345"/>
      <c r="N16" s="1345"/>
      <c r="O16" s="1360"/>
      <c r="P16" s="1364"/>
      <c r="Q16" s="749"/>
      <c r="R16" s="1411"/>
      <c r="S16" s="1412"/>
      <c r="T16" s="1411"/>
      <c r="U16" s="1412"/>
      <c r="V16" s="1411"/>
      <c r="W16" s="1412"/>
      <c r="X16" s="1398"/>
      <c r="Y16" s="1364"/>
      <c r="Z16" s="1385"/>
      <c r="AA16" s="1427">
        <v>1</v>
      </c>
      <c r="AB16" s="1427">
        <v>1</v>
      </c>
      <c r="AC16" s="1427">
        <v>1</v>
      </c>
    </row>
    <row r="17" ht="86.4" spans="1:29">
      <c r="A17" s="1217"/>
      <c r="B17" s="1555" t="s">
        <v>1563</v>
      </c>
      <c r="C17" s="746" t="str">
        <f>估价对象房地状况!C16</f>
        <v>估价对象位于XX商圈，周边商业氛围成熟，人流量大，商业繁华度好</v>
      </c>
      <c r="D17" s="1240">
        <v>100</v>
      </c>
      <c r="E17" s="1243"/>
      <c r="F17" s="1240">
        <f>SUMIF(89:89,E18,90:90)-SUMIF(89:89,C18,90:90)+100</f>
        <v>100</v>
      </c>
      <c r="G17" s="1243"/>
      <c r="H17" s="1244">
        <f>SUMIF(89:89,G18,90:90)-SUMIF(89:89,C18,90:90)+100</f>
        <v>100</v>
      </c>
      <c r="I17" s="1365"/>
      <c r="J17" s="1244">
        <f>SUMIF(89:89,I18,90:90)-SUMIF(89:89,C18,90:90)+100</f>
        <v>100</v>
      </c>
      <c r="K17" s="1358"/>
      <c r="L17" s="1361"/>
      <c r="M17" s="1345"/>
      <c r="N17" s="1345"/>
      <c r="O17" s="1360"/>
      <c r="P17" s="1364"/>
      <c r="Q17" s="749" t="str">
        <f>B17</f>
        <v>商业繁华度</v>
      </c>
      <c r="R17" s="1411" t="s">
        <v>1490</v>
      </c>
      <c r="S17" s="1412">
        <f>F17</f>
        <v>100</v>
      </c>
      <c r="T17" s="1411" t="s">
        <v>1490</v>
      </c>
      <c r="U17" s="1412">
        <f>H17</f>
        <v>100</v>
      </c>
      <c r="V17" s="1411" t="s">
        <v>1490</v>
      </c>
      <c r="W17" s="1412">
        <f>J17</f>
        <v>100</v>
      </c>
      <c r="X17" s="1398"/>
      <c r="Y17" s="1364"/>
      <c r="Z17" s="1385" t="str">
        <f>Q17</f>
        <v>商业繁华度</v>
      </c>
      <c r="AA17" s="1427">
        <f t="shared" si="3"/>
        <v>1</v>
      </c>
      <c r="AB17" s="1427">
        <f t="shared" si="4"/>
        <v>1</v>
      </c>
      <c r="AC17" s="1427">
        <f t="shared" si="5"/>
        <v>1</v>
      </c>
    </row>
    <row r="18" ht="15" spans="1:29">
      <c r="A18" s="1217"/>
      <c r="B18" s="1265"/>
      <c r="C18" s="1556"/>
      <c r="D18" s="1240"/>
      <c r="E18" s="1557"/>
      <c r="F18" s="1240"/>
      <c r="G18" s="1557"/>
      <c r="H18" s="1238"/>
      <c r="I18" s="1565"/>
      <c r="J18" s="1238"/>
      <c r="K18" s="1354"/>
      <c r="L18" s="1361"/>
      <c r="M18" s="1345"/>
      <c r="N18" s="1345"/>
      <c r="O18" s="1360"/>
      <c r="P18" s="1364"/>
      <c r="Q18" s="749"/>
      <c r="R18" s="1411"/>
      <c r="S18" s="1412"/>
      <c r="T18" s="1411"/>
      <c r="U18" s="1412"/>
      <c r="V18" s="1411"/>
      <c r="W18" s="1412"/>
      <c r="X18" s="1398"/>
      <c r="Y18" s="1364"/>
      <c r="Z18" s="1385"/>
      <c r="AA18" s="1427">
        <v>1</v>
      </c>
      <c r="AB18" s="1427">
        <v>1</v>
      </c>
      <c r="AC18" s="1427">
        <v>1</v>
      </c>
    </row>
    <row r="19" ht="86.4" spans="1:29">
      <c r="A19" s="1217"/>
      <c r="B19" s="1555" t="s">
        <v>1582</v>
      </c>
      <c r="C19" s="746" t="str">
        <f>估价对象房地状况!C17</f>
        <v>估价对象位于XX商圈，周边办公楼项目较多，入驻率高，办公集聚程度较好</v>
      </c>
      <c r="D19" s="1244">
        <v>100</v>
      </c>
      <c r="E19" s="1558"/>
      <c r="F19" s="1244">
        <f>SUMIF(91:91,E20,92:92)-SUMIF(91:91,C20,92:92)+100</f>
        <v>100</v>
      </c>
      <c r="G19" s="1558"/>
      <c r="H19" s="1240">
        <f>SUMIF(91:91,G20,92:92)-SUMIF(91:91,C20,92:92)+100</f>
        <v>100</v>
      </c>
      <c r="I19" s="1566"/>
      <c r="J19" s="1240">
        <f>SUMIF(91:91,I20,92:92)-SUMIF(91:91,C20,92:92)+100</f>
        <v>100</v>
      </c>
      <c r="K19" s="1358"/>
      <c r="L19" s="1361"/>
      <c r="M19" s="1345"/>
      <c r="N19" s="1345"/>
      <c r="O19" s="1360"/>
      <c r="P19" s="1364"/>
      <c r="Q19" s="749" t="str">
        <f>B19</f>
        <v>办公集聚程度</v>
      </c>
      <c r="R19" s="1411" t="s">
        <v>1490</v>
      </c>
      <c r="S19" s="1412">
        <f>F19</f>
        <v>100</v>
      </c>
      <c r="T19" s="1411" t="s">
        <v>1490</v>
      </c>
      <c r="U19" s="1412">
        <f>H19</f>
        <v>100</v>
      </c>
      <c r="V19" s="1411" t="s">
        <v>1490</v>
      </c>
      <c r="W19" s="1412">
        <f>J19</f>
        <v>100</v>
      </c>
      <c r="X19" s="1398"/>
      <c r="Y19" s="1364"/>
      <c r="Z19" s="1385" t="str">
        <f>Q19</f>
        <v>办公集聚程度</v>
      </c>
      <c r="AA19" s="1427">
        <f t="shared" si="3"/>
        <v>1</v>
      </c>
      <c r="AB19" s="1427">
        <f t="shared" si="4"/>
        <v>1</v>
      </c>
      <c r="AC19" s="1427">
        <f t="shared" si="5"/>
        <v>1</v>
      </c>
    </row>
    <row r="20" ht="15" spans="1:29">
      <c r="A20" s="1217"/>
      <c r="B20" s="1265"/>
      <c r="C20" s="1237"/>
      <c r="D20" s="1238"/>
      <c r="E20" s="1246"/>
      <c r="F20" s="1238"/>
      <c r="G20" s="1246"/>
      <c r="H20" s="1238"/>
      <c r="I20" s="1366"/>
      <c r="J20" s="1238"/>
      <c r="K20" s="1354"/>
      <c r="L20" s="1361"/>
      <c r="M20" s="1345"/>
      <c r="N20" s="1345"/>
      <c r="O20" s="1360"/>
      <c r="P20" s="1364"/>
      <c r="Q20" s="749"/>
      <c r="R20" s="1411"/>
      <c r="S20" s="1412"/>
      <c r="T20" s="1411"/>
      <c r="U20" s="1412"/>
      <c r="V20" s="1411"/>
      <c r="W20" s="1412"/>
      <c r="X20" s="1398"/>
      <c r="Y20" s="1364"/>
      <c r="Z20" s="1385"/>
      <c r="AA20" s="1427">
        <v>1</v>
      </c>
      <c r="AB20" s="1427">
        <v>1</v>
      </c>
      <c r="AC20" s="1427">
        <v>1</v>
      </c>
    </row>
    <row r="21" ht="100.8" spans="1:29">
      <c r="A21" s="1217"/>
      <c r="B21" s="1555" t="s">
        <v>1502</v>
      </c>
      <c r="C21" s="1242" t="str">
        <f>估价对象房地状况!C18</f>
        <v>估价对象周边道路状况、公共交通通达情况、停车便捷程度，综合评价交通便捷度较好</v>
      </c>
      <c r="D21" s="1240">
        <v>100</v>
      </c>
      <c r="E21" s="1243"/>
      <c r="F21" s="1244">
        <f>SUMIF(93:93,E22,94:94)-SUMIF(93:93,C22,94:94)+100</f>
        <v>100</v>
      </c>
      <c r="G21" s="1243"/>
      <c r="H21" s="1240">
        <f>SUMIF(93:93,G22,94:94)-SUMIF(93:93,C22,94:94)+100</f>
        <v>100</v>
      </c>
      <c r="I21" s="1365"/>
      <c r="J21" s="1240">
        <f>SUMIF(93:93,I22,94:94)-SUMIF(93:93,C22,94:94)+100</f>
        <v>100</v>
      </c>
      <c r="K21" s="1358"/>
      <c r="L21" s="1361"/>
      <c r="M21" s="1345"/>
      <c r="N21" s="1345"/>
      <c r="O21" s="1360"/>
      <c r="P21" s="1364"/>
      <c r="Q21" s="749" t="str">
        <f>B21</f>
        <v>交通便捷度</v>
      </c>
      <c r="R21" s="1411" t="s">
        <v>1490</v>
      </c>
      <c r="S21" s="1412">
        <f>F21</f>
        <v>100</v>
      </c>
      <c r="T21" s="1411" t="s">
        <v>1490</v>
      </c>
      <c r="U21" s="1412">
        <f>H21</f>
        <v>100</v>
      </c>
      <c r="V21" s="1411" t="s">
        <v>1490</v>
      </c>
      <c r="W21" s="1412">
        <f>J21</f>
        <v>100</v>
      </c>
      <c r="X21" s="1398"/>
      <c r="Y21" s="1364"/>
      <c r="Z21" s="1385" t="str">
        <f>Q21</f>
        <v>交通便捷度</v>
      </c>
      <c r="AA21" s="1427">
        <f t="shared" si="3"/>
        <v>1</v>
      </c>
      <c r="AB21" s="1427">
        <f t="shared" si="4"/>
        <v>1</v>
      </c>
      <c r="AC21" s="1427">
        <f t="shared" si="5"/>
        <v>1</v>
      </c>
    </row>
    <row r="22" ht="15" spans="1:29">
      <c r="A22" s="1217"/>
      <c r="B22" s="1559"/>
      <c r="C22" s="1237"/>
      <c r="D22" s="1240"/>
      <c r="E22" s="1246"/>
      <c r="F22" s="1238"/>
      <c r="G22" s="1246"/>
      <c r="H22" s="1238"/>
      <c r="I22" s="1366"/>
      <c r="J22" s="1238"/>
      <c r="K22" s="1354"/>
      <c r="L22" s="1361"/>
      <c r="M22" s="1345"/>
      <c r="N22" s="1345"/>
      <c r="O22" s="1360"/>
      <c r="P22" s="1364"/>
      <c r="Q22" s="749"/>
      <c r="R22" s="1411"/>
      <c r="S22" s="1412"/>
      <c r="T22" s="1411"/>
      <c r="U22" s="1412"/>
      <c r="V22" s="1411"/>
      <c r="W22" s="1412"/>
      <c r="X22" s="1398"/>
      <c r="Y22" s="1364"/>
      <c r="Z22" s="1385"/>
      <c r="AA22" s="1427">
        <v>1</v>
      </c>
      <c r="AB22" s="1427">
        <v>1</v>
      </c>
      <c r="AC22" s="1427">
        <v>1</v>
      </c>
    </row>
    <row r="23" ht="28.8" spans="1:29">
      <c r="A23" s="1189"/>
      <c r="B23" s="1555" t="s">
        <v>1635</v>
      </c>
      <c r="C23" s="1255">
        <f>估价对象房地状况!C19</f>
        <v>0</v>
      </c>
      <c r="D23" s="1244">
        <v>100</v>
      </c>
      <c r="E23" s="1243"/>
      <c r="F23" s="1244">
        <f>SUMIF(95:95,E24,96:96)-SUMIF(95:95,C24,96:96)+100</f>
        <v>100</v>
      </c>
      <c r="G23" s="1365"/>
      <c r="H23" s="1244">
        <f>SUMIF(95:95,G24,96:96)-SUMIF(95:95,C24,96:96)+100</f>
        <v>100</v>
      </c>
      <c r="I23" s="1365"/>
      <c r="J23" s="1244">
        <f>SUMIF(95:95,I24,96:96)-SUMIF(95:95,C24,96:96)+100</f>
        <v>100</v>
      </c>
      <c r="K23" s="1358"/>
      <c r="L23" s="1361"/>
      <c r="M23" s="1345"/>
      <c r="N23" s="1345"/>
      <c r="O23" s="1360"/>
      <c r="P23" s="1364"/>
      <c r="Q23" s="749" t="str">
        <f t="shared" ref="Q23:Q38" si="8">B23</f>
        <v>区域土地利用方向</v>
      </c>
      <c r="R23" s="1411" t="s">
        <v>1490</v>
      </c>
      <c r="S23" s="1412">
        <f>F23</f>
        <v>100</v>
      </c>
      <c r="T23" s="1411" t="s">
        <v>1490</v>
      </c>
      <c r="U23" s="1412">
        <f>H23</f>
        <v>100</v>
      </c>
      <c r="V23" s="1411" t="s">
        <v>1490</v>
      </c>
      <c r="W23" s="1412">
        <f>J23</f>
        <v>100</v>
      </c>
      <c r="X23" s="1398"/>
      <c r="Y23" s="1364"/>
      <c r="Z23" s="1385" t="str">
        <f>Q23</f>
        <v>区域土地利用方向</v>
      </c>
      <c r="AA23" s="1427">
        <f t="shared" si="3"/>
        <v>1</v>
      </c>
      <c r="AB23" s="1427">
        <f t="shared" si="4"/>
        <v>1</v>
      </c>
      <c r="AC23" s="1427">
        <f t="shared" si="5"/>
        <v>1</v>
      </c>
    </row>
    <row r="24" ht="15" spans="1:29">
      <c r="A24" s="1189"/>
      <c r="B24" s="1265"/>
      <c r="C24" s="1251"/>
      <c r="D24" s="1238"/>
      <c r="E24" s="1246"/>
      <c r="F24" s="1238"/>
      <c r="G24" s="1366"/>
      <c r="H24" s="1238"/>
      <c r="I24" s="1366"/>
      <c r="J24" s="1238"/>
      <c r="K24" s="1367"/>
      <c r="L24" s="1361"/>
      <c r="M24" s="1345"/>
      <c r="N24" s="1345"/>
      <c r="O24" s="1360"/>
      <c r="P24" s="1364"/>
      <c r="Q24" s="749"/>
      <c r="R24" s="1411"/>
      <c r="S24" s="1412"/>
      <c r="T24" s="1411"/>
      <c r="U24" s="1412"/>
      <c r="V24" s="1411"/>
      <c r="W24" s="1412"/>
      <c r="X24" s="1398"/>
      <c r="Y24" s="1364"/>
      <c r="Z24" s="1385"/>
      <c r="AA24" s="1427"/>
      <c r="AB24" s="1427"/>
      <c r="AC24" s="1427"/>
    </row>
    <row r="25" ht="57.6" spans="1:29">
      <c r="A25" s="1189"/>
      <c r="B25" s="1559" t="s">
        <v>1636</v>
      </c>
      <c r="C25" s="746" t="str">
        <f>估价对象房地状况!C20</f>
        <v>区域自然环境：；人文环境；综合评价环境状况一般</v>
      </c>
      <c r="D25" s="1240">
        <v>100</v>
      </c>
      <c r="E25" s="1243"/>
      <c r="F25" s="1240">
        <f>SUMIF(97:97,E26,98:98)-SUMIF(97:97,C26,98:98)+100</f>
        <v>100</v>
      </c>
      <c r="G25" s="1243"/>
      <c r="H25" s="1240">
        <f>SUMIF(97:97,G26,98:98)-SUMIF(97:97,C26,98:98)+100</f>
        <v>100</v>
      </c>
      <c r="I25" s="1365"/>
      <c r="J25" s="1240">
        <f>SUMIF(97:97,I26,98:98)-SUMIF(97:97,C26,98:98)+100</f>
        <v>100</v>
      </c>
      <c r="K25" s="1358"/>
      <c r="L25" s="1361"/>
      <c r="M25" s="1345"/>
      <c r="N25" s="1345"/>
      <c r="O25" s="1360"/>
      <c r="P25" s="1364"/>
      <c r="Q25" s="749" t="str">
        <f t="shared" si="8"/>
        <v>自然及人文环境状况</v>
      </c>
      <c r="R25" s="1411" t="s">
        <v>1490</v>
      </c>
      <c r="S25" s="1412">
        <f>F25</f>
        <v>100</v>
      </c>
      <c r="T25" s="1411" t="s">
        <v>1490</v>
      </c>
      <c r="U25" s="1412">
        <f>H25</f>
        <v>100</v>
      </c>
      <c r="V25" s="1411" t="s">
        <v>1490</v>
      </c>
      <c r="W25" s="1412">
        <f>J25</f>
        <v>100</v>
      </c>
      <c r="X25" s="1398"/>
      <c r="Y25" s="1364"/>
      <c r="Z25" s="1385" t="str">
        <f>Q25</f>
        <v>自然及人文环境状况</v>
      </c>
      <c r="AA25" s="1427">
        <f t="shared" si="3"/>
        <v>1</v>
      </c>
      <c r="AB25" s="1427">
        <f t="shared" si="4"/>
        <v>1</v>
      </c>
      <c r="AC25" s="1427">
        <f t="shared" si="5"/>
        <v>1</v>
      </c>
    </row>
    <row r="26" ht="15" spans="1:29">
      <c r="A26" s="1189"/>
      <c r="B26" s="1265"/>
      <c r="C26" s="1237"/>
      <c r="D26" s="1238"/>
      <c r="E26" s="1239"/>
      <c r="F26" s="1238"/>
      <c r="G26" s="1239"/>
      <c r="H26" s="1238"/>
      <c r="I26" s="1237"/>
      <c r="J26" s="1238"/>
      <c r="K26" s="1354"/>
      <c r="L26" s="1361"/>
      <c r="M26" s="1345"/>
      <c r="N26" s="1345"/>
      <c r="O26" s="1360"/>
      <c r="P26" s="1364"/>
      <c r="Q26" s="749"/>
      <c r="R26" s="1411"/>
      <c r="S26" s="1412"/>
      <c r="T26" s="1411"/>
      <c r="U26" s="1412"/>
      <c r="V26" s="1411"/>
      <c r="W26" s="1412"/>
      <c r="X26" s="1398"/>
      <c r="Y26" s="1364"/>
      <c r="Z26" s="1385"/>
      <c r="AA26" s="1427">
        <v>1</v>
      </c>
      <c r="AB26" s="1427">
        <v>1</v>
      </c>
      <c r="AC26" s="1427">
        <v>1</v>
      </c>
    </row>
    <row r="27" s="1164" customFormat="1" ht="43.2" spans="1:29">
      <c r="A27" s="1247"/>
      <c r="B27" s="1559" t="s">
        <v>1503</v>
      </c>
      <c r="C27" s="1242" t="str">
        <f>估价对象房地状况!C21</f>
        <v>估价对象所在区域公共配套设施齐备情况</v>
      </c>
      <c r="D27" s="1240">
        <v>100</v>
      </c>
      <c r="E27" s="1243"/>
      <c r="F27" s="1240">
        <f>SUMIF(99:99,E28,100:100)-SUMIF(99:99,C28,100:100)+100</f>
        <v>100</v>
      </c>
      <c r="G27" s="1243"/>
      <c r="H27" s="1240">
        <f>SUMIF(99:99,G28,100:100)-SUMIF(99:99,C28,100:100)+100</f>
        <v>100</v>
      </c>
      <c r="I27" s="1365"/>
      <c r="J27" s="1240">
        <f>SUMIF(99:99,I28,100:100)-SUMIF(99:99,C28,100:100)+100</f>
        <v>100</v>
      </c>
      <c r="K27" s="1358"/>
      <c r="L27" s="1350"/>
      <c r="M27" s="1351"/>
      <c r="N27" s="1351"/>
      <c r="O27" s="1353"/>
      <c r="P27" s="1364"/>
      <c r="Q27" s="1410" t="str">
        <f t="shared" si="8"/>
        <v>公共配套设施</v>
      </c>
      <c r="R27" s="1406" t="s">
        <v>1490</v>
      </c>
      <c r="S27" s="1407">
        <f>F27</f>
        <v>100</v>
      </c>
      <c r="T27" s="1406" t="s">
        <v>1490</v>
      </c>
      <c r="U27" s="1407">
        <f>H27</f>
        <v>100</v>
      </c>
      <c r="V27" s="1406" t="s">
        <v>1490</v>
      </c>
      <c r="W27" s="1407">
        <f>J27</f>
        <v>100</v>
      </c>
      <c r="X27" s="1408"/>
      <c r="Y27" s="1364"/>
      <c r="Z27" s="1426" t="str">
        <f>Q27</f>
        <v>公共配套设施</v>
      </c>
      <c r="AA27" s="1427">
        <f>D27/F27</f>
        <v>1</v>
      </c>
      <c r="AB27" s="1427">
        <f>D27/H27</f>
        <v>1</v>
      </c>
      <c r="AC27" s="1427">
        <f>D27/J27</f>
        <v>1</v>
      </c>
    </row>
    <row r="28" s="1164" customFormat="1" ht="15" spans="1:29">
      <c r="A28" s="1247"/>
      <c r="B28" s="1265"/>
      <c r="C28" s="1249"/>
      <c r="D28" s="1238"/>
      <c r="E28" s="1239"/>
      <c r="F28" s="1238"/>
      <c r="G28" s="1239"/>
      <c r="H28" s="1238"/>
      <c r="I28" s="1237"/>
      <c r="J28" s="1238"/>
      <c r="K28" s="1354"/>
      <c r="L28" s="1350"/>
      <c r="M28" s="1351"/>
      <c r="N28" s="1351"/>
      <c r="O28" s="1353"/>
      <c r="P28" s="1364"/>
      <c r="Q28" s="1410"/>
      <c r="R28" s="1406"/>
      <c r="S28" s="1407"/>
      <c r="T28" s="1406"/>
      <c r="U28" s="1407"/>
      <c r="V28" s="1406"/>
      <c r="W28" s="1407"/>
      <c r="X28" s="1408"/>
      <c r="Y28" s="1364"/>
      <c r="Z28" s="1426"/>
      <c r="AA28" s="1427">
        <v>1</v>
      </c>
      <c r="AB28" s="1427">
        <v>1</v>
      </c>
      <c r="AC28" s="1427">
        <v>1</v>
      </c>
    </row>
    <row r="29" s="1164" customFormat="1" ht="43.2" spans="1:29">
      <c r="A29" s="1247"/>
      <c r="B29" s="1559" t="s">
        <v>1504</v>
      </c>
      <c r="C29" s="1242" t="str">
        <f>估价对象房地状况!C22</f>
        <v>估价对象所在区域基础设施水平</v>
      </c>
      <c r="D29" s="1240">
        <v>100</v>
      </c>
      <c r="E29" s="1243"/>
      <c r="F29" s="1240">
        <f>SUMIF(101:101,E30,102:102)-SUMIF(101:101,C30,102:102)+100</f>
        <v>100</v>
      </c>
      <c r="G29" s="1243"/>
      <c r="H29" s="1240">
        <f>SUMIF(101:101,G30,102:102)-SUMIF(101:101,C30,102:102)+100</f>
        <v>100</v>
      </c>
      <c r="I29" s="1365"/>
      <c r="J29" s="1240">
        <f>SUMIF(101:101,I30,102:102)-SUMIF(101:101,C30,102:102)+100</f>
        <v>100</v>
      </c>
      <c r="K29" s="1358"/>
      <c r="L29" s="1350"/>
      <c r="M29" s="1351"/>
      <c r="N29" s="1351"/>
      <c r="O29" s="1353"/>
      <c r="P29" s="1364"/>
      <c r="Q29" s="1410" t="str">
        <f t="shared" ref="Q29" si="9">B29</f>
        <v>基础设施水平</v>
      </c>
      <c r="R29" s="1406" t="s">
        <v>1490</v>
      </c>
      <c r="S29" s="1407">
        <f>F29</f>
        <v>100</v>
      </c>
      <c r="T29" s="1406" t="s">
        <v>1490</v>
      </c>
      <c r="U29" s="1407">
        <f>H29</f>
        <v>100</v>
      </c>
      <c r="V29" s="1406" t="s">
        <v>1490</v>
      </c>
      <c r="W29" s="1407">
        <f>J29</f>
        <v>100</v>
      </c>
      <c r="X29" s="1408"/>
      <c r="Y29" s="1364"/>
      <c r="Z29" s="1426" t="str">
        <f>Q29</f>
        <v>基础设施水平</v>
      </c>
      <c r="AA29" s="1427">
        <f>D29/F29</f>
        <v>1</v>
      </c>
      <c r="AB29" s="1427">
        <f>D29/H29</f>
        <v>1</v>
      </c>
      <c r="AC29" s="1427">
        <f>D29/J29</f>
        <v>1</v>
      </c>
    </row>
    <row r="30" s="1164" customFormat="1" ht="15" spans="1:29">
      <c r="A30" s="1247"/>
      <c r="B30" s="1265"/>
      <c r="C30" s="1249"/>
      <c r="D30" s="1238"/>
      <c r="E30" s="1250"/>
      <c r="F30" s="1238"/>
      <c r="G30" s="1250"/>
      <c r="H30" s="1238"/>
      <c r="I30" s="1250"/>
      <c r="J30" s="1238"/>
      <c r="K30" s="1354"/>
      <c r="L30" s="1350"/>
      <c r="M30" s="1351"/>
      <c r="N30" s="1351"/>
      <c r="O30" s="1353"/>
      <c r="P30" s="1364"/>
      <c r="Q30" s="1410"/>
      <c r="R30" s="1406"/>
      <c r="S30" s="1407"/>
      <c r="T30" s="1406"/>
      <c r="U30" s="1407"/>
      <c r="V30" s="1406"/>
      <c r="W30" s="1407"/>
      <c r="X30" s="1408"/>
      <c r="Y30" s="1364"/>
      <c r="Z30" s="1426"/>
      <c r="AA30" s="1427">
        <v>1</v>
      </c>
      <c r="AB30" s="1427">
        <v>1</v>
      </c>
      <c r="AC30" s="1427">
        <v>1</v>
      </c>
    </row>
    <row r="31" ht="15" spans="1:29">
      <c r="A31" s="1217"/>
      <c r="B31" s="1265" t="s">
        <v>1564</v>
      </c>
      <c r="C31" s="1251"/>
      <c r="D31" s="1226">
        <v>100</v>
      </c>
      <c r="E31" s="1252"/>
      <c r="F31" s="1226">
        <f>SUMIF(103:103,E31,104:104)-SUMIF(103:103,C31,104:104)+100</f>
        <v>100</v>
      </c>
      <c r="G31" s="1252"/>
      <c r="H31" s="1226">
        <f>SUMIF(103:103,G31,104:104)-SUMIF(103:103,C31,104:104)+100</f>
        <v>100</v>
      </c>
      <c r="I31" s="1252"/>
      <c r="J31" s="1226">
        <f>SUMIF(103:103,I31,104:104)-SUMIF(103:103,C31,104:104)+100</f>
        <v>100</v>
      </c>
      <c r="K31" s="1358"/>
      <c r="L31" s="1361"/>
      <c r="M31" s="1345"/>
      <c r="N31" s="1345"/>
      <c r="O31" s="1360"/>
      <c r="P31" s="1364"/>
      <c r="Q31" s="749" t="str">
        <f t="shared" si="8"/>
        <v>临街状况</v>
      </c>
      <c r="R31" s="1411" t="s">
        <v>1490</v>
      </c>
      <c r="S31" s="1412">
        <f t="shared" ref="S31:S45" si="10">F31</f>
        <v>100</v>
      </c>
      <c r="T31" s="1411" t="s">
        <v>1490</v>
      </c>
      <c r="U31" s="1412">
        <f t="shared" ref="U31:U45" si="11">H31</f>
        <v>100</v>
      </c>
      <c r="V31" s="1411" t="s">
        <v>1490</v>
      </c>
      <c r="W31" s="1412">
        <f t="shared" ref="W31:W45" si="12">J31</f>
        <v>100</v>
      </c>
      <c r="X31" s="1398"/>
      <c r="Y31" s="1364"/>
      <c r="Z31" s="1385" t="str">
        <f t="shared" ref="Z31:Z45" si="13">Q31</f>
        <v>临街状况</v>
      </c>
      <c r="AA31" s="1427">
        <f t="shared" si="3"/>
        <v>1</v>
      </c>
      <c r="AB31" s="1427">
        <f t="shared" si="4"/>
        <v>1</v>
      </c>
      <c r="AC31" s="1427">
        <f t="shared" si="5"/>
        <v>1</v>
      </c>
    </row>
    <row r="32" ht="28.8" spans="1:29">
      <c r="A32" s="1217"/>
      <c r="B32" s="1559" t="s">
        <v>1586</v>
      </c>
      <c r="C32" s="1365"/>
      <c r="D32" s="1240">
        <v>100</v>
      </c>
      <c r="E32" s="1243"/>
      <c r="F32" s="1240">
        <f>SUMIF(105:105,E33,106:106)-SUMIF(105:105,C33,106:106)+100</f>
        <v>100</v>
      </c>
      <c r="G32" s="1243"/>
      <c r="H32" s="1240">
        <f>SUMIF(105:105,G33,106:106)-SUMIF(105:105,C33,106:106)+100</f>
        <v>100</v>
      </c>
      <c r="I32" s="1365"/>
      <c r="J32" s="1240">
        <f>SUMIF(105:105,I33,106:106)-SUMIF(105:105,C33,106:106)+100</f>
        <v>100</v>
      </c>
      <c r="K32" s="1358"/>
      <c r="L32" s="1361"/>
      <c r="M32" s="1345"/>
      <c r="N32" s="1345"/>
      <c r="O32" s="1360"/>
      <c r="P32" s="1364"/>
      <c r="Q32" s="749" t="str">
        <f t="shared" si="8"/>
        <v>毗邻道路的类型与等级</v>
      </c>
      <c r="R32" s="1411" t="s">
        <v>1490</v>
      </c>
      <c r="S32" s="1412">
        <f t="shared" si="10"/>
        <v>100</v>
      </c>
      <c r="T32" s="1411" t="s">
        <v>1490</v>
      </c>
      <c r="U32" s="1412">
        <f t="shared" si="11"/>
        <v>100</v>
      </c>
      <c r="V32" s="1411" t="s">
        <v>1490</v>
      </c>
      <c r="W32" s="1412">
        <f t="shared" si="12"/>
        <v>100</v>
      </c>
      <c r="X32" s="1398"/>
      <c r="Y32" s="1364"/>
      <c r="Z32" s="1385" t="str">
        <f t="shared" si="13"/>
        <v>毗邻道路的类型与等级</v>
      </c>
      <c r="AA32" s="1427">
        <f t="shared" si="3"/>
        <v>1</v>
      </c>
      <c r="AB32" s="1427">
        <f t="shared" si="4"/>
        <v>1</v>
      </c>
      <c r="AC32" s="1427">
        <f t="shared" si="5"/>
        <v>1</v>
      </c>
    </row>
    <row r="33" ht="15" spans="1:29">
      <c r="A33" s="1217"/>
      <c r="B33" s="1265"/>
      <c r="C33" s="1237"/>
      <c r="D33" s="1238"/>
      <c r="E33" s="1239"/>
      <c r="F33" s="1238"/>
      <c r="G33" s="1239"/>
      <c r="H33" s="1238"/>
      <c r="I33" s="1237"/>
      <c r="J33" s="1238"/>
      <c r="K33" s="1368"/>
      <c r="L33" s="1361"/>
      <c r="M33" s="1345"/>
      <c r="N33" s="1345"/>
      <c r="O33" s="1360"/>
      <c r="P33" s="1364"/>
      <c r="Q33" s="749"/>
      <c r="R33" s="1411"/>
      <c r="S33" s="1412"/>
      <c r="T33" s="1411"/>
      <c r="U33" s="1412"/>
      <c r="V33" s="1411"/>
      <c r="W33" s="1412"/>
      <c r="X33" s="1398"/>
      <c r="Y33" s="1364"/>
      <c r="Z33" s="1385"/>
      <c r="AA33" s="1427">
        <v>1</v>
      </c>
      <c r="AB33" s="1427">
        <v>1</v>
      </c>
      <c r="AC33" s="1427">
        <v>1</v>
      </c>
    </row>
    <row r="34" ht="15" spans="1:29">
      <c r="A34" s="1217"/>
      <c r="B34" s="1214" t="s">
        <v>1637</v>
      </c>
      <c r="C34" s="1251"/>
      <c r="D34" s="1226">
        <v>100</v>
      </c>
      <c r="E34" s="1252"/>
      <c r="F34" s="1226">
        <f>SUMIF(107:107,E34,108:108)-SUMIF(107:107,C34,108:108)+100</f>
        <v>100</v>
      </c>
      <c r="G34" s="1252"/>
      <c r="H34" s="1226">
        <f>SUMIF(107:107,G34,108:108)-SUMIF(107:107,C34,108:108)+100</f>
        <v>100</v>
      </c>
      <c r="I34" s="1251"/>
      <c r="J34" s="1226">
        <f>SUMIF(107:107,I34,108:108)-SUMIF(107:107,C34,108:108)+100</f>
        <v>100</v>
      </c>
      <c r="K34" s="1369"/>
      <c r="L34" s="1361"/>
      <c r="M34" s="1345"/>
      <c r="N34" s="1345"/>
      <c r="O34" s="1360"/>
      <c r="P34" s="1364"/>
      <c r="Q34" s="749" t="str">
        <f t="shared" si="8"/>
        <v>土地级别</v>
      </c>
      <c r="R34" s="1411" t="s">
        <v>1490</v>
      </c>
      <c r="S34" s="1412">
        <f t="shared" si="10"/>
        <v>100</v>
      </c>
      <c r="T34" s="1411" t="s">
        <v>1490</v>
      </c>
      <c r="U34" s="1412">
        <f t="shared" si="11"/>
        <v>100</v>
      </c>
      <c r="V34" s="1411" t="s">
        <v>1490</v>
      </c>
      <c r="W34" s="1412">
        <f t="shared" si="12"/>
        <v>100</v>
      </c>
      <c r="X34" s="1398"/>
      <c r="Y34" s="1364"/>
      <c r="Z34" s="1385" t="str">
        <f t="shared" si="13"/>
        <v>土地级别</v>
      </c>
      <c r="AA34" s="1427">
        <f t="shared" si="3"/>
        <v>1</v>
      </c>
      <c r="AB34" s="1427">
        <f t="shared" si="4"/>
        <v>1</v>
      </c>
      <c r="AC34" s="1427">
        <f t="shared" si="5"/>
        <v>1</v>
      </c>
    </row>
    <row r="35" ht="15" spans="1:29">
      <c r="A35" s="1189"/>
      <c r="B35" s="1560">
        <v>111</v>
      </c>
      <c r="C35" s="1224"/>
      <c r="D35" s="1226">
        <v>100</v>
      </c>
      <c r="E35" s="1257"/>
      <c r="F35" s="1226">
        <f>SUMIF(109:109,E35,110:110)-SUMIF(109:109,C35,110:110)+100</f>
        <v>100</v>
      </c>
      <c r="G35" s="1257"/>
      <c r="H35" s="1226">
        <f>SUMIF(109:109,G35,110:110)-SUMIF(109:109,C35,110:110)+100</f>
        <v>100</v>
      </c>
      <c r="I35" s="1224"/>
      <c r="J35" s="1226">
        <f>SUMIF(109:109,I35,110:110)-SUMIF(109:109,C35,110:110)+100</f>
        <v>100</v>
      </c>
      <c r="K35" s="1368"/>
      <c r="L35" s="1361"/>
      <c r="M35" s="1345"/>
      <c r="N35" s="1345"/>
      <c r="O35" s="1360"/>
      <c r="P35" s="1364"/>
      <c r="Q35" s="749">
        <f t="shared" si="8"/>
        <v>111</v>
      </c>
      <c r="R35" s="1411" t="s">
        <v>1490</v>
      </c>
      <c r="S35" s="1412">
        <f t="shared" si="10"/>
        <v>100</v>
      </c>
      <c r="T35" s="1411" t="s">
        <v>1490</v>
      </c>
      <c r="U35" s="1412">
        <f t="shared" si="11"/>
        <v>100</v>
      </c>
      <c r="V35" s="1411" t="s">
        <v>1490</v>
      </c>
      <c r="W35" s="1412">
        <f t="shared" si="12"/>
        <v>100</v>
      </c>
      <c r="X35" s="1398"/>
      <c r="Y35" s="1364"/>
      <c r="Z35" s="1385">
        <f t="shared" si="13"/>
        <v>111</v>
      </c>
      <c r="AA35" s="1427">
        <f t="shared" si="3"/>
        <v>1</v>
      </c>
      <c r="AB35" s="1427">
        <f t="shared" si="4"/>
        <v>1</v>
      </c>
      <c r="AC35" s="1427">
        <f t="shared" si="5"/>
        <v>1</v>
      </c>
    </row>
    <row r="36" ht="15" spans="1:29">
      <c r="A36" s="1258"/>
      <c r="B36" s="1272">
        <v>111</v>
      </c>
      <c r="C36" s="1224"/>
      <c r="D36" s="1226">
        <v>100</v>
      </c>
      <c r="E36" s="1257"/>
      <c r="F36" s="1226">
        <f>SUMIF(111:111,E37,112:112)-SUMIF(111:111,C37,112:112)+100</f>
        <v>100</v>
      </c>
      <c r="G36" s="1257"/>
      <c r="H36" s="1226">
        <f>SUMIF(111:111,G36,112:112)-SUMIF(111:111,C36,112:112)+100</f>
        <v>100</v>
      </c>
      <c r="I36" s="1224"/>
      <c r="J36" s="1226">
        <f>SUMIF(111:111,I36,112:112)-SUMIF(111:111,C36,112:112)+100</f>
        <v>100</v>
      </c>
      <c r="K36" s="1368"/>
      <c r="L36" s="1361"/>
      <c r="M36" s="1345"/>
      <c r="N36" s="1345"/>
      <c r="O36" s="1360"/>
      <c r="P36" s="1370" t="s">
        <v>1510</v>
      </c>
      <c r="Q36" s="749">
        <f t="shared" si="8"/>
        <v>111</v>
      </c>
      <c r="R36" s="1411" t="s">
        <v>1490</v>
      </c>
      <c r="S36" s="1412">
        <f t="shared" si="10"/>
        <v>100</v>
      </c>
      <c r="T36" s="1411" t="s">
        <v>1490</v>
      </c>
      <c r="U36" s="1412">
        <f t="shared" si="11"/>
        <v>100</v>
      </c>
      <c r="V36" s="1411" t="s">
        <v>1490</v>
      </c>
      <c r="W36" s="1412">
        <f t="shared" si="12"/>
        <v>100</v>
      </c>
      <c r="X36" s="1398"/>
      <c r="Y36" s="1373" t="s">
        <v>1510</v>
      </c>
      <c r="Z36" s="1385">
        <f t="shared" si="13"/>
        <v>111</v>
      </c>
      <c r="AA36" s="1427">
        <f t="shared" si="3"/>
        <v>1</v>
      </c>
      <c r="AB36" s="1427">
        <f t="shared" si="4"/>
        <v>1</v>
      </c>
      <c r="AC36" s="1427">
        <f t="shared" si="5"/>
        <v>1</v>
      </c>
    </row>
    <row r="37" s="1166" customFormat="1" ht="15.75" spans="1:29">
      <c r="A37" s="1260"/>
      <c r="B37" s="1561">
        <v>111</v>
      </c>
      <c r="C37" s="1262"/>
      <c r="D37" s="1263">
        <v>100</v>
      </c>
      <c r="E37" s="1264"/>
      <c r="F37" s="1230">
        <f>SUMIF(113:113,E37,114:114)-SUMIF(113:113,C37,114:114)+100</f>
        <v>100</v>
      </c>
      <c r="G37" s="1264"/>
      <c r="H37" s="1230">
        <f>SUMIF(113:113,G37,114:114)-SUMIF(113:113,C37,114:114)+100</f>
        <v>100</v>
      </c>
      <c r="I37" s="1262"/>
      <c r="J37" s="1230">
        <f>SUMIF(113:113,I37,114:114)-SUMIF(113:113,C37,114:114)+100</f>
        <v>100</v>
      </c>
      <c r="K37" s="1368"/>
      <c r="L37" s="1359"/>
      <c r="M37" s="1371"/>
      <c r="N37" s="1371"/>
      <c r="O37" s="1372"/>
      <c r="P37" s="1373"/>
      <c r="Q37" s="749">
        <f t="shared" si="8"/>
        <v>111</v>
      </c>
      <c r="R37" s="1413" t="s">
        <v>1490</v>
      </c>
      <c r="S37" s="1414">
        <f t="shared" si="10"/>
        <v>100</v>
      </c>
      <c r="T37" s="1413" t="s">
        <v>1490</v>
      </c>
      <c r="U37" s="1414">
        <f t="shared" si="11"/>
        <v>100</v>
      </c>
      <c r="V37" s="1413" t="s">
        <v>1490</v>
      </c>
      <c r="W37" s="1414">
        <f t="shared" si="12"/>
        <v>100</v>
      </c>
      <c r="X37" s="1415"/>
      <c r="Y37" s="1373"/>
      <c r="Z37" s="1428">
        <f t="shared" si="13"/>
        <v>111</v>
      </c>
      <c r="AA37" s="1427">
        <f t="shared" si="3"/>
        <v>1</v>
      </c>
      <c r="AB37" s="1427">
        <f t="shared" si="4"/>
        <v>1</v>
      </c>
      <c r="AC37" s="1427">
        <f t="shared" si="5"/>
        <v>1</v>
      </c>
    </row>
    <row r="38" ht="16.2" spans="1:29">
      <c r="A38" s="1268" t="s">
        <v>1508</v>
      </c>
      <c r="B38" s="1265" t="s">
        <v>1638</v>
      </c>
      <c r="C38" s="1266"/>
      <c r="D38" s="1267">
        <v>100</v>
      </c>
      <c r="E38" s="1266"/>
      <c r="F38" s="1267" t="e">
        <f>LOOKUP(E38,116:116,117:117)-LOOKUP(C38,116:116,117:117)+100</f>
        <v>#N/A</v>
      </c>
      <c r="G38" s="1266"/>
      <c r="H38" s="1267" t="e">
        <f>LOOKUP(G38,116:116,117:117)-LOOKUP(C38,116:116,117:117)+100</f>
        <v>#N/A</v>
      </c>
      <c r="I38" s="1374"/>
      <c r="J38" s="1267" t="e">
        <f>LOOKUP(I38,116:116,117:117)-LOOKUP(C38,116:116,117:117)+100</f>
        <v>#N/A</v>
      </c>
      <c r="K38" s="1368"/>
      <c r="L38" s="1361"/>
      <c r="M38" s="1345"/>
      <c r="N38" s="1345"/>
      <c r="O38" s="1360"/>
      <c r="P38" s="1373"/>
      <c r="Q38" s="749" t="str">
        <f t="shared" si="8"/>
        <v>宗地面积</v>
      </c>
      <c r="R38" s="1411" t="s">
        <v>1490</v>
      </c>
      <c r="S38" s="1412" t="e">
        <f t="shared" si="10"/>
        <v>#N/A</v>
      </c>
      <c r="T38" s="1411" t="s">
        <v>1490</v>
      </c>
      <c r="U38" s="1412" t="e">
        <f t="shared" si="11"/>
        <v>#N/A</v>
      </c>
      <c r="V38" s="1411" t="s">
        <v>1490</v>
      </c>
      <c r="W38" s="1412" t="e">
        <f t="shared" si="12"/>
        <v>#N/A</v>
      </c>
      <c r="X38" s="1398"/>
      <c r="Y38" s="1373"/>
      <c r="Z38" s="1385" t="str">
        <f t="shared" si="13"/>
        <v>宗地面积</v>
      </c>
      <c r="AA38" s="1427" t="e">
        <f t="shared" si="3"/>
        <v>#N/A</v>
      </c>
      <c r="AB38" s="1427" t="e">
        <f t="shared" si="4"/>
        <v>#N/A</v>
      </c>
      <c r="AC38" s="1427" t="e">
        <f t="shared" si="5"/>
        <v>#N/A</v>
      </c>
    </row>
    <row r="39" ht="15" spans="1:29">
      <c r="A39" s="1268"/>
      <c r="B39" s="1214" t="s">
        <v>1639</v>
      </c>
      <c r="C39" s="1269"/>
      <c r="D39" s="1226">
        <v>100</v>
      </c>
      <c r="E39" s="1269"/>
      <c r="F39" s="1226">
        <f>SUMIF(118:118,E39,119:119)-SUMIF(118:118,C39,119:119)+100</f>
        <v>100</v>
      </c>
      <c r="G39" s="1269"/>
      <c r="H39" s="1226">
        <f>SUMIF(118:118,G39,119:119)-SUMIF(118:118,C39,119:119)+100</f>
        <v>100</v>
      </c>
      <c r="I39" s="1269"/>
      <c r="J39" s="1226">
        <f>SUMIF(118:118,I39,119:119)-SUMIF(118:118,C39,119:119)+100</f>
        <v>100</v>
      </c>
      <c r="K39" s="1369"/>
      <c r="L39" s="1361"/>
      <c r="M39" s="1345"/>
      <c r="N39" s="1345"/>
      <c r="O39" s="1360"/>
      <c r="P39" s="1373"/>
      <c r="Q39" s="749" t="str">
        <f t="shared" ref="Q39:Q45" si="14">B39</f>
        <v>宗地形状</v>
      </c>
      <c r="R39" s="1411" t="s">
        <v>1490</v>
      </c>
      <c r="S39" s="1412">
        <f t="shared" si="10"/>
        <v>100</v>
      </c>
      <c r="T39" s="1411" t="s">
        <v>1490</v>
      </c>
      <c r="U39" s="1412">
        <f t="shared" si="11"/>
        <v>100</v>
      </c>
      <c r="V39" s="1411" t="s">
        <v>1490</v>
      </c>
      <c r="W39" s="1412">
        <f t="shared" si="12"/>
        <v>100</v>
      </c>
      <c r="X39" s="1398"/>
      <c r="Y39" s="1373"/>
      <c r="Z39" s="1385" t="str">
        <f t="shared" si="13"/>
        <v>宗地形状</v>
      </c>
      <c r="AA39" s="1427">
        <f t="shared" si="3"/>
        <v>1</v>
      </c>
      <c r="AB39" s="1427">
        <f t="shared" si="4"/>
        <v>1</v>
      </c>
      <c r="AC39" s="1427">
        <f t="shared" si="5"/>
        <v>1</v>
      </c>
    </row>
    <row r="40" ht="15" spans="1:29">
      <c r="A40" s="1268"/>
      <c r="B40" s="1214" t="s">
        <v>1640</v>
      </c>
      <c r="C40" s="1269"/>
      <c r="D40" s="1226">
        <v>100</v>
      </c>
      <c r="E40" s="1269"/>
      <c r="F40" s="1226">
        <f>SUMIF(120:120,E40,121:121)-SUMIF(120:120,C40,121:121)+100</f>
        <v>100</v>
      </c>
      <c r="G40" s="1269"/>
      <c r="H40" s="1226">
        <f>SUMIF(120:120,G40,121:121)-SUMIF(120:120,C40,121:121)+100</f>
        <v>100</v>
      </c>
      <c r="I40" s="1269"/>
      <c r="J40" s="1226">
        <f>SUMIF(120:120,I40,121:121)-SUMIF(120:120,C40,121:121)+100</f>
        <v>100</v>
      </c>
      <c r="K40" s="1369"/>
      <c r="L40" s="1361"/>
      <c r="M40" s="1345"/>
      <c r="N40" s="1345"/>
      <c r="O40" s="1360"/>
      <c r="P40" s="1373"/>
      <c r="Q40" s="749" t="str">
        <f t="shared" si="14"/>
        <v>临街宽度及深度</v>
      </c>
      <c r="R40" s="1411" t="s">
        <v>1490</v>
      </c>
      <c r="S40" s="1412">
        <f t="shared" si="10"/>
        <v>100</v>
      </c>
      <c r="T40" s="1411" t="s">
        <v>1490</v>
      </c>
      <c r="U40" s="1412">
        <f t="shared" si="11"/>
        <v>100</v>
      </c>
      <c r="V40" s="1411" t="s">
        <v>1490</v>
      </c>
      <c r="W40" s="1412">
        <f t="shared" si="12"/>
        <v>100</v>
      </c>
      <c r="X40" s="1398"/>
      <c r="Y40" s="1373"/>
      <c r="Z40" s="1385" t="str">
        <f t="shared" si="13"/>
        <v>临街宽度及深度</v>
      </c>
      <c r="AA40" s="1427">
        <f t="shared" si="3"/>
        <v>1</v>
      </c>
      <c r="AB40" s="1427">
        <f t="shared" si="4"/>
        <v>1</v>
      </c>
      <c r="AC40" s="1427">
        <f t="shared" si="5"/>
        <v>1</v>
      </c>
    </row>
    <row r="41" s="1164" customFormat="1" ht="15" spans="1:29">
      <c r="A41" s="1270"/>
      <c r="B41" s="1214" t="s">
        <v>1641</v>
      </c>
      <c r="C41" s="1271"/>
      <c r="D41" s="1216">
        <v>100</v>
      </c>
      <c r="E41" s="1271"/>
      <c r="F41" s="1226">
        <f>SUMIF(122:122,E41,123:123)-SUMIF(122:122,C41,123:123)+100</f>
        <v>100</v>
      </c>
      <c r="G41" s="1271"/>
      <c r="H41" s="1226">
        <f>SUMIF(122:122,G41,123:123)-SUMIF(122:122,C41,123:123)+100</f>
        <v>100</v>
      </c>
      <c r="I41" s="1271"/>
      <c r="J41" s="1226">
        <f>SUMIF(122:122,I41,123:123)-SUMIF(122:122,C41,123:123)+100</f>
        <v>100</v>
      </c>
      <c r="K41" s="1369"/>
      <c r="L41" s="1350"/>
      <c r="M41" s="1351"/>
      <c r="N41" s="1351"/>
      <c r="O41" s="1353"/>
      <c r="P41" s="1373"/>
      <c r="Q41" s="749" t="str">
        <f t="shared" si="14"/>
        <v>宗地开发程度</v>
      </c>
      <c r="R41" s="1406" t="s">
        <v>1490</v>
      </c>
      <c r="S41" s="1407">
        <f t="shared" si="10"/>
        <v>100</v>
      </c>
      <c r="T41" s="1406" t="s">
        <v>1490</v>
      </c>
      <c r="U41" s="1407">
        <f t="shared" si="11"/>
        <v>100</v>
      </c>
      <c r="V41" s="1406" t="s">
        <v>1490</v>
      </c>
      <c r="W41" s="1407">
        <f t="shared" si="12"/>
        <v>100</v>
      </c>
      <c r="X41" s="1408"/>
      <c r="Y41" s="1373"/>
      <c r="Z41" s="1426" t="str">
        <f t="shared" si="13"/>
        <v>宗地开发程度</v>
      </c>
      <c r="AA41" s="1425">
        <f t="shared" si="3"/>
        <v>1</v>
      </c>
      <c r="AB41" s="1425">
        <f t="shared" si="4"/>
        <v>1</v>
      </c>
      <c r="AC41" s="1425">
        <f t="shared" si="5"/>
        <v>1</v>
      </c>
    </row>
    <row r="42" ht="15" spans="1:29">
      <c r="A42" s="1268"/>
      <c r="B42" s="1214" t="s">
        <v>1642</v>
      </c>
      <c r="C42" s="1269"/>
      <c r="D42" s="1226">
        <v>100</v>
      </c>
      <c r="E42" s="1269"/>
      <c r="F42" s="1226">
        <f>SUMIF(124:124,E42,125:125)-SUMIF(124:124,C42,125:125)+100</f>
        <v>100</v>
      </c>
      <c r="G42" s="1269"/>
      <c r="H42" s="1226">
        <f>SUMIF(124:124,G42,125:125)-SUMIF(124:124,C42,125:125)+100</f>
        <v>100</v>
      </c>
      <c r="I42" s="1269"/>
      <c r="J42" s="1226">
        <f>SUMIF(124:124,I42,125:125)-SUMIF(124:124,C42,125:125)+100</f>
        <v>100</v>
      </c>
      <c r="K42" s="1369"/>
      <c r="L42" s="1361"/>
      <c r="M42" s="1345"/>
      <c r="N42" s="1345"/>
      <c r="O42" s="1360"/>
      <c r="P42" s="1373" t="s">
        <v>1510</v>
      </c>
      <c r="Q42" s="749" t="str">
        <f t="shared" si="14"/>
        <v>工程地质条件</v>
      </c>
      <c r="R42" s="1411" t="s">
        <v>1490</v>
      </c>
      <c r="S42" s="1412">
        <f t="shared" si="10"/>
        <v>100</v>
      </c>
      <c r="T42" s="1411" t="s">
        <v>1490</v>
      </c>
      <c r="U42" s="1412">
        <f t="shared" si="11"/>
        <v>100</v>
      </c>
      <c r="V42" s="1411" t="s">
        <v>1490</v>
      </c>
      <c r="W42" s="1412">
        <f t="shared" si="12"/>
        <v>100</v>
      </c>
      <c r="X42" s="1398"/>
      <c r="Y42" s="1373" t="s">
        <v>1510</v>
      </c>
      <c r="Z42" s="1385" t="str">
        <f t="shared" si="13"/>
        <v>工程地质条件</v>
      </c>
      <c r="AA42" s="1427">
        <f t="shared" si="3"/>
        <v>1</v>
      </c>
      <c r="AB42" s="1427">
        <f t="shared" si="4"/>
        <v>1</v>
      </c>
      <c r="AC42" s="1427">
        <f t="shared" si="5"/>
        <v>1</v>
      </c>
    </row>
    <row r="43" ht="15" spans="1:29">
      <c r="A43" s="1268"/>
      <c r="B43" s="1272">
        <v>111</v>
      </c>
      <c r="C43" s="1224"/>
      <c r="D43" s="1226">
        <v>100</v>
      </c>
      <c r="E43" s="1224"/>
      <c r="F43" s="1226">
        <f>SUMIF(126:126,E43,127:127)-SUMIF(126:126,C43,127:127)+100</f>
        <v>100</v>
      </c>
      <c r="G43" s="1224"/>
      <c r="H43" s="1226">
        <f>SUMIF(126:126,G43,127:127)-SUMIF(126:126,C43,127:127)+100</f>
        <v>100</v>
      </c>
      <c r="I43" s="1223"/>
      <c r="J43" s="1226">
        <f>SUMIF(126:126,I43,127:127)-SUMIF(126:126,C43,127:127)+100</f>
        <v>100</v>
      </c>
      <c r="K43" s="1368"/>
      <c r="L43" s="1361"/>
      <c r="M43" s="1345"/>
      <c r="N43" s="1345"/>
      <c r="O43" s="1360"/>
      <c r="P43" s="1373"/>
      <c r="Q43" s="749">
        <f t="shared" si="14"/>
        <v>111</v>
      </c>
      <c r="R43" s="1411" t="s">
        <v>1490</v>
      </c>
      <c r="S43" s="1412">
        <f t="shared" si="10"/>
        <v>100</v>
      </c>
      <c r="T43" s="1411" t="s">
        <v>1490</v>
      </c>
      <c r="U43" s="1412">
        <f t="shared" si="11"/>
        <v>100</v>
      </c>
      <c r="V43" s="1411" t="s">
        <v>1490</v>
      </c>
      <c r="W43" s="1412">
        <f t="shared" si="12"/>
        <v>100</v>
      </c>
      <c r="X43" s="1398"/>
      <c r="Y43" s="1373"/>
      <c r="Z43" s="1385">
        <f t="shared" si="13"/>
        <v>111</v>
      </c>
      <c r="AA43" s="1427">
        <f t="shared" si="3"/>
        <v>1</v>
      </c>
      <c r="AB43" s="1427">
        <f t="shared" si="4"/>
        <v>1</v>
      </c>
      <c r="AC43" s="1427">
        <f t="shared" si="5"/>
        <v>1</v>
      </c>
    </row>
    <row r="44" ht="15" spans="1:29">
      <c r="A44" s="1268"/>
      <c r="B44" s="1272">
        <v>111</v>
      </c>
      <c r="C44" s="1224"/>
      <c r="D44" s="1226">
        <v>100</v>
      </c>
      <c r="E44" s="1224"/>
      <c r="F44" s="1226">
        <f>SUMIF(128:128,E44,129:129)-SUMIF(128:128,C44,129:129)+100</f>
        <v>100</v>
      </c>
      <c r="G44" s="1224"/>
      <c r="H44" s="1226">
        <f>SUMIF(128:128,G44,129:129)-SUMIF(128:128,C44,129:129)+100</f>
        <v>100</v>
      </c>
      <c r="I44" s="1223"/>
      <c r="J44" s="1226">
        <f>SUMIF(128:128,I44,129:129)-SUMIF(128:128,C44,129:129)+100</f>
        <v>100</v>
      </c>
      <c r="K44" s="1368"/>
      <c r="L44" s="1361"/>
      <c r="M44" s="1345"/>
      <c r="N44" s="1345"/>
      <c r="O44" s="1360"/>
      <c r="P44" s="1373"/>
      <c r="Q44" s="749">
        <f t="shared" si="14"/>
        <v>111</v>
      </c>
      <c r="R44" s="1411" t="s">
        <v>1490</v>
      </c>
      <c r="S44" s="1412">
        <f t="shared" si="10"/>
        <v>100</v>
      </c>
      <c r="T44" s="1411" t="s">
        <v>1490</v>
      </c>
      <c r="U44" s="1412">
        <f t="shared" si="11"/>
        <v>100</v>
      </c>
      <c r="V44" s="1411" t="s">
        <v>1490</v>
      </c>
      <c r="W44" s="1412">
        <f t="shared" si="12"/>
        <v>100</v>
      </c>
      <c r="X44" s="1398"/>
      <c r="Y44" s="1373"/>
      <c r="Z44" s="1385">
        <f t="shared" si="13"/>
        <v>111</v>
      </c>
      <c r="AA44" s="1427">
        <f t="shared" si="3"/>
        <v>1</v>
      </c>
      <c r="AB44" s="1427">
        <f t="shared" si="4"/>
        <v>1</v>
      </c>
      <c r="AC44" s="1427">
        <f t="shared" si="5"/>
        <v>1</v>
      </c>
    </row>
    <row r="45" s="1166" customFormat="1" ht="15.75" spans="1:29">
      <c r="A45" s="1273"/>
      <c r="B45" s="1272">
        <v>111</v>
      </c>
      <c r="C45" s="1274"/>
      <c r="D45" s="1562">
        <v>100</v>
      </c>
      <c r="E45" s="1224"/>
      <c r="F45" s="1230">
        <f>SUMIF(130:130,E45,131:131)-SUMIF(130:130,C45,131:131)+100</f>
        <v>100</v>
      </c>
      <c r="G45" s="1224"/>
      <c r="H45" s="1230">
        <f>SUMIF(130:130,G45,131:131)-SUMIF(130:130,C45,131:131)+100</f>
        <v>100</v>
      </c>
      <c r="I45" s="1224"/>
      <c r="J45" s="1230">
        <f>SUMIF(130:130,I45,131:131)-SUMIF(130:130,C45,131:131)+100</f>
        <v>100</v>
      </c>
      <c r="K45" s="1375"/>
      <c r="L45" s="1359"/>
      <c r="M45" s="1371"/>
      <c r="N45" s="1371"/>
      <c r="O45" s="1372"/>
      <c r="P45" s="1373"/>
      <c r="Q45" s="749">
        <f t="shared" si="14"/>
        <v>111</v>
      </c>
      <c r="R45" s="1413" t="s">
        <v>1490</v>
      </c>
      <c r="S45" s="1414">
        <f t="shared" si="10"/>
        <v>100</v>
      </c>
      <c r="T45" s="1413" t="s">
        <v>1490</v>
      </c>
      <c r="U45" s="1414">
        <f t="shared" si="11"/>
        <v>100</v>
      </c>
      <c r="V45" s="1413" t="s">
        <v>1490</v>
      </c>
      <c r="W45" s="1414">
        <f t="shared" si="12"/>
        <v>100</v>
      </c>
      <c r="X45" s="1415"/>
      <c r="Y45" s="1373"/>
      <c r="Z45" s="1428">
        <f t="shared" si="13"/>
        <v>111</v>
      </c>
      <c r="AA45" s="1427">
        <f t="shared" si="3"/>
        <v>1</v>
      </c>
      <c r="AB45" s="1427">
        <f t="shared" si="4"/>
        <v>1</v>
      </c>
      <c r="AC45" s="1427">
        <f t="shared" si="5"/>
        <v>1</v>
      </c>
    </row>
    <row r="46" ht="14.4" spans="1:29">
      <c r="A46" s="1275" t="s">
        <v>1624</v>
      </c>
      <c r="B46" s="1276" t="s">
        <v>1643</v>
      </c>
      <c r="C46" s="1277" t="s">
        <v>124</v>
      </c>
      <c r="D46" s="1278"/>
      <c r="E46" s="1279"/>
      <c r="F46" s="1280"/>
      <c r="G46" s="1281"/>
      <c r="H46" s="1282"/>
      <c r="I46" s="1279"/>
      <c r="J46" s="1282"/>
      <c r="K46" s="1376"/>
      <c r="L46" s="1377"/>
      <c r="M46" s="1292"/>
      <c r="N46" s="1345"/>
      <c r="O46" s="1292"/>
      <c r="P46" s="749" t="str">
        <f>A46</f>
        <v>成交单价</v>
      </c>
      <c r="Q46" s="749"/>
      <c r="R46" s="1385">
        <f>E46</f>
        <v>0</v>
      </c>
      <c r="S46" s="1385"/>
      <c r="T46" s="1385">
        <f>G46</f>
        <v>0</v>
      </c>
      <c r="U46" s="1385"/>
      <c r="V46" s="1385">
        <f>I46</f>
        <v>0</v>
      </c>
      <c r="W46" s="1385"/>
      <c r="X46" s="1333"/>
      <c r="Y46" s="1429"/>
      <c r="Z46" s="1333"/>
      <c r="AA46" s="1333"/>
      <c r="AB46" s="1333"/>
      <c r="AC46" s="1333"/>
    </row>
    <row r="47" ht="15.15" spans="1:29">
      <c r="A47" s="1283" t="s">
        <v>1522</v>
      </c>
      <c r="B47" s="1284"/>
      <c r="C47" s="1285" t="e">
        <f>R48</f>
        <v>#DIV/0!</v>
      </c>
      <c r="D47" s="1286" t="s">
        <v>1523</v>
      </c>
      <c r="E47" s="1285" t="e">
        <f>R47</f>
        <v>#DIV/0!</v>
      </c>
      <c r="F47" s="1287"/>
      <c r="G47" s="1288" t="e">
        <f>T47</f>
        <v>#DIV/0!</v>
      </c>
      <c r="H47" s="1287"/>
      <c r="I47" s="1285" t="e">
        <f>V47</f>
        <v>#DIV/0!</v>
      </c>
      <c r="J47" s="1287"/>
      <c r="K47" s="1378">
        <f>F47+H47+J47</f>
        <v>0</v>
      </c>
      <c r="L47" s="1377"/>
      <c r="M47" s="1292"/>
      <c r="N47" s="1292"/>
      <c r="O47" s="1292"/>
      <c r="P47" s="749" t="str">
        <f>A47</f>
        <v>比较价值（元/平方米）</v>
      </c>
      <c r="Q47" s="749"/>
      <c r="R47" s="1416" t="e">
        <f>ROUND(PRODUCT(R46,AA7:AA45),0)</f>
        <v>#DIV/0!</v>
      </c>
      <c r="S47" s="1416"/>
      <c r="T47" s="1416" t="e">
        <f>ROUND(PRODUCT(T46,AB7:AB45),0)</f>
        <v>#DIV/0!</v>
      </c>
      <c r="U47" s="1416"/>
      <c r="V47" s="1416" t="e">
        <f>ROUND(PRODUCT(V46,AC7:AC45),0)</f>
        <v>#DIV/0!</v>
      </c>
      <c r="W47" s="1416"/>
      <c r="X47" s="1333"/>
      <c r="Y47" s="1333"/>
      <c r="Z47" s="1333"/>
      <c r="AA47" s="1333"/>
      <c r="AB47" s="1333"/>
      <c r="AC47" s="1333"/>
    </row>
    <row r="48" ht="15.15" spans="1:29">
      <c r="A48" s="1289" t="s">
        <v>1644</v>
      </c>
      <c r="B48" s="1290"/>
      <c r="C48" s="1291" t="e">
        <f>R48</f>
        <v>#DIV/0!</v>
      </c>
      <c r="D48" s="1291"/>
      <c r="E48" s="1291"/>
      <c r="F48" s="1291"/>
      <c r="G48" s="1291"/>
      <c r="H48" s="1291"/>
      <c r="I48" s="1291"/>
      <c r="J48" s="1291"/>
      <c r="K48" s="1379"/>
      <c r="L48" s="1377"/>
      <c r="M48" s="1292"/>
      <c r="N48" s="1292"/>
      <c r="O48" s="1292"/>
      <c r="P48" s="1380" t="str">
        <f>A48</f>
        <v>估价对象XX用房的比较价值（楼面单价，元/平方米）</v>
      </c>
      <c r="Q48" s="1417"/>
      <c r="R48" s="1418" t="e">
        <f>ROUND(IF(D47="简单平均",AVERAGE(R47:W47),R47*F47+T47*H47+V47*J47),0)</f>
        <v>#DIV/0!</v>
      </c>
      <c r="S48" s="1418"/>
      <c r="T48" s="1418"/>
      <c r="U48" s="1418"/>
      <c r="V48" s="1418"/>
      <c r="W48" s="1418"/>
      <c r="X48" s="1333"/>
      <c r="Y48" s="1333"/>
      <c r="Z48" s="1333"/>
      <c r="AA48" s="1333"/>
      <c r="AB48" s="1333"/>
      <c r="AC48" s="1333"/>
    </row>
    <row r="49" spans="1:29">
      <c r="A49" s="1292"/>
      <c r="B49" s="1292"/>
      <c r="C49" s="1292"/>
      <c r="D49" s="1292"/>
      <c r="E49" s="1292"/>
      <c r="F49" s="1292"/>
      <c r="G49" s="1293"/>
      <c r="H49" s="1292"/>
      <c r="I49" s="1292"/>
      <c r="J49" s="1292"/>
      <c r="K49" s="1381"/>
      <c r="L49" s="1382"/>
      <c r="M49" s="1292"/>
      <c r="N49" s="1292"/>
      <c r="O49" s="1292"/>
      <c r="P49" s="1292"/>
      <c r="Q49" s="1292"/>
      <c r="R49" s="1292"/>
      <c r="S49" s="1292"/>
      <c r="T49" s="1292"/>
      <c r="U49" s="1292"/>
      <c r="V49" s="1292"/>
      <c r="W49" s="1292"/>
      <c r="X49" s="1292"/>
      <c r="Y49" s="1292"/>
      <c r="Z49" s="1292"/>
      <c r="AA49" s="1292"/>
      <c r="AB49" s="1292"/>
      <c r="AC49" s="1292"/>
    </row>
    <row r="50" spans="1:29">
      <c r="A50" s="1292"/>
      <c r="B50" s="1292"/>
      <c r="C50" s="1292"/>
      <c r="D50" s="1292"/>
      <c r="E50" s="1292"/>
      <c r="F50" s="1292"/>
      <c r="G50" s="1292"/>
      <c r="H50" s="1292"/>
      <c r="I50" s="1292"/>
      <c r="J50" s="1292"/>
      <c r="K50" s="1381"/>
      <c r="L50" s="1382"/>
      <c r="M50" s="1292"/>
      <c r="N50" s="1292"/>
      <c r="O50" s="1292"/>
      <c r="P50" s="1292"/>
      <c r="Q50" s="1292"/>
      <c r="R50" s="1292"/>
      <c r="S50" s="1292"/>
      <c r="T50" s="1292"/>
      <c r="U50" s="1292"/>
      <c r="V50" s="1292"/>
      <c r="W50" s="1292"/>
      <c r="X50" s="1292"/>
      <c r="Y50" s="1292"/>
      <c r="Z50" s="1292"/>
      <c r="AA50" s="1292"/>
      <c r="AB50" s="1292"/>
      <c r="AC50" s="1292"/>
    </row>
    <row r="51" ht="13.5" customHeight="1" spans="1:29">
      <c r="A51" s="1292"/>
      <c r="B51" s="1292"/>
      <c r="C51" s="1294" t="s">
        <v>1525</v>
      </c>
      <c r="D51" s="793"/>
      <c r="E51" s="1295" t="e">
        <f>IF(E46&lt;E47,E47/E46-1,E46/E47-1)</f>
        <v>#DIV/0!</v>
      </c>
      <c r="F51" s="1296" t="e">
        <f>IF(OR(E51&gt;=0.3,E51&lt;=-0.3),"超过30%","")</f>
        <v>#DIV/0!</v>
      </c>
      <c r="G51" s="1295" t="e">
        <f>IF(G46&lt;G47,G47/G46-1,G46/G47-1)</f>
        <v>#DIV/0!</v>
      </c>
      <c r="H51" s="1296" t="e">
        <f>IF(OR(G51&gt;=0.3,G51&lt;=-0.3),"超过30%","")</f>
        <v>#DIV/0!</v>
      </c>
      <c r="I51" s="1295" t="e">
        <f>IF(I46&lt;I47,I47/I46-1,I46/I47-1)</f>
        <v>#DIV/0!</v>
      </c>
      <c r="J51" s="1296" t="e">
        <f>IF(OR(I51&gt;=0.3,I51&lt;=-0.3),"超过30%","")</f>
        <v>#DIV/0!</v>
      </c>
      <c r="K51" s="1381"/>
      <c r="L51" s="1382"/>
      <c r="M51" s="1292"/>
      <c r="N51" s="1292"/>
      <c r="O51" s="1292"/>
      <c r="P51" s="1292"/>
      <c r="Q51" s="1292"/>
      <c r="R51" s="1292"/>
      <c r="S51" s="1292"/>
      <c r="T51" s="1292"/>
      <c r="U51" s="1292"/>
      <c r="V51" s="1292"/>
      <c r="W51" s="1292"/>
      <c r="X51" s="1292"/>
      <c r="Y51" s="1292"/>
      <c r="Z51" s="1292"/>
      <c r="AA51" s="1292"/>
      <c r="AB51" s="1292"/>
      <c r="AC51" s="1292"/>
    </row>
    <row r="52" ht="13.5" customHeight="1" spans="1:29">
      <c r="A52" s="1292"/>
      <c r="B52" s="1292"/>
      <c r="C52" s="1294" t="s">
        <v>1526</v>
      </c>
      <c r="D52" s="792"/>
      <c r="E52" s="1295" t="e">
        <f>IF(E47&lt;G47,G47/E47-1,E47/G47-1)</f>
        <v>#DIV/0!</v>
      </c>
      <c r="F52" s="1296" t="e">
        <f>IF(OR(E52&gt;=0.2,E52&lt;=-0.2),"超过20%","")</f>
        <v>#DIV/0!</v>
      </c>
      <c r="G52" s="1295" t="e">
        <f>IF(G47&lt;I47,I47/G47-1,G47/I47-1)</f>
        <v>#DIV/0!</v>
      </c>
      <c r="H52" s="1296" t="e">
        <f>IF(OR(G52&gt;=0.2,G52&lt;=-0.2),"超过20%","")</f>
        <v>#DIV/0!</v>
      </c>
      <c r="I52" s="1295" t="e">
        <f>IF(I47&lt;E47,E47/I47-1,I47/E47-1)</f>
        <v>#DIV/0!</v>
      </c>
      <c r="J52" s="1296" t="e">
        <f>IF(OR(I52&gt;=0.2,I52&lt;=-0.2),"超过20%","")</f>
        <v>#DIV/0!</v>
      </c>
      <c r="K52" s="1381"/>
      <c r="L52" s="1382"/>
      <c r="M52" s="1292"/>
      <c r="N52" s="1292"/>
      <c r="O52" s="1292"/>
      <c r="P52" s="1292"/>
      <c r="Q52" s="1292"/>
      <c r="R52" s="1292"/>
      <c r="S52" s="1292"/>
      <c r="T52" s="1292"/>
      <c r="U52" s="1292"/>
      <c r="V52" s="1292"/>
      <c r="W52" s="1292"/>
      <c r="X52" s="1292"/>
      <c r="Y52" s="1292"/>
      <c r="Z52" s="1292"/>
      <c r="AA52" s="1292"/>
      <c r="AB52" s="1292"/>
      <c r="AC52" s="1292"/>
    </row>
    <row r="53" s="1167" customFormat="1" ht="13.5" customHeight="1" spans="1:29">
      <c r="A53" s="1297"/>
      <c r="B53" s="1297"/>
      <c r="C53" s="1294" t="s">
        <v>1527</v>
      </c>
      <c r="D53" s="792"/>
      <c r="E53" s="1295" t="e">
        <f>IF(E46&lt;G46,G46/E46-1,E46/G46-1)</f>
        <v>#DIV/0!</v>
      </c>
      <c r="F53" s="1296" t="e">
        <f>IF(OR(E53&gt;=0.3,E53&lt;=-0.3),"超过30%","")</f>
        <v>#DIV/0!</v>
      </c>
      <c r="G53" s="1295" t="e">
        <f>IF(G46&lt;I46,I46/G46-1,G46/I46-1)</f>
        <v>#DIV/0!</v>
      </c>
      <c r="H53" s="1296" t="e">
        <f>IF(OR(G53&gt;=0.3,G53&lt;=-0.3),"超过30%","")</f>
        <v>#DIV/0!</v>
      </c>
      <c r="I53" s="1295" t="e">
        <f>IF(I46&lt;E46,E46/I46-1,I46/E46-1)</f>
        <v>#DIV/0!</v>
      </c>
      <c r="J53" s="1296" t="e">
        <f>IF(OR(I53&gt;=0.3,I53&lt;=-0.3),"超过30%","")</f>
        <v>#DIV/0!</v>
      </c>
      <c r="K53" s="1383"/>
      <c r="L53" s="1384"/>
      <c r="M53" s="1297"/>
      <c r="N53" s="1297"/>
      <c r="O53" s="1297"/>
      <c r="P53" s="1297"/>
      <c r="Q53" s="1297"/>
      <c r="R53" s="1297"/>
      <c r="S53" s="1297"/>
      <c r="T53" s="1297"/>
      <c r="U53" s="1297"/>
      <c r="V53" s="1297"/>
      <c r="W53" s="1297"/>
      <c r="X53" s="1297"/>
      <c r="Y53" s="1297"/>
      <c r="Z53" s="1297"/>
      <c r="AA53" s="1297"/>
      <c r="AB53" s="1297"/>
      <c r="AC53" s="1297"/>
    </row>
    <row r="54" s="1167" customFormat="1" ht="14.55" spans="1:29">
      <c r="A54" s="1297"/>
      <c r="B54" s="1298"/>
      <c r="C54" s="1299"/>
      <c r="D54" s="1300"/>
      <c r="E54" s="1300"/>
      <c r="F54" s="1300"/>
      <c r="G54" s="1300"/>
      <c r="H54" s="1300"/>
      <c r="I54" s="1300"/>
      <c r="J54" s="1300"/>
      <c r="K54" s="1383"/>
      <c r="L54" s="1384"/>
      <c r="M54" s="1297"/>
      <c r="N54" s="1297"/>
      <c r="O54" s="1297"/>
      <c r="P54" s="1297"/>
      <c r="Q54" s="1297"/>
      <c r="R54" s="1297"/>
      <c r="S54" s="1297"/>
      <c r="T54" s="1297"/>
      <c r="U54" s="1297"/>
      <c r="V54" s="1297"/>
      <c r="W54" s="1297"/>
      <c r="X54" s="1297"/>
      <c r="Y54" s="1297"/>
      <c r="Z54" s="1297"/>
      <c r="AA54" s="1297"/>
      <c r="AB54" s="1297"/>
      <c r="AC54" s="1297"/>
    </row>
    <row r="55" ht="27" customHeight="1" spans="1:29">
      <c r="A55" s="1301" t="s">
        <v>1645</v>
      </c>
      <c r="B55" s="1302" t="s">
        <v>1646</v>
      </c>
      <c r="C55" s="1303" t="s">
        <v>1647</v>
      </c>
      <c r="D55" s="1304" t="s">
        <v>1648</v>
      </c>
      <c r="E55" s="1305" t="s">
        <v>1649</v>
      </c>
      <c r="F55" s="1563" t="s">
        <v>1650</v>
      </c>
      <c r="G55" s="1185" t="s">
        <v>1651</v>
      </c>
      <c r="H55" s="744"/>
      <c r="I55" s="1567" t="s">
        <v>1652</v>
      </c>
      <c r="J55" s="1568">
        <f>项目基本情况!F35</f>
        <v>0</v>
      </c>
      <c r="K55" s="1386" t="s">
        <v>1653</v>
      </c>
      <c r="L55" s="1382"/>
      <c r="M55" s="1292"/>
      <c r="N55" s="1292"/>
      <c r="O55" s="1292"/>
      <c r="P55" s="1292"/>
      <c r="Q55" s="1292"/>
      <c r="R55" s="1292"/>
      <c r="S55" s="1292"/>
      <c r="T55" s="1292"/>
      <c r="U55" s="1292"/>
      <c r="V55" s="1292"/>
      <c r="W55" s="1292"/>
      <c r="X55" s="1292"/>
      <c r="Y55" s="1292"/>
      <c r="Z55" s="1292"/>
      <c r="AA55" s="1292"/>
      <c r="AB55" s="1292"/>
      <c r="AC55" s="1292"/>
    </row>
    <row r="56" s="1168" customFormat="1" spans="1:29">
      <c r="A56" s="1307" t="s">
        <v>1654</v>
      </c>
      <c r="B56" s="1308" t="e">
        <f>C48</f>
        <v>#DIV/0!</v>
      </c>
      <c r="C56" s="1309">
        <v>1</v>
      </c>
      <c r="D56" s="1310">
        <v>1</v>
      </c>
      <c r="E56" s="1309">
        <f>'数据-汇总表'!E8+'数据-汇总表'!E9</f>
        <v>10109.15</v>
      </c>
      <c r="F56" s="1564" t="e">
        <f t="shared" ref="F56:F64" si="15">ROUND(B56*E56/10000,0)</f>
        <v>#DIV/0!</v>
      </c>
      <c r="G56" s="1312"/>
      <c r="H56" s="749"/>
      <c r="I56" s="1569">
        <v>1</v>
      </c>
      <c r="J56" s="1570">
        <v>1</v>
      </c>
      <c r="K56" s="1297"/>
      <c r="L56" s="1387"/>
      <c r="M56" s="1387"/>
      <c r="N56" s="1387"/>
      <c r="O56" s="1387"/>
      <c r="P56" s="1387"/>
      <c r="Q56" s="1387"/>
      <c r="R56" s="1387"/>
      <c r="S56" s="1387"/>
      <c r="T56" s="1387"/>
      <c r="U56" s="1387"/>
      <c r="V56" s="1387"/>
      <c r="W56" s="1387"/>
      <c r="X56" s="1387"/>
      <c r="Y56" s="1387"/>
      <c r="Z56" s="1387"/>
      <c r="AA56" s="1387"/>
      <c r="AB56" s="1387"/>
      <c r="AC56" s="1387"/>
    </row>
    <row r="57" s="1168" customFormat="1" spans="1:29">
      <c r="A57" s="1313" t="s">
        <v>1655</v>
      </c>
      <c r="B57" s="411" t="e">
        <f>ROUND($C$48*C57*D57,0)</f>
        <v>#DIV/0!</v>
      </c>
      <c r="C57" s="663">
        <f t="shared" ref="C57:C64" si="16">IF($C$55="北京市系数",I57,J57)</f>
        <v>0</v>
      </c>
      <c r="D57" s="1314">
        <v>0.25</v>
      </c>
      <c r="E57" s="1315"/>
      <c r="F57" s="1564" t="e">
        <f t="shared" si="15"/>
        <v>#DIV/0!</v>
      </c>
      <c r="G57" s="1316" t="s">
        <v>1656</v>
      </c>
      <c r="H57" s="1317">
        <f>项目基本情况!B37</f>
        <v>0</v>
      </c>
      <c r="I57" s="1569">
        <f>SUMIF(修正!A57:A68,H57,修正!B57:B68)</f>
        <v>0</v>
      </c>
      <c r="J57" s="1571"/>
      <c r="K57" s="1292"/>
      <c r="L57" s="1387"/>
      <c r="M57" s="1387"/>
      <c r="N57" s="1387"/>
      <c r="O57" s="1387"/>
      <c r="P57" s="1387"/>
      <c r="Q57" s="1387"/>
      <c r="R57" s="1387"/>
      <c r="S57" s="1387"/>
      <c r="T57" s="1387"/>
      <c r="U57" s="1387"/>
      <c r="V57" s="1387"/>
      <c r="W57" s="1387"/>
      <c r="X57" s="1387"/>
      <c r="Y57" s="1387"/>
      <c r="Z57" s="1387"/>
      <c r="AA57" s="1387"/>
      <c r="AB57" s="1387"/>
      <c r="AC57" s="1387"/>
    </row>
    <row r="58" s="1168" customFormat="1" spans="1:29">
      <c r="A58" s="1313" t="s">
        <v>1657</v>
      </c>
      <c r="B58" s="411" t="e">
        <f t="shared" ref="B58:B64" si="17">ROUND($C$48*C58*D58,0)</f>
        <v>#DIV/0!</v>
      </c>
      <c r="C58" s="663">
        <f t="shared" si="16"/>
        <v>0</v>
      </c>
      <c r="D58" s="1314">
        <v>0.25</v>
      </c>
      <c r="E58" s="1315"/>
      <c r="F58" s="1564" t="e">
        <f t="shared" si="15"/>
        <v>#DIV/0!</v>
      </c>
      <c r="G58" s="1318"/>
      <c r="H58" s="1317">
        <f>项目基本情况!B37</f>
        <v>0</v>
      </c>
      <c r="I58" s="1569">
        <f>SUMIF(修正!A57:A68,H58,修正!C57:C68)</f>
        <v>0</v>
      </c>
      <c r="J58" s="1571"/>
      <c r="K58" s="1297"/>
      <c r="L58" s="1387"/>
      <c r="M58" s="1387"/>
      <c r="N58" s="1387"/>
      <c r="O58" s="1387"/>
      <c r="P58" s="1387"/>
      <c r="Q58" s="1387"/>
      <c r="R58" s="1387"/>
      <c r="S58" s="1387"/>
      <c r="T58" s="1387"/>
      <c r="U58" s="1387"/>
      <c r="V58" s="1387"/>
      <c r="W58" s="1387"/>
      <c r="X58" s="1387"/>
      <c r="Y58" s="1387"/>
      <c r="Z58" s="1387"/>
      <c r="AA58" s="1387"/>
      <c r="AB58" s="1387"/>
      <c r="AC58" s="1387"/>
    </row>
    <row r="59" s="1168" customFormat="1" spans="1:29">
      <c r="A59" s="1313" t="s">
        <v>1658</v>
      </c>
      <c r="B59" s="411" t="e">
        <f t="shared" si="17"/>
        <v>#DIV/0!</v>
      </c>
      <c r="C59" s="663">
        <f t="shared" si="16"/>
        <v>0</v>
      </c>
      <c r="D59" s="1314">
        <v>0.25</v>
      </c>
      <c r="E59" s="1315"/>
      <c r="F59" s="1564" t="e">
        <f t="shared" si="15"/>
        <v>#DIV/0!</v>
      </c>
      <c r="G59" s="1318"/>
      <c r="H59" s="1317">
        <f>项目基本情况!B37</f>
        <v>0</v>
      </c>
      <c r="I59" s="1569">
        <f>SUMIF(修正!A57:A68,H59,修正!D57:D68)</f>
        <v>0</v>
      </c>
      <c r="J59" s="1571"/>
      <c r="K59" s="1292"/>
      <c r="L59" s="1387"/>
      <c r="M59" s="1387"/>
      <c r="N59" s="1387"/>
      <c r="O59" s="1387"/>
      <c r="P59" s="1387"/>
      <c r="Q59" s="1387"/>
      <c r="R59" s="1387"/>
      <c r="S59" s="1387"/>
      <c r="T59" s="1387"/>
      <c r="U59" s="1387"/>
      <c r="V59" s="1387"/>
      <c r="W59" s="1387"/>
      <c r="X59" s="1387"/>
      <c r="Y59" s="1387"/>
      <c r="Z59" s="1387"/>
      <c r="AA59" s="1387"/>
      <c r="AB59" s="1387"/>
      <c r="AC59" s="1387"/>
    </row>
    <row r="60" s="1168" customFormat="1" spans="1:29">
      <c r="A60" s="1313" t="s">
        <v>1659</v>
      </c>
      <c r="B60" s="411" t="e">
        <f t="shared" si="17"/>
        <v>#DIV/0!</v>
      </c>
      <c r="C60" s="663">
        <f t="shared" si="16"/>
        <v>0.25</v>
      </c>
      <c r="D60" s="1314">
        <v>0.25</v>
      </c>
      <c r="E60" s="410">
        <f>'数据-汇总表'!E11</f>
        <v>0</v>
      </c>
      <c r="F60" s="1564" t="e">
        <f t="shared" si="15"/>
        <v>#DIV/0!</v>
      </c>
      <c r="G60" s="1320" t="s">
        <v>1660</v>
      </c>
      <c r="H60" s="1317" t="str">
        <f>项目基本情况!C37</f>
        <v>五级</v>
      </c>
      <c r="I60" s="1569">
        <f>SUMIF(修正!A57:A68,H60,修正!E57:E68)</f>
        <v>0.25</v>
      </c>
      <c r="J60" s="1571"/>
      <c r="K60" s="1292"/>
      <c r="L60" s="1387"/>
      <c r="M60" s="1387"/>
      <c r="N60" s="1387"/>
      <c r="O60" s="1387"/>
      <c r="P60" s="1387"/>
      <c r="Q60" s="1387"/>
      <c r="R60" s="1387"/>
      <c r="S60" s="1387"/>
      <c r="T60" s="1387"/>
      <c r="U60" s="1387"/>
      <c r="V60" s="1387"/>
      <c r="W60" s="1387"/>
      <c r="X60" s="1387"/>
      <c r="Y60" s="1387"/>
      <c r="Z60" s="1387"/>
      <c r="AA60" s="1387"/>
      <c r="AB60" s="1387"/>
      <c r="AC60" s="1387"/>
    </row>
    <row r="61" s="1168" customFormat="1" spans="1:29">
      <c r="A61" s="1313" t="s">
        <v>1661</v>
      </c>
      <c r="B61" s="411" t="e">
        <f t="shared" si="17"/>
        <v>#DIV/0!</v>
      </c>
      <c r="C61" s="663">
        <f t="shared" si="16"/>
        <v>0.25</v>
      </c>
      <c r="D61" s="1314">
        <v>0.25</v>
      </c>
      <c r="E61" s="410">
        <f>'数据-汇总表'!E12</f>
        <v>0</v>
      </c>
      <c r="F61" s="1564" t="e">
        <f t="shared" si="15"/>
        <v>#DIV/0!</v>
      </c>
      <c r="G61" s="1321" t="s">
        <v>1662</v>
      </c>
      <c r="H61" s="1317" t="str">
        <f>IF(G61="商业",项目基本情况!B37,IF(G61="办公",项目基本情况!C37,IF(G61="住宅",项目基本情况!D37,项目基本情况!E37)))</f>
        <v>五级</v>
      </c>
      <c r="I61" s="1569">
        <f>SUMIF(修正!A57:A68,H61,修正!F57:F68)</f>
        <v>0.25</v>
      </c>
      <c r="J61" s="1571"/>
      <c r="K61" s="1297"/>
      <c r="L61" s="1387"/>
      <c r="M61" s="1387"/>
      <c r="N61" s="1387"/>
      <c r="O61" s="1387"/>
      <c r="P61" s="1387"/>
      <c r="Q61" s="1387"/>
      <c r="R61" s="1387"/>
      <c r="S61" s="1387"/>
      <c r="T61" s="1387"/>
      <c r="U61" s="1387"/>
      <c r="V61" s="1387"/>
      <c r="W61" s="1387"/>
      <c r="X61" s="1387"/>
      <c r="Y61" s="1387"/>
      <c r="Z61" s="1387"/>
      <c r="AA61" s="1387"/>
      <c r="AB61" s="1387"/>
      <c r="AC61" s="1387"/>
    </row>
    <row r="62" s="1168" customFormat="1" spans="1:29">
      <c r="A62" s="1313" t="s">
        <v>1663</v>
      </c>
      <c r="B62" s="411" t="e">
        <f t="shared" si="17"/>
        <v>#DIV/0!</v>
      </c>
      <c r="C62" s="663">
        <f t="shared" si="16"/>
        <v>0</v>
      </c>
      <c r="D62" s="1314">
        <v>0.25</v>
      </c>
      <c r="E62" s="410">
        <f>'数据-汇总表'!E13</f>
        <v>0</v>
      </c>
      <c r="F62" s="1564" t="e">
        <f t="shared" si="15"/>
        <v>#DIV/0!</v>
      </c>
      <c r="G62" s="1321" t="s">
        <v>1664</v>
      </c>
      <c r="H62" s="1317">
        <f>IF(G62="商业",项目基本情况!B37,IF(G62="办公",项目基本情况!C37,IF(G62="住宅",项目基本情况!D37,项目基本情况!E37)))</f>
        <v>0</v>
      </c>
      <c r="I62" s="1569">
        <f>SUMIF(修正!A57:A68,H62,修正!G57:G68)</f>
        <v>0</v>
      </c>
      <c r="J62" s="1571"/>
      <c r="K62" s="1292"/>
      <c r="L62" s="1387"/>
      <c r="M62" s="1387"/>
      <c r="N62" s="1387"/>
      <c r="O62" s="1387"/>
      <c r="P62" s="1387"/>
      <c r="Q62" s="1387"/>
      <c r="R62" s="1387"/>
      <c r="S62" s="1387"/>
      <c r="T62" s="1387"/>
      <c r="U62" s="1387"/>
      <c r="V62" s="1387"/>
      <c r="W62" s="1387"/>
      <c r="X62" s="1387"/>
      <c r="Y62" s="1387"/>
      <c r="Z62" s="1387"/>
      <c r="AA62" s="1387"/>
      <c r="AB62" s="1387"/>
      <c r="AC62" s="1387"/>
    </row>
    <row r="63" s="1168" customFormat="1" spans="1:29">
      <c r="A63" s="1313" t="s">
        <v>1665</v>
      </c>
      <c r="B63" s="411" t="e">
        <f t="shared" si="17"/>
        <v>#DIV/0!</v>
      </c>
      <c r="C63" s="663">
        <f t="shared" si="16"/>
        <v>0</v>
      </c>
      <c r="D63" s="1314">
        <v>0.25</v>
      </c>
      <c r="E63" s="410">
        <f>'数据-汇总表'!E14</f>
        <v>0</v>
      </c>
      <c r="F63" s="1564" t="e">
        <f t="shared" si="15"/>
        <v>#DIV/0!</v>
      </c>
      <c r="G63" s="1320" t="s">
        <v>1656</v>
      </c>
      <c r="H63" s="1317">
        <f>项目基本情况!B37</f>
        <v>0</v>
      </c>
      <c r="I63" s="1569">
        <f>SUMIF(修正!A57:A68,H63,修正!G57:G68)</f>
        <v>0</v>
      </c>
      <c r="J63" s="1571"/>
      <c r="K63" s="1297"/>
      <c r="L63" s="1387"/>
      <c r="M63" s="1387"/>
      <c r="N63" s="1387"/>
      <c r="O63" s="1387"/>
      <c r="P63" s="1387"/>
      <c r="Q63" s="1387"/>
      <c r="R63" s="1387"/>
      <c r="S63" s="1387"/>
      <c r="T63" s="1387"/>
      <c r="U63" s="1387"/>
      <c r="V63" s="1387"/>
      <c r="W63" s="1387"/>
      <c r="X63" s="1387"/>
      <c r="Y63" s="1387"/>
      <c r="Z63" s="1387"/>
      <c r="AA63" s="1387"/>
      <c r="AB63" s="1387"/>
      <c r="AC63" s="1387"/>
    </row>
    <row r="64" s="1168" customFormat="1" ht="14.55" spans="1:29">
      <c r="A64" s="1313" t="s">
        <v>1666</v>
      </c>
      <c r="B64" s="411" t="e">
        <f t="shared" si="17"/>
        <v>#DIV/0!</v>
      </c>
      <c r="C64" s="663">
        <f t="shared" si="16"/>
        <v>0.15</v>
      </c>
      <c r="D64" s="1314">
        <v>0.25</v>
      </c>
      <c r="E64" s="410">
        <f>'数据-汇总表'!E15</f>
        <v>0</v>
      </c>
      <c r="F64" s="1564" t="e">
        <f t="shared" si="15"/>
        <v>#DIV/0!</v>
      </c>
      <c r="G64" s="1322" t="s">
        <v>1660</v>
      </c>
      <c r="H64" s="1323" t="str">
        <f>项目基本情况!C37</f>
        <v>五级</v>
      </c>
      <c r="I64" s="1572">
        <f>SUMIF(修正!A57:A68,H64,修正!G57:G68)</f>
        <v>0.15</v>
      </c>
      <c r="J64" s="1573"/>
      <c r="K64" s="1292"/>
      <c r="L64" s="1387"/>
      <c r="M64" s="1387"/>
      <c r="N64" s="1387"/>
      <c r="O64" s="1387"/>
      <c r="P64" s="1387"/>
      <c r="Q64" s="1387"/>
      <c r="R64" s="1387"/>
      <c r="S64" s="1387"/>
      <c r="T64" s="1387"/>
      <c r="U64" s="1387"/>
      <c r="V64" s="1387"/>
      <c r="W64" s="1387"/>
      <c r="X64" s="1387"/>
      <c r="Y64" s="1387"/>
      <c r="Z64" s="1387"/>
      <c r="AA64" s="1387"/>
      <c r="AB64" s="1387"/>
      <c r="AC64" s="1387"/>
    </row>
    <row r="65" s="1168" customFormat="1" ht="13.95" spans="1:29">
      <c r="A65" s="1324" t="s">
        <v>1667</v>
      </c>
      <c r="B65" s="1325" t="s">
        <v>1668</v>
      </c>
      <c r="C65" s="1325" t="s">
        <v>1668</v>
      </c>
      <c r="D65" s="1325" t="s">
        <v>1668</v>
      </c>
      <c r="E65" s="1325">
        <f>IF(B46="楼面地价",SUM(E56:E64),'数据-汇总表'!D3)</f>
        <v>10109.15</v>
      </c>
      <c r="F65" s="1326" t="e">
        <f>IF(B46="楼面地价",SUM(F56:F64),ROUND(C48*E65/10000,0))</f>
        <v>#DIV/0!</v>
      </c>
      <c r="G65" s="1575"/>
      <c r="H65" s="1575"/>
      <c r="I65" s="1575"/>
      <c r="J65" s="1575"/>
      <c r="K65" s="1577"/>
      <c r="L65" s="1387"/>
      <c r="M65" s="1387"/>
      <c r="N65" s="1387"/>
      <c r="O65" s="1387"/>
      <c r="P65" s="1387"/>
      <c r="Q65" s="1387"/>
      <c r="R65" s="1387"/>
      <c r="S65" s="1387"/>
      <c r="T65" s="1387"/>
      <c r="U65" s="1387"/>
      <c r="V65" s="1387"/>
      <c r="W65" s="1387"/>
      <c r="X65" s="1387"/>
      <c r="Y65" s="1387"/>
      <c r="Z65" s="1387"/>
      <c r="AA65" s="1387"/>
      <c r="AB65" s="1387"/>
      <c r="AC65" s="1387"/>
    </row>
    <row r="66" spans="1:29">
      <c r="A66" s="1333"/>
      <c r="B66" s="1331"/>
      <c r="C66" s="1299"/>
      <c r="D66" s="1333"/>
      <c r="E66" s="1333"/>
      <c r="F66" s="1333"/>
      <c r="G66" s="1333"/>
      <c r="H66" s="1333"/>
      <c r="I66" s="1333"/>
      <c r="J66" s="1328"/>
      <c r="K66" s="1389"/>
      <c r="L66" s="1390"/>
      <c r="M66" s="1328"/>
      <c r="N66" s="1328"/>
      <c r="O66" s="1328"/>
      <c r="P66" s="1292"/>
      <c r="Q66" s="1292"/>
      <c r="R66" s="1292"/>
      <c r="S66" s="1292"/>
      <c r="T66" s="1292"/>
      <c r="U66" s="1292"/>
      <c r="V66" s="1292"/>
      <c r="W66" s="1292"/>
      <c r="X66" s="1292"/>
      <c r="Y66" s="1292"/>
      <c r="Z66" s="1292"/>
      <c r="AA66" s="1292"/>
      <c r="AB66" s="1292"/>
      <c r="AC66" s="1292"/>
    </row>
    <row r="67" spans="1:29">
      <c r="A67" s="1333"/>
      <c r="B67" s="1331"/>
      <c r="C67" s="1331" t="str">
        <f>YEAR(C7)&amp;"-"&amp;MONTH(C7)&amp;"-1"</f>
        <v>2023-4-1</v>
      </c>
      <c r="D67" s="1331">
        <f>EDATE(C67,-3)</f>
        <v>44927</v>
      </c>
      <c r="E67" s="1331">
        <f>EDATE(D67,-3)</f>
        <v>44835</v>
      </c>
      <c r="F67" s="1331">
        <f t="shared" ref="F67:O67" si="18">EDATE(E67,-3)</f>
        <v>44743</v>
      </c>
      <c r="G67" s="1331">
        <f t="shared" si="18"/>
        <v>44652</v>
      </c>
      <c r="H67" s="1331">
        <f t="shared" si="18"/>
        <v>44562</v>
      </c>
      <c r="I67" s="1331">
        <f t="shared" si="18"/>
        <v>44470</v>
      </c>
      <c r="J67" s="1331">
        <f t="shared" si="18"/>
        <v>44378</v>
      </c>
      <c r="K67" s="1331">
        <f t="shared" si="18"/>
        <v>44287</v>
      </c>
      <c r="L67" s="1331">
        <f t="shared" si="18"/>
        <v>44197</v>
      </c>
      <c r="M67" s="1331">
        <f t="shared" si="18"/>
        <v>44105</v>
      </c>
      <c r="N67" s="1331">
        <f t="shared" si="18"/>
        <v>44013</v>
      </c>
      <c r="O67" s="1331">
        <f t="shared" si="18"/>
        <v>43922</v>
      </c>
      <c r="P67" s="1292"/>
      <c r="Q67" s="1292"/>
      <c r="R67" s="1292"/>
      <c r="S67" s="1292"/>
      <c r="T67" s="1292"/>
      <c r="U67" s="1292"/>
      <c r="V67" s="1292"/>
      <c r="W67" s="1292"/>
      <c r="X67" s="1292"/>
      <c r="Y67" s="1292"/>
      <c r="Z67" s="1292"/>
      <c r="AA67" s="1292"/>
      <c r="AB67" s="1292"/>
      <c r="AC67" s="1292"/>
    </row>
    <row r="68" ht="21.15" spans="1:29">
      <c r="A68" s="1332" t="s">
        <v>1528</v>
      </c>
      <c r="B68" s="1333"/>
      <c r="C68" s="1334"/>
      <c r="D68" s="1334"/>
      <c r="E68" s="1334"/>
      <c r="F68" s="1335"/>
      <c r="G68" s="1335"/>
      <c r="H68" s="1334"/>
      <c r="I68" s="1334"/>
      <c r="J68" s="1393"/>
      <c r="K68" s="1578"/>
      <c r="L68" s="1579"/>
      <c r="M68" s="1393"/>
      <c r="N68" s="1394"/>
      <c r="O68" s="1394"/>
      <c r="P68" s="1394"/>
      <c r="Q68" s="1419"/>
      <c r="R68" s="1292"/>
      <c r="S68" s="1292"/>
      <c r="T68" s="1292"/>
      <c r="U68" s="1292"/>
      <c r="V68" s="1292"/>
      <c r="W68" s="1292"/>
      <c r="X68" s="1292"/>
      <c r="Y68" s="1292"/>
      <c r="Z68" s="1292"/>
      <c r="AA68" s="1292"/>
      <c r="AB68" s="1292"/>
      <c r="AC68" s="1292"/>
    </row>
    <row r="69" s="1169" customFormat="1" ht="14.4" spans="1:29">
      <c r="A69" s="1430" t="s">
        <v>1669</v>
      </c>
      <c r="B69" s="1431"/>
      <c r="C69" s="1432" t="str">
        <f>YEAR(C67)&amp;"-"&amp;ROUNDUP(MONTH(C67)/3,0)</f>
        <v>2023-2</v>
      </c>
      <c r="D69" s="1432" t="str">
        <f>YEAR(D67)&amp;"-"&amp;ROUNDUP(MONTH(D67)/3,0)</f>
        <v>2023-1</v>
      </c>
      <c r="E69" s="1432" t="str">
        <f t="shared" ref="E69:O69" si="19">YEAR(E67)&amp;"-"&amp;ROUNDUP(MONTH(E67)/3,0)</f>
        <v>2022-4</v>
      </c>
      <c r="F69" s="1432" t="str">
        <f t="shared" si="19"/>
        <v>2022-3</v>
      </c>
      <c r="G69" s="1432" t="str">
        <f t="shared" si="19"/>
        <v>2022-2</v>
      </c>
      <c r="H69" s="1432" t="str">
        <f t="shared" si="19"/>
        <v>2022-1</v>
      </c>
      <c r="I69" s="1432" t="str">
        <f t="shared" si="19"/>
        <v>2021-4</v>
      </c>
      <c r="J69" s="1432" t="str">
        <f t="shared" si="19"/>
        <v>2021-3</v>
      </c>
      <c r="K69" s="1432" t="str">
        <f t="shared" si="19"/>
        <v>2021-2</v>
      </c>
      <c r="L69" s="1432" t="str">
        <f t="shared" si="19"/>
        <v>2021-1</v>
      </c>
      <c r="M69" s="1432" t="str">
        <f t="shared" si="19"/>
        <v>2020-4</v>
      </c>
      <c r="N69" s="1432" t="str">
        <f t="shared" si="19"/>
        <v>2020-3</v>
      </c>
      <c r="O69" s="1432" t="str">
        <f t="shared" si="19"/>
        <v>2020-2</v>
      </c>
      <c r="P69" s="1484"/>
      <c r="Q69" s="1540"/>
      <c r="R69" s="1540"/>
      <c r="S69" s="1540"/>
      <c r="T69" s="1540"/>
      <c r="U69" s="1540"/>
      <c r="V69" s="1540"/>
      <c r="W69" s="1540"/>
      <c r="X69" s="1540"/>
      <c r="Y69" s="1540"/>
      <c r="Z69" s="1540"/>
      <c r="AA69" s="1540"/>
      <c r="AB69" s="1540"/>
      <c r="AC69" s="1540"/>
    </row>
    <row r="70" s="1164" customFormat="1" ht="30" customHeight="1" spans="1:29">
      <c r="A70" s="1576" t="s">
        <v>1670</v>
      </c>
      <c r="B70" s="1434" t="str">
        <f>"北京市平均增长率"&amp;TEXT(SUMIF(基准地价修正!N25:N29,A70,基准地价修正!P25:P29),"0.00%")</f>
        <v>北京市平均增长率0.00%</v>
      </c>
      <c r="C70" s="928">
        <v>100</v>
      </c>
      <c r="D70" s="1435"/>
      <c r="E70" s="1435"/>
      <c r="F70" s="1435"/>
      <c r="G70" s="1435"/>
      <c r="H70" s="1435"/>
      <c r="I70" s="1435"/>
      <c r="J70" s="1435"/>
      <c r="K70" s="1435"/>
      <c r="L70" s="1435"/>
      <c r="M70" s="1485"/>
      <c r="N70" s="1435"/>
      <c r="O70" s="1580"/>
      <c r="P70" s="1419"/>
      <c r="Q70" s="1541"/>
      <c r="R70" s="1541"/>
      <c r="S70" s="1541"/>
      <c r="T70" s="1541"/>
      <c r="U70" s="1541"/>
      <c r="V70" s="1541"/>
      <c r="W70" s="1541"/>
      <c r="X70" s="1541"/>
      <c r="Y70" s="1541"/>
      <c r="Z70" s="1541"/>
      <c r="AA70" s="1541"/>
      <c r="AB70" s="1541"/>
      <c r="AC70" s="1541"/>
    </row>
    <row r="71" s="1164" customFormat="1" ht="15.15" spans="1:29">
      <c r="A71" s="1436" t="s">
        <v>1529</v>
      </c>
      <c r="B71" s="1437"/>
      <c r="C71" s="1438"/>
      <c r="D71" s="1439"/>
      <c r="E71" s="1439"/>
      <c r="F71" s="1439"/>
      <c r="G71" s="1439"/>
      <c r="H71" s="1439"/>
      <c r="I71" s="1439"/>
      <c r="J71" s="1439"/>
      <c r="K71" s="1439"/>
      <c r="L71" s="1439"/>
      <c r="M71" s="1487"/>
      <c r="N71" s="1439"/>
      <c r="O71" s="1581"/>
      <c r="P71" s="1419"/>
      <c r="Q71" s="1419"/>
      <c r="R71" s="1541"/>
      <c r="S71" s="1541"/>
      <c r="T71" s="1541"/>
      <c r="U71" s="1541"/>
      <c r="V71" s="1541"/>
      <c r="W71" s="1541"/>
      <c r="X71" s="1541"/>
      <c r="Y71" s="1541"/>
      <c r="Z71" s="1541"/>
      <c r="AA71" s="1541"/>
      <c r="AB71" s="1541"/>
      <c r="AC71" s="1541"/>
    </row>
    <row r="72" s="1164" customFormat="1" ht="14.4" spans="1:29">
      <c r="A72" s="1440" t="s">
        <v>1491</v>
      </c>
      <c r="B72" s="1441"/>
      <c r="C72" s="1442" t="s">
        <v>1530</v>
      </c>
      <c r="D72" s="1443"/>
      <c r="E72" s="1443"/>
      <c r="F72" s="1443"/>
      <c r="G72" s="1443"/>
      <c r="H72" s="1443"/>
      <c r="I72" s="1443"/>
      <c r="J72" s="1443"/>
      <c r="K72" s="1443"/>
      <c r="L72" s="1489"/>
      <c r="M72" s="1490"/>
      <c r="N72" s="1491"/>
      <c r="O72" s="1491"/>
      <c r="P72" s="1492"/>
      <c r="Q72" s="1419"/>
      <c r="R72" s="1541"/>
      <c r="S72" s="1541"/>
      <c r="T72" s="1541"/>
      <c r="U72" s="1541"/>
      <c r="V72" s="1541"/>
      <c r="W72" s="1541"/>
      <c r="X72" s="1541"/>
      <c r="Y72" s="1541"/>
      <c r="Z72" s="1541"/>
      <c r="AA72" s="1541"/>
      <c r="AB72" s="1541"/>
      <c r="AC72" s="1541"/>
    </row>
    <row r="73" s="1164" customFormat="1" ht="14.55" spans="1:29">
      <c r="A73" s="1440"/>
      <c r="B73" s="1441"/>
      <c r="C73" s="1444">
        <v>100</v>
      </c>
      <c r="D73" s="1445"/>
      <c r="E73" s="1445"/>
      <c r="F73" s="1445"/>
      <c r="G73" s="1445"/>
      <c r="H73" s="1445"/>
      <c r="I73" s="1445"/>
      <c r="J73" s="1445"/>
      <c r="K73" s="1445"/>
      <c r="L73" s="1445"/>
      <c r="M73" s="1493"/>
      <c r="N73" s="1491"/>
      <c r="O73" s="1491"/>
      <c r="P73" s="1419"/>
      <c r="Q73" s="1419"/>
      <c r="R73" s="1541"/>
      <c r="S73" s="1541"/>
      <c r="T73" s="1541"/>
      <c r="U73" s="1541"/>
      <c r="V73" s="1541"/>
      <c r="W73" s="1541"/>
      <c r="X73" s="1541"/>
      <c r="Y73" s="1541"/>
      <c r="Z73" s="1541"/>
      <c r="AA73" s="1541"/>
      <c r="AB73" s="1541"/>
      <c r="AC73" s="1541"/>
    </row>
    <row r="74" ht="14.4" spans="1:29">
      <c r="A74" s="1446" t="s">
        <v>1531</v>
      </c>
      <c r="B74" s="1447" t="s">
        <v>1494</v>
      </c>
      <c r="C74" s="1374"/>
      <c r="D74" s="1374"/>
      <c r="E74" s="1374"/>
      <c r="F74" s="1374"/>
      <c r="G74" s="1374"/>
      <c r="H74" s="1374"/>
      <c r="I74" s="1374"/>
      <c r="J74" s="1374"/>
      <c r="K74" s="1494"/>
      <c r="L74" s="1495"/>
      <c r="M74" s="1496"/>
      <c r="N74" s="1497"/>
      <c r="O74" s="1497"/>
      <c r="P74" s="1498"/>
      <c r="Q74" s="1419"/>
      <c r="R74" s="1292"/>
      <c r="S74" s="1292"/>
      <c r="T74" s="1292"/>
      <c r="U74" s="1292"/>
      <c r="V74" s="1292"/>
      <c r="W74" s="1292"/>
      <c r="X74" s="1292"/>
      <c r="Y74" s="1292"/>
      <c r="Z74" s="1292"/>
      <c r="AA74" s="1292"/>
      <c r="AB74" s="1292"/>
      <c r="AC74" s="1292"/>
    </row>
    <row r="75" ht="14.55" spans="1:29">
      <c r="A75" s="1448"/>
      <c r="B75" s="1449"/>
      <c r="C75" s="1450"/>
      <c r="D75" s="1450"/>
      <c r="E75" s="1450"/>
      <c r="F75" s="1450"/>
      <c r="G75" s="1450"/>
      <c r="H75" s="1450"/>
      <c r="I75" s="1450"/>
      <c r="J75" s="1450"/>
      <c r="K75" s="1450"/>
      <c r="L75" s="1450"/>
      <c r="M75" s="1499"/>
      <c r="N75" s="1500"/>
      <c r="O75" s="1500"/>
      <c r="P75" s="1498"/>
      <c r="Q75" s="1419"/>
      <c r="R75" s="1292"/>
      <c r="S75" s="1292"/>
      <c r="T75" s="1292"/>
      <c r="U75" s="1292"/>
      <c r="V75" s="1292"/>
      <c r="W75" s="1292"/>
      <c r="X75" s="1292"/>
      <c r="Y75" s="1292"/>
      <c r="Z75" s="1292"/>
      <c r="AA75" s="1292"/>
      <c r="AB75" s="1292"/>
      <c r="AC75" s="1292"/>
    </row>
    <row r="76" ht="29.55" spans="1:29">
      <c r="A76" s="1448"/>
      <c r="B76" s="1451" t="s">
        <v>1497</v>
      </c>
      <c r="C76" s="1452"/>
      <c r="D76" s="1452"/>
      <c r="E76" s="1452"/>
      <c r="F76" s="1452"/>
      <c r="G76" s="1452"/>
      <c r="H76" s="1452"/>
      <c r="I76" s="1452"/>
      <c r="J76" s="1452"/>
      <c r="K76" s="1501"/>
      <c r="L76" s="1502"/>
      <c r="M76" s="1503"/>
      <c r="N76" s="1497"/>
      <c r="O76" s="1497"/>
      <c r="P76" s="1498"/>
      <c r="Q76" s="1419"/>
      <c r="R76" s="1292"/>
      <c r="S76" s="1292"/>
      <c r="T76" s="1292"/>
      <c r="U76" s="1292"/>
      <c r="V76" s="1292"/>
      <c r="W76" s="1292"/>
      <c r="X76" s="1292"/>
      <c r="Y76" s="1292"/>
      <c r="Z76" s="1292"/>
      <c r="AA76" s="1292"/>
      <c r="AB76" s="1292"/>
      <c r="AC76" s="1292"/>
    </row>
    <row r="77" ht="14.55" spans="1:29">
      <c r="A77" s="1448"/>
      <c r="B77" s="1453"/>
      <c r="C77" s="1454"/>
      <c r="D77" s="1454"/>
      <c r="E77" s="1454"/>
      <c r="F77" s="1454"/>
      <c r="G77" s="1454"/>
      <c r="H77" s="1454"/>
      <c r="I77" s="1454"/>
      <c r="J77" s="1454"/>
      <c r="K77" s="1454"/>
      <c r="L77" s="1454"/>
      <c r="M77" s="1504"/>
      <c r="N77" s="1500"/>
      <c r="O77" s="1500"/>
      <c r="P77" s="1498"/>
      <c r="Q77" s="1419"/>
      <c r="R77" s="1292"/>
      <c r="S77" s="1292"/>
      <c r="T77" s="1292"/>
      <c r="U77" s="1292"/>
      <c r="V77" s="1292"/>
      <c r="W77" s="1292"/>
      <c r="X77" s="1292"/>
      <c r="Y77" s="1292"/>
      <c r="Z77" s="1292"/>
      <c r="AA77" s="1292"/>
      <c r="AB77" s="1292"/>
      <c r="AC77" s="1292"/>
    </row>
    <row r="78" ht="15.15" spans="1:29">
      <c r="A78" s="1448"/>
      <c r="B78" s="1455" t="s">
        <v>1498</v>
      </c>
      <c r="C78" s="1456" t="str">
        <f>C79&amp;"（含）"&amp;"-"&amp;D79</f>
        <v>（含）-</v>
      </c>
      <c r="D78" s="1456" t="str">
        <f t="shared" ref="D78:L78" si="20">D79&amp;"（含）"&amp;"-"&amp;E79</f>
        <v>（含）-</v>
      </c>
      <c r="E78" s="1456" t="str">
        <f t="shared" si="20"/>
        <v>（含）-</v>
      </c>
      <c r="F78" s="1456" t="str">
        <f t="shared" si="20"/>
        <v>（含）-</v>
      </c>
      <c r="G78" s="1456" t="str">
        <f t="shared" si="20"/>
        <v>（含）-</v>
      </c>
      <c r="H78" s="1456" t="str">
        <f t="shared" si="20"/>
        <v>（含）-</v>
      </c>
      <c r="I78" s="1456" t="str">
        <f t="shared" si="20"/>
        <v>（含）-</v>
      </c>
      <c r="J78" s="1456" t="str">
        <f t="shared" si="20"/>
        <v>（含）-</v>
      </c>
      <c r="K78" s="1456" t="str">
        <f t="shared" si="20"/>
        <v>（含）-</v>
      </c>
      <c r="L78" s="1456" t="str">
        <f t="shared" si="20"/>
        <v>（含）-</v>
      </c>
      <c r="M78" s="1238" t="str">
        <f>M79&amp;"（含）"&amp;"-"&amp;P79</f>
        <v>（含）-</v>
      </c>
      <c r="N78" s="1500"/>
      <c r="O78" s="1500"/>
      <c r="P78" s="1498"/>
      <c r="Q78" s="1419"/>
      <c r="R78" s="1292"/>
      <c r="S78" s="1292"/>
      <c r="T78" s="1292"/>
      <c r="U78" s="1292"/>
      <c r="V78" s="1292"/>
      <c r="W78" s="1292"/>
      <c r="X78" s="1292"/>
      <c r="Y78" s="1292"/>
      <c r="Z78" s="1292"/>
      <c r="AA78" s="1292"/>
      <c r="AB78" s="1292"/>
      <c r="AC78" s="1292"/>
    </row>
    <row r="79" spans="1:29">
      <c r="A79" s="1448"/>
      <c r="B79" s="1457"/>
      <c r="C79" s="1223"/>
      <c r="D79" s="1223"/>
      <c r="E79" s="1223"/>
      <c r="F79" s="1223"/>
      <c r="G79" s="1223"/>
      <c r="H79" s="1223"/>
      <c r="I79" s="1223"/>
      <c r="J79" s="1223"/>
      <c r="K79" s="1505"/>
      <c r="L79" s="1506"/>
      <c r="M79" s="1507"/>
      <c r="N79" s="1497"/>
      <c r="O79" s="1497"/>
      <c r="P79" s="1498"/>
      <c r="Q79" s="1419"/>
      <c r="R79" s="1292"/>
      <c r="S79" s="1292"/>
      <c r="T79" s="1292"/>
      <c r="U79" s="1292"/>
      <c r="V79" s="1292"/>
      <c r="W79" s="1292"/>
      <c r="X79" s="1292"/>
      <c r="Y79" s="1292"/>
      <c r="Z79" s="1292"/>
      <c r="AA79" s="1292"/>
      <c r="AB79" s="1292"/>
      <c r="AC79" s="1292"/>
    </row>
    <row r="80" ht="14.55" spans="1:29">
      <c r="A80" s="1448"/>
      <c r="B80" s="1449"/>
      <c r="C80" s="1454">
        <v>100</v>
      </c>
      <c r="D80" s="1454">
        <f t="shared" ref="D80:M80" si="21">IF($B$46="单位面积地价",C80+$K11,C80-$K11)</f>
        <v>100</v>
      </c>
      <c r="E80" s="1454">
        <f t="shared" si="21"/>
        <v>100</v>
      </c>
      <c r="F80" s="1454">
        <f t="shared" si="21"/>
        <v>100</v>
      </c>
      <c r="G80" s="1454">
        <f t="shared" si="21"/>
        <v>100</v>
      </c>
      <c r="H80" s="1454">
        <f t="shared" si="21"/>
        <v>100</v>
      </c>
      <c r="I80" s="1454">
        <f t="shared" si="21"/>
        <v>100</v>
      </c>
      <c r="J80" s="1454">
        <f t="shared" si="21"/>
        <v>100</v>
      </c>
      <c r="K80" s="1454">
        <f t="shared" si="21"/>
        <v>100</v>
      </c>
      <c r="L80" s="1454">
        <f t="shared" si="21"/>
        <v>100</v>
      </c>
      <c r="M80" s="1454">
        <f t="shared" si="21"/>
        <v>100</v>
      </c>
      <c r="N80" s="1500"/>
      <c r="O80" s="1500"/>
      <c r="P80" s="1498"/>
      <c r="Q80" s="1419"/>
      <c r="R80" s="1292"/>
      <c r="S80" s="1292"/>
      <c r="T80" s="1292"/>
      <c r="U80" s="1292"/>
      <c r="V80" s="1292"/>
      <c r="W80" s="1292"/>
      <c r="X80" s="1292"/>
      <c r="Y80" s="1292"/>
      <c r="Z80" s="1292"/>
      <c r="AA80" s="1292"/>
      <c r="AB80" s="1292"/>
      <c r="AC80" s="1292"/>
    </row>
    <row r="81" s="1166" customFormat="1" ht="15.15" spans="1:29">
      <c r="A81" s="1458"/>
      <c r="B81" s="1451" t="str">
        <f>B12</f>
        <v>配建</v>
      </c>
      <c r="C81" s="1459"/>
      <c r="D81" s="1459"/>
      <c r="E81" s="1459"/>
      <c r="F81" s="1459"/>
      <c r="G81" s="1459"/>
      <c r="H81" s="1460"/>
      <c r="I81" s="1460"/>
      <c r="J81" s="1460"/>
      <c r="K81" s="1460"/>
      <c r="L81" s="1508"/>
      <c r="M81" s="1509"/>
      <c r="N81" s="1510"/>
      <c r="O81" s="1510"/>
      <c r="P81" s="1511"/>
      <c r="Q81" s="1542"/>
      <c r="R81" s="1543"/>
      <c r="S81" s="1543"/>
      <c r="T81" s="1543"/>
      <c r="U81" s="1543"/>
      <c r="V81" s="1543"/>
      <c r="W81" s="1543"/>
      <c r="X81" s="1543"/>
      <c r="Y81" s="1543"/>
      <c r="Z81" s="1543"/>
      <c r="AA81" s="1543"/>
      <c r="AB81" s="1543"/>
      <c r="AC81" s="1543"/>
    </row>
    <row r="82" s="1166" customFormat="1" ht="14.55" spans="1:29">
      <c r="A82" s="1458"/>
      <c r="B82" s="1453"/>
      <c r="C82" s="1461"/>
      <c r="D82" s="1450"/>
      <c r="E82" s="1450"/>
      <c r="F82" s="1450"/>
      <c r="G82" s="1450"/>
      <c r="H82" s="1450"/>
      <c r="I82" s="1450"/>
      <c r="J82" s="1450"/>
      <c r="K82" s="1450"/>
      <c r="L82" s="1450"/>
      <c r="M82" s="1499"/>
      <c r="N82" s="1500"/>
      <c r="O82" s="1500"/>
      <c r="P82" s="1511"/>
      <c r="Q82" s="1542"/>
      <c r="R82" s="1543"/>
      <c r="S82" s="1543"/>
      <c r="T82" s="1543"/>
      <c r="U82" s="1543"/>
      <c r="V82" s="1543"/>
      <c r="W82" s="1543"/>
      <c r="X82" s="1543"/>
      <c r="Y82" s="1543"/>
      <c r="Z82" s="1543"/>
      <c r="AA82" s="1543"/>
      <c r="AB82" s="1543"/>
      <c r="AC82" s="1543"/>
    </row>
    <row r="83" s="1166" customFormat="1" ht="14.55" spans="1:29">
      <c r="A83" s="1458"/>
      <c r="B83" s="1451">
        <f>B13</f>
        <v>111</v>
      </c>
      <c r="C83" s="1459"/>
      <c r="D83" s="1459"/>
      <c r="E83" s="1459"/>
      <c r="F83" s="1459"/>
      <c r="G83" s="1459"/>
      <c r="H83" s="1460"/>
      <c r="I83" s="1460"/>
      <c r="J83" s="1460"/>
      <c r="K83" s="1460"/>
      <c r="L83" s="1508"/>
      <c r="M83" s="1509"/>
      <c r="N83" s="1510"/>
      <c r="O83" s="1510"/>
      <c r="P83" s="1371"/>
      <c r="Q83" s="1544"/>
      <c r="R83" s="1543"/>
      <c r="S83" s="1543"/>
      <c r="T83" s="1543"/>
      <c r="U83" s="1543"/>
      <c r="V83" s="1543"/>
      <c r="W83" s="1543"/>
      <c r="X83" s="1543"/>
      <c r="Y83" s="1543"/>
      <c r="Z83" s="1543"/>
      <c r="AA83" s="1543"/>
      <c r="AB83" s="1543"/>
      <c r="AC83" s="1543"/>
    </row>
    <row r="84" s="1166" customFormat="1" ht="14.55" spans="1:29">
      <c r="A84" s="1458"/>
      <c r="B84" s="1453"/>
      <c r="C84" s="1461"/>
      <c r="D84" s="1461"/>
      <c r="E84" s="1461"/>
      <c r="F84" s="1461"/>
      <c r="G84" s="1461"/>
      <c r="H84" s="1462"/>
      <c r="I84" s="1462"/>
      <c r="J84" s="1462"/>
      <c r="K84" s="1462"/>
      <c r="L84" s="1462"/>
      <c r="M84" s="1512"/>
      <c r="N84" s="1510"/>
      <c r="O84" s="1510"/>
      <c r="P84" s="1511"/>
      <c r="Q84" s="1542"/>
      <c r="R84" s="1543"/>
      <c r="S84" s="1543"/>
      <c r="T84" s="1543"/>
      <c r="U84" s="1543"/>
      <c r="V84" s="1543"/>
      <c r="W84" s="1543"/>
      <c r="X84" s="1543"/>
      <c r="Y84" s="1543"/>
      <c r="Z84" s="1543"/>
      <c r="AA84" s="1543"/>
      <c r="AB84" s="1543"/>
      <c r="AC84" s="1543"/>
    </row>
    <row r="85" s="1166" customFormat="1" ht="14.55" spans="1:29">
      <c r="A85" s="1458"/>
      <c r="B85" s="1455">
        <f>B14</f>
        <v>111</v>
      </c>
      <c r="C85" s="1443"/>
      <c r="D85" s="1443"/>
      <c r="E85" s="1443"/>
      <c r="F85" s="1443"/>
      <c r="G85" s="1443"/>
      <c r="H85" s="1463"/>
      <c r="I85" s="1463"/>
      <c r="J85" s="1463"/>
      <c r="K85" s="1463"/>
      <c r="L85" s="1513"/>
      <c r="M85" s="1514"/>
      <c r="N85" s="1510"/>
      <c r="O85" s="1510"/>
      <c r="P85" s="1515"/>
      <c r="Q85" s="1542"/>
      <c r="R85" s="1543"/>
      <c r="S85" s="1543"/>
      <c r="T85" s="1543"/>
      <c r="U85" s="1543"/>
      <c r="V85" s="1543"/>
      <c r="W85" s="1543"/>
      <c r="X85" s="1543"/>
      <c r="Y85" s="1543"/>
      <c r="Z85" s="1543"/>
      <c r="AA85" s="1543"/>
      <c r="AB85" s="1543"/>
      <c r="AC85" s="1543"/>
    </row>
    <row r="86" s="1166" customFormat="1" ht="14.55" spans="1:29">
      <c r="A86" s="1464"/>
      <c r="B86" s="1465"/>
      <c r="C86" s="1466"/>
      <c r="D86" s="1466"/>
      <c r="E86" s="1466"/>
      <c r="F86" s="1466"/>
      <c r="G86" s="1466"/>
      <c r="H86" s="1467"/>
      <c r="I86" s="1467"/>
      <c r="J86" s="1467"/>
      <c r="K86" s="1467"/>
      <c r="L86" s="1467"/>
      <c r="M86" s="1516"/>
      <c r="N86" s="1510"/>
      <c r="O86" s="1510"/>
      <c r="P86" s="1511"/>
      <c r="Q86" s="1542"/>
      <c r="R86" s="1543"/>
      <c r="S86" s="1543"/>
      <c r="T86" s="1543"/>
      <c r="U86" s="1543"/>
      <c r="V86" s="1543"/>
      <c r="W86" s="1543"/>
      <c r="X86" s="1543"/>
      <c r="Y86" s="1543"/>
      <c r="Z86" s="1543"/>
      <c r="AA86" s="1543"/>
      <c r="AB86" s="1543"/>
      <c r="AC86" s="1543"/>
    </row>
    <row r="87" ht="14.4" spans="1:29">
      <c r="A87" s="1446" t="s">
        <v>1499</v>
      </c>
      <c r="B87" s="1447" t="s">
        <v>1500</v>
      </c>
      <c r="C87" s="1468" t="s">
        <v>1532</v>
      </c>
      <c r="D87" s="1468" t="s">
        <v>1533</v>
      </c>
      <c r="E87" s="1468" t="s">
        <v>1534</v>
      </c>
      <c r="F87" s="1468" t="s">
        <v>1535</v>
      </c>
      <c r="G87" s="1468" t="s">
        <v>1536</v>
      </c>
      <c r="H87" s="1469"/>
      <c r="I87" s="1469"/>
      <c r="J87" s="1469"/>
      <c r="K87" s="1517"/>
      <c r="L87" s="1518"/>
      <c r="M87" s="1519"/>
      <c r="N87" s="1497"/>
      <c r="O87" s="1497"/>
      <c r="P87" s="1520"/>
      <c r="Q87" s="1419"/>
      <c r="R87" s="1292"/>
      <c r="S87" s="1292"/>
      <c r="T87" s="1292"/>
      <c r="U87" s="1292"/>
      <c r="V87" s="1292"/>
      <c r="W87" s="1292"/>
      <c r="X87" s="1292"/>
      <c r="Y87" s="1292"/>
      <c r="Z87" s="1292"/>
      <c r="AA87" s="1292"/>
      <c r="AB87" s="1292"/>
      <c r="AC87" s="1292"/>
    </row>
    <row r="88" ht="14.55" spans="1:29">
      <c r="A88" s="1448"/>
      <c r="B88" s="1453"/>
      <c r="C88" s="1454">
        <v>100</v>
      </c>
      <c r="D88" s="1454">
        <f>C88-$K15</f>
        <v>100</v>
      </c>
      <c r="E88" s="1454">
        <f>D88-$K15</f>
        <v>100</v>
      </c>
      <c r="F88" s="1454">
        <f>E88-$K15</f>
        <v>100</v>
      </c>
      <c r="G88" s="1454">
        <f>F88-$K15</f>
        <v>100</v>
      </c>
      <c r="H88" s="1454"/>
      <c r="I88" s="1454"/>
      <c r="J88" s="1454"/>
      <c r="K88" s="1454"/>
      <c r="L88" s="1454"/>
      <c r="M88" s="1504"/>
      <c r="N88" s="1500"/>
      <c r="O88" s="1500"/>
      <c r="P88" s="1498"/>
      <c r="Q88" s="1419"/>
      <c r="R88" s="1292"/>
      <c r="S88" s="1292"/>
      <c r="T88" s="1292"/>
      <c r="U88" s="1292"/>
      <c r="V88" s="1292"/>
      <c r="W88" s="1292"/>
      <c r="X88" s="1292"/>
      <c r="Y88" s="1292"/>
      <c r="Z88" s="1292"/>
      <c r="AA88" s="1292"/>
      <c r="AB88" s="1292"/>
      <c r="AC88" s="1292"/>
    </row>
    <row r="89" ht="15.15" spans="1:29">
      <c r="A89" s="1448"/>
      <c r="B89" s="1451" t="s">
        <v>1563</v>
      </c>
      <c r="C89" s="1470" t="s">
        <v>1532</v>
      </c>
      <c r="D89" s="1470" t="s">
        <v>1533</v>
      </c>
      <c r="E89" s="1470" t="s">
        <v>1534</v>
      </c>
      <c r="F89" s="1470" t="s">
        <v>1535</v>
      </c>
      <c r="G89" s="1470" t="s">
        <v>1536</v>
      </c>
      <c r="H89" s="1452"/>
      <c r="I89" s="1452"/>
      <c r="J89" s="1452"/>
      <c r="K89" s="1501"/>
      <c r="L89" s="1502"/>
      <c r="M89" s="1503"/>
      <c r="N89" s="1497"/>
      <c r="O89" s="1497"/>
      <c r="P89" s="1498"/>
      <c r="Q89" s="1419"/>
      <c r="R89" s="1292"/>
      <c r="S89" s="1292"/>
      <c r="T89" s="1292"/>
      <c r="U89" s="1292"/>
      <c r="V89" s="1292"/>
      <c r="W89" s="1292"/>
      <c r="X89" s="1292"/>
      <c r="Y89" s="1292"/>
      <c r="Z89" s="1292"/>
      <c r="AA89" s="1292"/>
      <c r="AB89" s="1292"/>
      <c r="AC89" s="1292"/>
    </row>
    <row r="90" ht="14.55" spans="1:29">
      <c r="A90" s="1448"/>
      <c r="B90" s="1453"/>
      <c r="C90" s="1454">
        <v>100</v>
      </c>
      <c r="D90" s="1454">
        <f>C90-$K17</f>
        <v>100</v>
      </c>
      <c r="E90" s="1454">
        <f>D90-$K17</f>
        <v>100</v>
      </c>
      <c r="F90" s="1454">
        <f>E90-$K17</f>
        <v>100</v>
      </c>
      <c r="G90" s="1454">
        <f>F90-$K17</f>
        <v>100</v>
      </c>
      <c r="H90" s="1454"/>
      <c r="I90" s="1454"/>
      <c r="J90" s="1454"/>
      <c r="K90" s="1454"/>
      <c r="L90" s="1454"/>
      <c r="M90" s="1504"/>
      <c r="N90" s="1500"/>
      <c r="O90" s="1500"/>
      <c r="P90" s="1498"/>
      <c r="Q90" s="1419"/>
      <c r="R90" s="1292"/>
      <c r="S90" s="1292"/>
      <c r="T90" s="1292"/>
      <c r="U90" s="1292"/>
      <c r="V90" s="1292"/>
      <c r="W90" s="1292"/>
      <c r="X90" s="1292"/>
      <c r="Y90" s="1292"/>
      <c r="Z90" s="1292"/>
      <c r="AA90" s="1292"/>
      <c r="AB90" s="1292"/>
      <c r="AC90" s="1292"/>
    </row>
    <row r="91" ht="15.15" spans="1:29">
      <c r="A91" s="1448"/>
      <c r="B91" s="1451" t="s">
        <v>1582</v>
      </c>
      <c r="C91" s="1470" t="s">
        <v>1532</v>
      </c>
      <c r="D91" s="1470" t="s">
        <v>1533</v>
      </c>
      <c r="E91" s="1470" t="s">
        <v>1534</v>
      </c>
      <c r="F91" s="1470" t="s">
        <v>1535</v>
      </c>
      <c r="G91" s="1470" t="s">
        <v>1536</v>
      </c>
      <c r="H91" s="1452"/>
      <c r="I91" s="1452"/>
      <c r="J91" s="1452"/>
      <c r="K91" s="1501"/>
      <c r="L91" s="1502"/>
      <c r="M91" s="1503"/>
      <c r="N91" s="1497"/>
      <c r="O91" s="1497"/>
      <c r="P91" s="1498"/>
      <c r="Q91" s="1419"/>
      <c r="R91" s="1292"/>
      <c r="S91" s="1292"/>
      <c r="T91" s="1292"/>
      <c r="U91" s="1292"/>
      <c r="V91" s="1292"/>
      <c r="W91" s="1292"/>
      <c r="X91" s="1292"/>
      <c r="Y91" s="1292"/>
      <c r="Z91" s="1292"/>
      <c r="AA91" s="1292"/>
      <c r="AB91" s="1292"/>
      <c r="AC91" s="1292"/>
    </row>
    <row r="92" ht="14.55" spans="1:29">
      <c r="A92" s="1448"/>
      <c r="B92" s="1453"/>
      <c r="C92" s="1454">
        <v>100</v>
      </c>
      <c r="D92" s="1454">
        <f>C92-$K19</f>
        <v>100</v>
      </c>
      <c r="E92" s="1454">
        <f>D92-$K19</f>
        <v>100</v>
      </c>
      <c r="F92" s="1454">
        <f>E92-$K19</f>
        <v>100</v>
      </c>
      <c r="G92" s="1454">
        <f>F92-$K19</f>
        <v>100</v>
      </c>
      <c r="H92" s="1454"/>
      <c r="I92" s="1454"/>
      <c r="J92" s="1454"/>
      <c r="K92" s="1454"/>
      <c r="L92" s="1454"/>
      <c r="M92" s="1504"/>
      <c r="N92" s="1500"/>
      <c r="O92" s="1500"/>
      <c r="P92" s="1498"/>
      <c r="Q92" s="1419"/>
      <c r="R92" s="1292"/>
      <c r="S92" s="1292"/>
      <c r="T92" s="1292"/>
      <c r="U92" s="1292"/>
      <c r="V92" s="1292"/>
      <c r="W92" s="1292"/>
      <c r="X92" s="1292"/>
      <c r="Y92" s="1292"/>
      <c r="Z92" s="1292"/>
      <c r="AA92" s="1292"/>
      <c r="AB92" s="1292"/>
      <c r="AC92" s="1292"/>
    </row>
    <row r="93" ht="15.15" spans="1:29">
      <c r="A93" s="1448"/>
      <c r="B93" s="1451" t="s">
        <v>1502</v>
      </c>
      <c r="C93" s="1470" t="s">
        <v>1532</v>
      </c>
      <c r="D93" s="1470" t="s">
        <v>1533</v>
      </c>
      <c r="E93" s="1470" t="s">
        <v>1534</v>
      </c>
      <c r="F93" s="1470" t="s">
        <v>1535</v>
      </c>
      <c r="G93" s="1470" t="s">
        <v>1536</v>
      </c>
      <c r="H93" s="1452"/>
      <c r="I93" s="1452"/>
      <c r="J93" s="1452"/>
      <c r="K93" s="1501"/>
      <c r="L93" s="1502"/>
      <c r="M93" s="1503"/>
      <c r="N93" s="1497"/>
      <c r="O93" s="1497"/>
      <c r="P93" s="1498"/>
      <c r="Q93" s="1419"/>
      <c r="R93" s="1292"/>
      <c r="S93" s="1292"/>
      <c r="T93" s="1292"/>
      <c r="U93" s="1292"/>
      <c r="V93" s="1292"/>
      <c r="W93" s="1292"/>
      <c r="X93" s="1292"/>
      <c r="Y93" s="1292"/>
      <c r="Z93" s="1292"/>
      <c r="AA93" s="1292"/>
      <c r="AB93" s="1292"/>
      <c r="AC93" s="1292"/>
    </row>
    <row r="94" ht="14.55" spans="1:29">
      <c r="A94" s="1448"/>
      <c r="B94" s="1453"/>
      <c r="C94" s="1454">
        <v>100</v>
      </c>
      <c r="D94" s="1454">
        <f>C94-$K21</f>
        <v>100</v>
      </c>
      <c r="E94" s="1454">
        <f>D94-$K21</f>
        <v>100</v>
      </c>
      <c r="F94" s="1454">
        <f>E94-$K21</f>
        <v>100</v>
      </c>
      <c r="G94" s="1454">
        <f>F94-$K21</f>
        <v>100</v>
      </c>
      <c r="H94" s="1454"/>
      <c r="I94" s="1454"/>
      <c r="J94" s="1454"/>
      <c r="K94" s="1454"/>
      <c r="L94" s="1454"/>
      <c r="M94" s="1504"/>
      <c r="N94" s="1500"/>
      <c r="O94" s="1500"/>
      <c r="P94" s="1498"/>
      <c r="Q94" s="1419"/>
      <c r="R94" s="1292"/>
      <c r="S94" s="1292"/>
      <c r="T94" s="1292"/>
      <c r="U94" s="1292"/>
      <c r="V94" s="1292"/>
      <c r="W94" s="1292"/>
      <c r="X94" s="1292"/>
      <c r="Y94" s="1292"/>
      <c r="Z94" s="1292"/>
      <c r="AA94" s="1292"/>
      <c r="AB94" s="1292"/>
      <c r="AC94" s="1292"/>
    </row>
    <row r="95" s="1164" customFormat="1" ht="29.55" spans="1:29">
      <c r="A95" s="1471"/>
      <c r="B95" s="1451" t="s">
        <v>1635</v>
      </c>
      <c r="C95" s="1470" t="s">
        <v>1532</v>
      </c>
      <c r="D95" s="1470" t="s">
        <v>1533</v>
      </c>
      <c r="E95" s="1470" t="s">
        <v>1534</v>
      </c>
      <c r="F95" s="1470" t="s">
        <v>1535</v>
      </c>
      <c r="G95" s="1470" t="s">
        <v>1536</v>
      </c>
      <c r="H95" s="1470"/>
      <c r="I95" s="1470"/>
      <c r="J95" s="1470"/>
      <c r="K95" s="1470"/>
      <c r="L95" s="1521"/>
      <c r="M95" s="1522"/>
      <c r="N95" s="1491"/>
      <c r="O95" s="1491"/>
      <c r="P95" s="1498"/>
      <c r="Q95" s="1419"/>
      <c r="R95" s="1541"/>
      <c r="S95" s="1541"/>
      <c r="T95" s="1541"/>
      <c r="U95" s="1541"/>
      <c r="V95" s="1541"/>
      <c r="W95" s="1541"/>
      <c r="X95" s="1541"/>
      <c r="Y95" s="1541"/>
      <c r="Z95" s="1541"/>
      <c r="AA95" s="1541"/>
      <c r="AB95" s="1541"/>
      <c r="AC95" s="1541"/>
    </row>
    <row r="96" s="1164" customFormat="1" ht="14.55" spans="1:29">
      <c r="A96" s="1471"/>
      <c r="B96" s="1453"/>
      <c r="C96" s="1472">
        <v>100</v>
      </c>
      <c r="D96" s="1454">
        <f>C96-$K23</f>
        <v>100</v>
      </c>
      <c r="E96" s="1454">
        <f>D96-$K23</f>
        <v>100</v>
      </c>
      <c r="F96" s="1454">
        <f>E96-$K23</f>
        <v>100</v>
      </c>
      <c r="G96" s="1454">
        <f>F96-$K23</f>
        <v>100</v>
      </c>
      <c r="H96" s="1454"/>
      <c r="I96" s="1454"/>
      <c r="J96" s="1454"/>
      <c r="K96" s="1454"/>
      <c r="L96" s="1454"/>
      <c r="M96" s="1504"/>
      <c r="N96" s="1500"/>
      <c r="O96" s="1500"/>
      <c r="P96" s="1498"/>
      <c r="Q96" s="1419"/>
      <c r="R96" s="1541"/>
      <c r="S96" s="1541"/>
      <c r="T96" s="1541"/>
      <c r="U96" s="1541"/>
      <c r="V96" s="1541"/>
      <c r="W96" s="1541"/>
      <c r="X96" s="1541"/>
      <c r="Y96" s="1541"/>
      <c r="Z96" s="1541"/>
      <c r="AA96" s="1541"/>
      <c r="AB96" s="1541"/>
      <c r="AC96" s="1541"/>
    </row>
    <row r="97" s="1164" customFormat="1" ht="29.55" spans="1:29">
      <c r="A97" s="1471"/>
      <c r="B97" s="1451" t="s">
        <v>1636</v>
      </c>
      <c r="C97" s="1468" t="s">
        <v>1532</v>
      </c>
      <c r="D97" s="1468" t="s">
        <v>1533</v>
      </c>
      <c r="E97" s="1468" t="s">
        <v>1534</v>
      </c>
      <c r="F97" s="1468" t="s">
        <v>1535</v>
      </c>
      <c r="G97" s="1468" t="s">
        <v>1536</v>
      </c>
      <c r="H97" s="1470"/>
      <c r="I97" s="1470"/>
      <c r="J97" s="1470"/>
      <c r="K97" s="1470"/>
      <c r="L97" s="1470"/>
      <c r="M97" s="1522"/>
      <c r="N97" s="1491"/>
      <c r="O97" s="1491"/>
      <c r="P97" s="1498"/>
      <c r="Q97" s="1419"/>
      <c r="R97" s="1541"/>
      <c r="S97" s="1541"/>
      <c r="T97" s="1541"/>
      <c r="U97" s="1541"/>
      <c r="V97" s="1541"/>
      <c r="W97" s="1541"/>
      <c r="X97" s="1541"/>
      <c r="Y97" s="1541"/>
      <c r="Z97" s="1541"/>
      <c r="AA97" s="1541"/>
      <c r="AB97" s="1541"/>
      <c r="AC97" s="1541"/>
    </row>
    <row r="98" s="1164" customFormat="1" ht="14.55" spans="1:29">
      <c r="A98" s="1471"/>
      <c r="B98" s="1453"/>
      <c r="C98" s="1454">
        <v>100</v>
      </c>
      <c r="D98" s="1454">
        <f>C98-$K25</f>
        <v>100</v>
      </c>
      <c r="E98" s="1454">
        <f>D98-$K25</f>
        <v>100</v>
      </c>
      <c r="F98" s="1454">
        <f>E98-$K25</f>
        <v>100</v>
      </c>
      <c r="G98" s="1454">
        <f>F98-$K25</f>
        <v>100</v>
      </c>
      <c r="H98" s="1454"/>
      <c r="I98" s="1454"/>
      <c r="J98" s="1454"/>
      <c r="K98" s="1454"/>
      <c r="L98" s="1454"/>
      <c r="M98" s="1504"/>
      <c r="N98" s="1500"/>
      <c r="O98" s="1500"/>
      <c r="P98" s="1498"/>
      <c r="Q98" s="1419"/>
      <c r="R98" s="1541"/>
      <c r="S98" s="1541"/>
      <c r="T98" s="1541"/>
      <c r="U98" s="1541"/>
      <c r="V98" s="1541"/>
      <c r="W98" s="1541"/>
      <c r="X98" s="1541"/>
      <c r="Y98" s="1541"/>
      <c r="Z98" s="1541"/>
      <c r="AA98" s="1541"/>
      <c r="AB98" s="1541"/>
      <c r="AC98" s="1541"/>
    </row>
    <row r="99" s="1166" customFormat="1" ht="15.15" spans="1:29">
      <c r="A99" s="1458"/>
      <c r="B99" s="1451" t="s">
        <v>1503</v>
      </c>
      <c r="C99" s="1468" t="s">
        <v>1532</v>
      </c>
      <c r="D99" s="1468" t="s">
        <v>1533</v>
      </c>
      <c r="E99" s="1468" t="s">
        <v>1534</v>
      </c>
      <c r="F99" s="1468" t="s">
        <v>1535</v>
      </c>
      <c r="G99" s="1468" t="s">
        <v>1536</v>
      </c>
      <c r="H99" s="1473"/>
      <c r="I99" s="1473"/>
      <c r="J99" s="1473"/>
      <c r="K99" s="1473"/>
      <c r="L99" s="1523"/>
      <c r="M99" s="1524"/>
      <c r="N99" s="1510"/>
      <c r="O99" s="1510"/>
      <c r="P99" s="1511"/>
      <c r="Q99" s="1542"/>
      <c r="R99" s="1543"/>
      <c r="S99" s="1543"/>
      <c r="T99" s="1543"/>
      <c r="U99" s="1543"/>
      <c r="V99" s="1543"/>
      <c r="W99" s="1543"/>
      <c r="X99" s="1543"/>
      <c r="Y99" s="1543"/>
      <c r="Z99" s="1543"/>
      <c r="AA99" s="1543"/>
      <c r="AB99" s="1543"/>
      <c r="AC99" s="1543"/>
    </row>
    <row r="100" s="1166" customFormat="1" ht="14.55" spans="1:29">
      <c r="A100" s="1458"/>
      <c r="B100" s="1453"/>
      <c r="C100" s="1454">
        <v>100</v>
      </c>
      <c r="D100" s="1454">
        <f>C100-$K27</f>
        <v>100</v>
      </c>
      <c r="E100" s="1454">
        <f>D100-$K27</f>
        <v>100</v>
      </c>
      <c r="F100" s="1454">
        <f>E100-$K27</f>
        <v>100</v>
      </c>
      <c r="G100" s="1454">
        <f>F100-$K27</f>
        <v>100</v>
      </c>
      <c r="H100" s="1474"/>
      <c r="I100" s="1474"/>
      <c r="J100" s="1474"/>
      <c r="K100" s="1474"/>
      <c r="L100" s="1474"/>
      <c r="M100" s="1525"/>
      <c r="N100" s="1510"/>
      <c r="O100" s="1510"/>
      <c r="P100" s="1511"/>
      <c r="Q100" s="1542"/>
      <c r="R100" s="1543"/>
      <c r="S100" s="1543"/>
      <c r="T100" s="1543"/>
      <c r="U100" s="1543"/>
      <c r="V100" s="1543"/>
      <c r="W100" s="1543"/>
      <c r="X100" s="1543"/>
      <c r="Y100" s="1543"/>
      <c r="Z100" s="1543"/>
      <c r="AA100" s="1543"/>
      <c r="AB100" s="1543"/>
      <c r="AC100" s="1543"/>
    </row>
    <row r="101" s="1166" customFormat="1" ht="15.15" spans="1:29">
      <c r="A101" s="1458"/>
      <c r="B101" s="1455" t="s">
        <v>1504</v>
      </c>
      <c r="C101" s="1475" t="s">
        <v>1537</v>
      </c>
      <c r="D101" s="1475" t="s">
        <v>1538</v>
      </c>
      <c r="E101" s="1475" t="s">
        <v>1539</v>
      </c>
      <c r="F101" s="1475" t="s">
        <v>1540</v>
      </c>
      <c r="G101" s="1475" t="s">
        <v>1541</v>
      </c>
      <c r="H101" s="1473"/>
      <c r="I101" s="1473"/>
      <c r="J101" s="1473"/>
      <c r="K101" s="1473"/>
      <c r="L101" s="1473"/>
      <c r="M101" s="1526"/>
      <c r="N101" s="1510"/>
      <c r="O101" s="1510"/>
      <c r="P101" s="1511"/>
      <c r="Q101" s="1542"/>
      <c r="R101" s="1543"/>
      <c r="S101" s="1543"/>
      <c r="T101" s="1543"/>
      <c r="U101" s="1543"/>
      <c r="V101" s="1543"/>
      <c r="W101" s="1543"/>
      <c r="X101" s="1543"/>
      <c r="Y101" s="1543"/>
      <c r="Z101" s="1543"/>
      <c r="AA101" s="1543"/>
      <c r="AB101" s="1543"/>
      <c r="AC101" s="1543"/>
    </row>
    <row r="102" s="1166" customFormat="1" ht="14.55" spans="1:29">
      <c r="A102" s="1458"/>
      <c r="B102" s="1455"/>
      <c r="C102" s="1454">
        <v>100</v>
      </c>
      <c r="D102" s="1454">
        <f>C102-$K29</f>
        <v>100</v>
      </c>
      <c r="E102" s="1454">
        <f>D102-$K29</f>
        <v>100</v>
      </c>
      <c r="F102" s="1454">
        <f>E102-$K29</f>
        <v>100</v>
      </c>
      <c r="G102" s="1454">
        <f>F102-$K29</f>
        <v>100</v>
      </c>
      <c r="H102" s="1457"/>
      <c r="I102" s="1457"/>
      <c r="J102" s="1457"/>
      <c r="K102" s="1457"/>
      <c r="L102" s="1457"/>
      <c r="M102" s="1526"/>
      <c r="N102" s="1510"/>
      <c r="O102" s="1510"/>
      <c r="P102" s="1511"/>
      <c r="Q102" s="1542"/>
      <c r="R102" s="1543"/>
      <c r="S102" s="1543"/>
      <c r="T102" s="1543"/>
      <c r="U102" s="1543"/>
      <c r="V102" s="1543"/>
      <c r="W102" s="1543"/>
      <c r="X102" s="1543"/>
      <c r="Y102" s="1543"/>
      <c r="Z102" s="1543"/>
      <c r="AA102" s="1543"/>
      <c r="AB102" s="1543"/>
      <c r="AC102" s="1543"/>
    </row>
    <row r="103" ht="15.15" spans="1:29">
      <c r="A103" s="1448"/>
      <c r="B103" s="1451" t="str">
        <f>B31</f>
        <v>临街状况</v>
      </c>
      <c r="C103" s="1452" t="s">
        <v>1671</v>
      </c>
      <c r="D103" s="1452" t="s">
        <v>1672</v>
      </c>
      <c r="E103" s="1452" t="s">
        <v>1673</v>
      </c>
      <c r="F103" s="1452" t="s">
        <v>1674</v>
      </c>
      <c r="G103" s="1452"/>
      <c r="H103" s="1452"/>
      <c r="I103" s="1452"/>
      <c r="J103" s="1452"/>
      <c r="K103" s="1501"/>
      <c r="L103" s="1502"/>
      <c r="M103" s="1503"/>
      <c r="N103" s="1497"/>
      <c r="O103" s="1497"/>
      <c r="P103" s="1498"/>
      <c r="Q103" s="1419"/>
      <c r="R103" s="1292"/>
      <c r="S103" s="1292"/>
      <c r="T103" s="1292"/>
      <c r="U103" s="1292"/>
      <c r="V103" s="1292"/>
      <c r="W103" s="1292"/>
      <c r="X103" s="1292"/>
      <c r="Y103" s="1292"/>
      <c r="Z103" s="1292"/>
      <c r="AA103" s="1292"/>
      <c r="AB103" s="1292"/>
      <c r="AC103" s="1292"/>
    </row>
    <row r="104" ht="14.55" spans="1:29">
      <c r="A104" s="1448"/>
      <c r="B104" s="1453"/>
      <c r="C104" s="1454">
        <v>100</v>
      </c>
      <c r="D104" s="1454">
        <f t="shared" ref="D104:M104" si="22">C104-$K31</f>
        <v>100</v>
      </c>
      <c r="E104" s="1454">
        <f t="shared" si="22"/>
        <v>100</v>
      </c>
      <c r="F104" s="1454">
        <f t="shared" si="22"/>
        <v>100</v>
      </c>
      <c r="G104" s="1454">
        <f t="shared" si="22"/>
        <v>100</v>
      </c>
      <c r="H104" s="1454">
        <f t="shared" si="22"/>
        <v>100</v>
      </c>
      <c r="I104" s="1454">
        <f t="shared" si="22"/>
        <v>100</v>
      </c>
      <c r="J104" s="1454">
        <f t="shared" si="22"/>
        <v>100</v>
      </c>
      <c r="K104" s="1454">
        <f t="shared" si="22"/>
        <v>100</v>
      </c>
      <c r="L104" s="1454">
        <f t="shared" si="22"/>
        <v>100</v>
      </c>
      <c r="M104" s="1454">
        <f t="shared" si="22"/>
        <v>100</v>
      </c>
      <c r="N104" s="1500"/>
      <c r="O104" s="1500"/>
      <c r="P104" s="1498"/>
      <c r="Q104" s="1419"/>
      <c r="R104" s="1292"/>
      <c r="S104" s="1292"/>
      <c r="T104" s="1292"/>
      <c r="U104" s="1292"/>
      <c r="V104" s="1292"/>
      <c r="W104" s="1292"/>
      <c r="X104" s="1292"/>
      <c r="Y104" s="1292"/>
      <c r="Z104" s="1292"/>
      <c r="AA104" s="1292"/>
      <c r="AB104" s="1292"/>
      <c r="AC104" s="1292"/>
    </row>
    <row r="105" ht="29.55" spans="1:29">
      <c r="A105" s="1448"/>
      <c r="B105" s="1451" t="s">
        <v>1586</v>
      </c>
      <c r="C105" s="1459"/>
      <c r="D105" s="1459"/>
      <c r="E105" s="1459"/>
      <c r="F105" s="1459"/>
      <c r="G105" s="1459"/>
      <c r="H105" s="1476"/>
      <c r="I105" s="1476"/>
      <c r="J105" s="1476"/>
      <c r="K105" s="1527"/>
      <c r="L105" s="1528"/>
      <c r="M105" s="1529"/>
      <c r="N105" s="1497"/>
      <c r="O105" s="1497"/>
      <c r="P105" s="1498"/>
      <c r="Q105" s="1419"/>
      <c r="R105" s="1292"/>
      <c r="S105" s="1292"/>
      <c r="T105" s="1292"/>
      <c r="U105" s="1292"/>
      <c r="V105" s="1292"/>
      <c r="W105" s="1292"/>
      <c r="X105" s="1292"/>
      <c r="Y105" s="1292"/>
      <c r="Z105" s="1292"/>
      <c r="AA105" s="1292"/>
      <c r="AB105" s="1292"/>
      <c r="AC105" s="1292"/>
    </row>
    <row r="106" ht="14.55" spans="1:29">
      <c r="A106" s="1448"/>
      <c r="B106" s="1453"/>
      <c r="C106" s="1454">
        <v>100</v>
      </c>
      <c r="D106" s="1454">
        <f t="shared" ref="D106:M106" si="23">C106-$K32</f>
        <v>100</v>
      </c>
      <c r="E106" s="1454">
        <f t="shared" si="23"/>
        <v>100</v>
      </c>
      <c r="F106" s="1454">
        <f t="shared" si="23"/>
        <v>100</v>
      </c>
      <c r="G106" s="1454">
        <f t="shared" si="23"/>
        <v>100</v>
      </c>
      <c r="H106" s="1454">
        <f t="shared" si="23"/>
        <v>100</v>
      </c>
      <c r="I106" s="1454">
        <f t="shared" si="23"/>
        <v>100</v>
      </c>
      <c r="J106" s="1454">
        <f t="shared" si="23"/>
        <v>100</v>
      </c>
      <c r="K106" s="1454">
        <f t="shared" si="23"/>
        <v>100</v>
      </c>
      <c r="L106" s="1454">
        <f t="shared" si="23"/>
        <v>100</v>
      </c>
      <c r="M106" s="1454">
        <f t="shared" si="23"/>
        <v>100</v>
      </c>
      <c r="N106" s="1500"/>
      <c r="O106" s="1500"/>
      <c r="P106" s="1498"/>
      <c r="Q106" s="1419"/>
      <c r="R106" s="1292"/>
      <c r="S106" s="1292"/>
      <c r="T106" s="1292"/>
      <c r="U106" s="1292"/>
      <c r="V106" s="1292"/>
      <c r="W106" s="1292"/>
      <c r="X106" s="1292"/>
      <c r="Y106" s="1292"/>
      <c r="Z106" s="1292"/>
      <c r="AA106" s="1292"/>
      <c r="AB106" s="1292"/>
      <c r="AC106" s="1292"/>
    </row>
    <row r="107" ht="15.15" spans="1:29">
      <c r="A107" s="1448"/>
      <c r="B107" s="1451" t="s">
        <v>1637</v>
      </c>
      <c r="C107" s="1476"/>
      <c r="D107" s="1476"/>
      <c r="E107" s="1476"/>
      <c r="F107" s="1476"/>
      <c r="G107" s="1476"/>
      <c r="H107" s="1476"/>
      <c r="I107" s="1476"/>
      <c r="J107" s="1476"/>
      <c r="K107" s="1527"/>
      <c r="L107" s="1528"/>
      <c r="M107" s="1529"/>
      <c r="N107" s="1497"/>
      <c r="O107" s="1497"/>
      <c r="P107" s="1498"/>
      <c r="Q107" s="1419"/>
      <c r="R107" s="1292"/>
      <c r="S107" s="1292"/>
      <c r="T107" s="1292"/>
      <c r="U107" s="1292"/>
      <c r="V107" s="1292"/>
      <c r="W107" s="1292"/>
      <c r="X107" s="1292"/>
      <c r="Y107" s="1292"/>
      <c r="Z107" s="1292"/>
      <c r="AA107" s="1292"/>
      <c r="AB107" s="1292"/>
      <c r="AC107" s="1292"/>
    </row>
    <row r="108" ht="14.55" spans="1:29">
      <c r="A108" s="1448"/>
      <c r="B108" s="1453"/>
      <c r="C108" s="1454">
        <v>100</v>
      </c>
      <c r="D108" s="1454">
        <f t="shared" ref="D108:M108" si="24">C108-$K34</f>
        <v>100</v>
      </c>
      <c r="E108" s="1454">
        <f t="shared" si="24"/>
        <v>100</v>
      </c>
      <c r="F108" s="1454">
        <f t="shared" si="24"/>
        <v>100</v>
      </c>
      <c r="G108" s="1454">
        <f t="shared" si="24"/>
        <v>100</v>
      </c>
      <c r="H108" s="1454">
        <f t="shared" si="24"/>
        <v>100</v>
      </c>
      <c r="I108" s="1454">
        <f t="shared" si="24"/>
        <v>100</v>
      </c>
      <c r="J108" s="1454">
        <f t="shared" si="24"/>
        <v>100</v>
      </c>
      <c r="K108" s="1454">
        <f t="shared" si="24"/>
        <v>100</v>
      </c>
      <c r="L108" s="1454">
        <f t="shared" si="24"/>
        <v>100</v>
      </c>
      <c r="M108" s="1454">
        <f t="shared" si="24"/>
        <v>100</v>
      </c>
      <c r="N108" s="1500"/>
      <c r="O108" s="1500"/>
      <c r="P108" s="1498"/>
      <c r="Q108" s="1419"/>
      <c r="R108" s="1292"/>
      <c r="S108" s="1292"/>
      <c r="T108" s="1292"/>
      <c r="U108" s="1292"/>
      <c r="V108" s="1292"/>
      <c r="W108" s="1292"/>
      <c r="X108" s="1292"/>
      <c r="Y108" s="1292"/>
      <c r="Z108" s="1292"/>
      <c r="AA108" s="1292"/>
      <c r="AB108" s="1292"/>
      <c r="AC108" s="1292"/>
    </row>
    <row r="109" ht="14.55" spans="1:29">
      <c r="A109" s="1448"/>
      <c r="B109" s="1455">
        <f>B35</f>
        <v>111</v>
      </c>
      <c r="C109" s="1459"/>
      <c r="D109" s="1459"/>
      <c r="E109" s="1459"/>
      <c r="F109" s="1459"/>
      <c r="G109" s="1477"/>
      <c r="H109" s="1477"/>
      <c r="I109" s="1477"/>
      <c r="J109" s="1477"/>
      <c r="K109" s="1530"/>
      <c r="L109" s="1531"/>
      <c r="M109" s="1532"/>
      <c r="N109" s="1497"/>
      <c r="O109" s="1497"/>
      <c r="P109" s="1498"/>
      <c r="Q109" s="1419"/>
      <c r="R109" s="1292"/>
      <c r="S109" s="1292"/>
      <c r="T109" s="1292"/>
      <c r="U109" s="1292"/>
      <c r="V109" s="1292"/>
      <c r="W109" s="1292"/>
      <c r="X109" s="1292"/>
      <c r="Y109" s="1292"/>
      <c r="Z109" s="1292"/>
      <c r="AA109" s="1292"/>
      <c r="AB109" s="1292"/>
      <c r="AC109" s="1292"/>
    </row>
    <row r="110" ht="14.55" spans="1:29">
      <c r="A110" s="1448"/>
      <c r="B110" s="1465"/>
      <c r="C110" s="1461"/>
      <c r="D110" s="1461"/>
      <c r="E110" s="1461"/>
      <c r="F110" s="1461"/>
      <c r="G110" s="1478"/>
      <c r="H110" s="1478"/>
      <c r="I110" s="1478"/>
      <c r="J110" s="1478"/>
      <c r="K110" s="1478"/>
      <c r="L110" s="1478"/>
      <c r="M110" s="1533"/>
      <c r="N110" s="1500"/>
      <c r="O110" s="1500"/>
      <c r="P110" s="1498"/>
      <c r="Q110" s="1419"/>
      <c r="R110" s="1292"/>
      <c r="S110" s="1292"/>
      <c r="T110" s="1292"/>
      <c r="U110" s="1292"/>
      <c r="V110" s="1292"/>
      <c r="W110" s="1292"/>
      <c r="X110" s="1292"/>
      <c r="Y110" s="1292"/>
      <c r="Z110" s="1292"/>
      <c r="AA110" s="1292"/>
      <c r="AB110" s="1292"/>
      <c r="AC110" s="1292"/>
    </row>
    <row r="111" ht="14.55" spans="1:29">
      <c r="A111" s="1258"/>
      <c r="B111" s="1451">
        <f>B36</f>
        <v>111</v>
      </c>
      <c r="C111" s="1443"/>
      <c r="D111" s="1443"/>
      <c r="E111" s="1443"/>
      <c r="F111" s="1443"/>
      <c r="G111" s="1476"/>
      <c r="H111" s="1476"/>
      <c r="I111" s="1476"/>
      <c r="J111" s="1476"/>
      <c r="K111" s="1527"/>
      <c r="L111" s="1528"/>
      <c r="M111" s="1529"/>
      <c r="N111" s="1497"/>
      <c r="O111" s="1497"/>
      <c r="P111" s="1498"/>
      <c r="Q111" s="1419"/>
      <c r="R111" s="1292"/>
      <c r="S111" s="1292"/>
      <c r="T111" s="1292"/>
      <c r="U111" s="1292"/>
      <c r="V111" s="1292"/>
      <c r="W111" s="1292"/>
      <c r="X111" s="1292"/>
      <c r="Y111" s="1292"/>
      <c r="Z111" s="1292"/>
      <c r="AA111" s="1292"/>
      <c r="AB111" s="1292"/>
      <c r="AC111" s="1292"/>
    </row>
    <row r="112" ht="14.55" spans="1:29">
      <c r="A112" s="1448"/>
      <c r="B112" s="1453"/>
      <c r="C112" s="1466"/>
      <c r="D112" s="1466"/>
      <c r="E112" s="1466"/>
      <c r="F112" s="1466"/>
      <c r="G112" s="1450"/>
      <c r="H112" s="1450"/>
      <c r="I112" s="1450"/>
      <c r="J112" s="1450"/>
      <c r="K112" s="1450"/>
      <c r="L112" s="1450"/>
      <c r="M112" s="1499"/>
      <c r="N112" s="1500"/>
      <c r="O112" s="1500"/>
      <c r="P112" s="1498"/>
      <c r="Q112" s="1419"/>
      <c r="R112" s="1292"/>
      <c r="S112" s="1292"/>
      <c r="T112" s="1292"/>
      <c r="U112" s="1292"/>
      <c r="V112" s="1292"/>
      <c r="W112" s="1292"/>
      <c r="X112" s="1292"/>
      <c r="Y112" s="1292"/>
      <c r="Z112" s="1292"/>
      <c r="AA112" s="1292"/>
      <c r="AB112" s="1292"/>
      <c r="AC112" s="1292"/>
    </row>
    <row r="113" s="1166" customFormat="1" ht="14.55" spans="1:29">
      <c r="A113" s="1479"/>
      <c r="B113" s="1480">
        <f>B37</f>
        <v>111</v>
      </c>
      <c r="C113" s="1435"/>
      <c r="D113" s="1435"/>
      <c r="E113" s="1435"/>
      <c r="F113" s="1435"/>
      <c r="G113" s="1435"/>
      <c r="H113" s="1435"/>
      <c r="I113" s="1435"/>
      <c r="J113" s="1534"/>
      <c r="K113" s="1534"/>
      <c r="L113" s="1535"/>
      <c r="M113" s="1536"/>
      <c r="N113" s="1510"/>
      <c r="O113" s="1510"/>
      <c r="P113" s="1511"/>
      <c r="Q113" s="1542"/>
      <c r="R113" s="1543"/>
      <c r="S113" s="1543"/>
      <c r="T113" s="1543"/>
      <c r="U113" s="1543"/>
      <c r="V113" s="1543"/>
      <c r="W113" s="1543"/>
      <c r="X113" s="1543"/>
      <c r="Y113" s="1543"/>
      <c r="Z113" s="1543"/>
      <c r="AA113" s="1543"/>
      <c r="AB113" s="1543"/>
      <c r="AC113" s="1543"/>
    </row>
    <row r="114" s="1166" customFormat="1" ht="14.55" spans="1:29">
      <c r="A114" s="1458"/>
      <c r="B114" s="1455"/>
      <c r="C114" s="1445"/>
      <c r="D114" s="1481"/>
      <c r="E114" s="1481"/>
      <c r="F114" s="1481"/>
      <c r="G114" s="1481"/>
      <c r="H114" s="1481"/>
      <c r="I114" s="1481"/>
      <c r="J114" s="1481"/>
      <c r="K114" s="1481"/>
      <c r="L114" s="1481"/>
      <c r="M114" s="1537"/>
      <c r="N114" s="1500"/>
      <c r="O114" s="1500"/>
      <c r="P114" s="1511"/>
      <c r="Q114" s="1542"/>
      <c r="R114" s="1543"/>
      <c r="S114" s="1543"/>
      <c r="T114" s="1543"/>
      <c r="U114" s="1543"/>
      <c r="V114" s="1543"/>
      <c r="W114" s="1543"/>
      <c r="X114" s="1543"/>
      <c r="Y114" s="1543"/>
      <c r="Z114" s="1543"/>
      <c r="AA114" s="1543"/>
      <c r="AB114" s="1543"/>
      <c r="AC114" s="1543"/>
    </row>
    <row r="115" ht="14.4" spans="1:29">
      <c r="A115" s="1446" t="s">
        <v>1508</v>
      </c>
      <c r="B115" s="1447" t="s">
        <v>1638</v>
      </c>
      <c r="C115" s="1469" t="str">
        <f>C116&amp;"(含)"&amp;"-"&amp;D116</f>
        <v>(含)-</v>
      </c>
      <c r="D115" s="1469" t="str">
        <f t="shared" ref="D115:M115" si="25">D116&amp;"(含)"&amp;"-"&amp;E116</f>
        <v>(含)-</v>
      </c>
      <c r="E115" s="1469" t="str">
        <f t="shared" si="25"/>
        <v>(含)-</v>
      </c>
      <c r="F115" s="1469" t="str">
        <f t="shared" si="25"/>
        <v>(含)-</v>
      </c>
      <c r="G115" s="1469" t="str">
        <f t="shared" si="25"/>
        <v>(含)-</v>
      </c>
      <c r="H115" s="1469" t="str">
        <f t="shared" si="25"/>
        <v>(含)-</v>
      </c>
      <c r="I115" s="1469" t="str">
        <f t="shared" si="25"/>
        <v>(含)-</v>
      </c>
      <c r="J115" s="1469" t="str">
        <f t="shared" si="25"/>
        <v>(含)-</v>
      </c>
      <c r="K115" s="1469" t="str">
        <f t="shared" si="25"/>
        <v>(含)-</v>
      </c>
      <c r="L115" s="1469" t="str">
        <f t="shared" si="25"/>
        <v>(含)-</v>
      </c>
      <c r="M115" s="1469" t="str">
        <f t="shared" si="25"/>
        <v>(含)-</v>
      </c>
      <c r="N115" s="1497"/>
      <c r="O115" s="1497"/>
      <c r="P115" s="1498"/>
      <c r="Q115" s="1419"/>
      <c r="R115" s="1292"/>
      <c r="S115" s="1292"/>
      <c r="T115" s="1292"/>
      <c r="U115" s="1292"/>
      <c r="V115" s="1292"/>
      <c r="W115" s="1292"/>
      <c r="X115" s="1292"/>
      <c r="Y115" s="1292"/>
      <c r="Z115" s="1292"/>
      <c r="AA115" s="1292"/>
      <c r="AB115" s="1292"/>
      <c r="AC115" s="1292"/>
    </row>
    <row r="116" spans="1:29">
      <c r="A116" s="1448"/>
      <c r="B116" s="1455"/>
      <c r="C116" s="1435"/>
      <c r="D116" s="1435"/>
      <c r="E116" s="1435"/>
      <c r="F116" s="1435"/>
      <c r="G116" s="1435"/>
      <c r="H116" s="1435"/>
      <c r="I116" s="1435"/>
      <c r="J116" s="1534"/>
      <c r="K116" s="1534"/>
      <c r="L116" s="1535"/>
      <c r="M116" s="1536"/>
      <c r="N116" s="1497"/>
      <c r="O116" s="1497"/>
      <c r="P116" s="1498"/>
      <c r="Q116" s="1419"/>
      <c r="R116" s="1292"/>
      <c r="S116" s="1292"/>
      <c r="T116" s="1292"/>
      <c r="U116" s="1292"/>
      <c r="V116" s="1292"/>
      <c r="W116" s="1292"/>
      <c r="X116" s="1292"/>
      <c r="Y116" s="1292"/>
      <c r="Z116" s="1292"/>
      <c r="AA116" s="1292"/>
      <c r="AB116" s="1292"/>
      <c r="AC116" s="1292"/>
    </row>
    <row r="117" ht="14.55" spans="1:29">
      <c r="A117" s="1448"/>
      <c r="B117" s="1453"/>
      <c r="C117" s="1466"/>
      <c r="D117" s="1478"/>
      <c r="E117" s="1478"/>
      <c r="F117" s="1478"/>
      <c r="G117" s="1478"/>
      <c r="H117" s="1478"/>
      <c r="I117" s="1478"/>
      <c r="J117" s="1478"/>
      <c r="K117" s="1478"/>
      <c r="L117" s="1478"/>
      <c r="M117" s="1533"/>
      <c r="N117" s="1500"/>
      <c r="O117" s="1500"/>
      <c r="P117" s="1498"/>
      <c r="Q117" s="1419"/>
      <c r="R117" s="1292"/>
      <c r="S117" s="1292"/>
      <c r="T117" s="1292"/>
      <c r="U117" s="1292"/>
      <c r="V117" s="1292"/>
      <c r="W117" s="1292"/>
      <c r="X117" s="1292"/>
      <c r="Y117" s="1292"/>
      <c r="Z117" s="1292"/>
      <c r="AA117" s="1292"/>
      <c r="AB117" s="1292"/>
      <c r="AC117" s="1292"/>
    </row>
    <row r="118" ht="15.15" spans="1:29">
      <c r="A118" s="1482"/>
      <c r="B118" s="1451" t="s">
        <v>1639</v>
      </c>
      <c r="C118" s="1476"/>
      <c r="D118" s="1476"/>
      <c r="E118" s="1476"/>
      <c r="F118" s="1476"/>
      <c r="G118" s="1476"/>
      <c r="H118" s="1476"/>
      <c r="I118" s="1476"/>
      <c r="J118" s="1476"/>
      <c r="K118" s="1527"/>
      <c r="L118" s="1528"/>
      <c r="M118" s="1529"/>
      <c r="N118" s="1497"/>
      <c r="O118" s="1497"/>
      <c r="P118" s="1498"/>
      <c r="Q118" s="1419"/>
      <c r="R118" s="1292"/>
      <c r="S118" s="1292"/>
      <c r="T118" s="1292"/>
      <c r="U118" s="1292"/>
      <c r="V118" s="1292"/>
      <c r="W118" s="1292"/>
      <c r="X118" s="1292"/>
      <c r="Y118" s="1292"/>
      <c r="Z118" s="1292"/>
      <c r="AA118" s="1292"/>
      <c r="AB118" s="1292"/>
      <c r="AC118" s="1292"/>
    </row>
    <row r="119" ht="14.55" spans="1:29">
      <c r="A119" s="1448"/>
      <c r="B119" s="1453"/>
      <c r="C119" s="1454">
        <v>100</v>
      </c>
      <c r="D119" s="1454">
        <f t="shared" ref="D119:M119" si="26">C119-$K39</f>
        <v>100</v>
      </c>
      <c r="E119" s="1454">
        <f t="shared" si="26"/>
        <v>100</v>
      </c>
      <c r="F119" s="1454">
        <f t="shared" si="26"/>
        <v>100</v>
      </c>
      <c r="G119" s="1454">
        <f t="shared" si="26"/>
        <v>100</v>
      </c>
      <c r="H119" s="1454">
        <f t="shared" si="26"/>
        <v>100</v>
      </c>
      <c r="I119" s="1454">
        <f t="shared" si="26"/>
        <v>100</v>
      </c>
      <c r="J119" s="1454">
        <f t="shared" si="26"/>
        <v>100</v>
      </c>
      <c r="K119" s="1454">
        <f t="shared" si="26"/>
        <v>100</v>
      </c>
      <c r="L119" s="1454">
        <f t="shared" si="26"/>
        <v>100</v>
      </c>
      <c r="M119" s="1504">
        <f t="shared" si="26"/>
        <v>100</v>
      </c>
      <c r="N119" s="1500"/>
      <c r="O119" s="1500"/>
      <c r="P119" s="1498"/>
      <c r="Q119" s="1419"/>
      <c r="R119" s="1292"/>
      <c r="S119" s="1292"/>
      <c r="T119" s="1292"/>
      <c r="U119" s="1292"/>
      <c r="V119" s="1292"/>
      <c r="W119" s="1292"/>
      <c r="X119" s="1292"/>
      <c r="Y119" s="1292"/>
      <c r="Z119" s="1292"/>
      <c r="AA119" s="1292"/>
      <c r="AB119" s="1292"/>
      <c r="AC119" s="1292"/>
    </row>
    <row r="120" ht="15.15" spans="1:29">
      <c r="A120" s="1482"/>
      <c r="B120" s="1451" t="s">
        <v>1640</v>
      </c>
      <c r="C120" s="1459"/>
      <c r="D120" s="1459"/>
      <c r="E120" s="1459"/>
      <c r="F120" s="1476"/>
      <c r="G120" s="1476"/>
      <c r="H120" s="1476"/>
      <c r="I120" s="1476"/>
      <c r="J120" s="1476"/>
      <c r="K120" s="1527"/>
      <c r="L120" s="1528"/>
      <c r="M120" s="1529"/>
      <c r="N120" s="1497"/>
      <c r="O120" s="1497"/>
      <c r="P120" s="1498"/>
      <c r="Q120" s="1419"/>
      <c r="R120" s="1292"/>
      <c r="S120" s="1292"/>
      <c r="T120" s="1292"/>
      <c r="U120" s="1292"/>
      <c r="V120" s="1292"/>
      <c r="W120" s="1292"/>
      <c r="X120" s="1292"/>
      <c r="Y120" s="1292"/>
      <c r="Z120" s="1292"/>
      <c r="AA120" s="1292"/>
      <c r="AB120" s="1292"/>
      <c r="AC120" s="1292"/>
    </row>
    <row r="121" ht="14.55" spans="1:29">
      <c r="A121" s="1448"/>
      <c r="B121" s="1453"/>
      <c r="C121" s="1454">
        <v>100</v>
      </c>
      <c r="D121" s="1454">
        <f t="shared" ref="D121:M121" si="27">C121-$K40</f>
        <v>100</v>
      </c>
      <c r="E121" s="1454">
        <f t="shared" si="27"/>
        <v>100</v>
      </c>
      <c r="F121" s="1454">
        <f t="shared" si="27"/>
        <v>100</v>
      </c>
      <c r="G121" s="1454">
        <f t="shared" si="27"/>
        <v>100</v>
      </c>
      <c r="H121" s="1454">
        <f t="shared" si="27"/>
        <v>100</v>
      </c>
      <c r="I121" s="1454">
        <f t="shared" si="27"/>
        <v>100</v>
      </c>
      <c r="J121" s="1454">
        <f t="shared" si="27"/>
        <v>100</v>
      </c>
      <c r="K121" s="1454">
        <f t="shared" si="27"/>
        <v>100</v>
      </c>
      <c r="L121" s="1454">
        <f t="shared" si="27"/>
        <v>100</v>
      </c>
      <c r="M121" s="1504">
        <f t="shared" si="27"/>
        <v>100</v>
      </c>
      <c r="N121" s="1500"/>
      <c r="O121" s="1500"/>
      <c r="P121" s="1498"/>
      <c r="Q121" s="1419"/>
      <c r="R121" s="1292"/>
      <c r="S121" s="1292"/>
      <c r="T121" s="1292"/>
      <c r="U121" s="1292"/>
      <c r="V121" s="1292"/>
      <c r="W121" s="1292"/>
      <c r="X121" s="1292"/>
      <c r="Y121" s="1292"/>
      <c r="Z121" s="1292"/>
      <c r="AA121" s="1292"/>
      <c r="AB121" s="1292"/>
      <c r="AC121" s="1292"/>
    </row>
    <row r="122" s="1166" customFormat="1" ht="15.15" spans="1:29">
      <c r="A122" s="1479"/>
      <c r="B122" s="1451" t="s">
        <v>1641</v>
      </c>
      <c r="C122" s="1459"/>
      <c r="D122" s="1459"/>
      <c r="E122" s="1459"/>
      <c r="F122" s="1459"/>
      <c r="G122" s="1459"/>
      <c r="H122" s="1476"/>
      <c r="I122" s="1476"/>
      <c r="J122" s="1476"/>
      <c r="K122" s="1527"/>
      <c r="L122" s="1528"/>
      <c r="M122" s="1529"/>
      <c r="N122" s="1510"/>
      <c r="O122" s="1510"/>
      <c r="P122" s="1511"/>
      <c r="Q122" s="1542"/>
      <c r="R122" s="1543"/>
      <c r="S122" s="1543"/>
      <c r="T122" s="1543"/>
      <c r="U122" s="1543"/>
      <c r="V122" s="1543"/>
      <c r="W122" s="1543"/>
      <c r="X122" s="1543"/>
      <c r="Y122" s="1543"/>
      <c r="Z122" s="1543"/>
      <c r="AA122" s="1543"/>
      <c r="AB122" s="1543"/>
      <c r="AC122" s="1543"/>
    </row>
    <row r="123" s="1166" customFormat="1" ht="14.55" spans="1:29">
      <c r="A123" s="1458"/>
      <c r="B123" s="1453"/>
      <c r="C123" s="1454">
        <v>100</v>
      </c>
      <c r="D123" s="1454">
        <f t="shared" ref="D123:M123" si="28">C123-$K41</f>
        <v>100</v>
      </c>
      <c r="E123" s="1454">
        <f t="shared" si="28"/>
        <v>100</v>
      </c>
      <c r="F123" s="1454">
        <f t="shared" si="28"/>
        <v>100</v>
      </c>
      <c r="G123" s="1454">
        <f t="shared" si="28"/>
        <v>100</v>
      </c>
      <c r="H123" s="1454">
        <f t="shared" si="28"/>
        <v>100</v>
      </c>
      <c r="I123" s="1454">
        <f t="shared" si="28"/>
        <v>100</v>
      </c>
      <c r="J123" s="1454">
        <f t="shared" si="28"/>
        <v>100</v>
      </c>
      <c r="K123" s="1454">
        <f t="shared" si="28"/>
        <v>100</v>
      </c>
      <c r="L123" s="1454">
        <f t="shared" si="28"/>
        <v>100</v>
      </c>
      <c r="M123" s="1504">
        <f t="shared" si="28"/>
        <v>100</v>
      </c>
      <c r="N123" s="1510"/>
      <c r="O123" s="1510"/>
      <c r="P123" s="1511"/>
      <c r="Q123" s="1542"/>
      <c r="R123" s="1543"/>
      <c r="S123" s="1543"/>
      <c r="T123" s="1543"/>
      <c r="U123" s="1543"/>
      <c r="V123" s="1543"/>
      <c r="W123" s="1543"/>
      <c r="X123" s="1543"/>
      <c r="Y123" s="1543"/>
      <c r="Z123" s="1543"/>
      <c r="AA123" s="1543"/>
      <c r="AB123" s="1543"/>
      <c r="AC123" s="1543"/>
    </row>
    <row r="124" ht="15.15" spans="1:29">
      <c r="A124" s="1482"/>
      <c r="B124" s="1451" t="s">
        <v>1642</v>
      </c>
      <c r="C124" s="1459"/>
      <c r="D124" s="1459"/>
      <c r="E124" s="1476"/>
      <c r="F124" s="1476"/>
      <c r="G124" s="1476"/>
      <c r="H124" s="1476"/>
      <c r="I124" s="1476"/>
      <c r="J124" s="1476"/>
      <c r="K124" s="1527"/>
      <c r="L124" s="1528"/>
      <c r="M124" s="1529"/>
      <c r="N124" s="1497"/>
      <c r="O124" s="1497"/>
      <c r="P124" s="1498"/>
      <c r="Q124" s="1419"/>
      <c r="R124" s="1292"/>
      <c r="S124" s="1292"/>
      <c r="T124" s="1292"/>
      <c r="U124" s="1292"/>
      <c r="V124" s="1292"/>
      <c r="W124" s="1292"/>
      <c r="X124" s="1292"/>
      <c r="Y124" s="1292"/>
      <c r="Z124" s="1292"/>
      <c r="AA124" s="1292"/>
      <c r="AB124" s="1292"/>
      <c r="AC124" s="1292"/>
    </row>
    <row r="125" ht="14.55" spans="1:29">
      <c r="A125" s="1448"/>
      <c r="B125" s="1453"/>
      <c r="C125" s="1454">
        <v>100</v>
      </c>
      <c r="D125" s="1454">
        <f t="shared" ref="D125:M125" si="29">C125-$K42</f>
        <v>100</v>
      </c>
      <c r="E125" s="1454">
        <f t="shared" si="29"/>
        <v>100</v>
      </c>
      <c r="F125" s="1454">
        <f t="shared" si="29"/>
        <v>100</v>
      </c>
      <c r="G125" s="1454">
        <f t="shared" si="29"/>
        <v>100</v>
      </c>
      <c r="H125" s="1454">
        <f t="shared" si="29"/>
        <v>100</v>
      </c>
      <c r="I125" s="1454">
        <f t="shared" si="29"/>
        <v>100</v>
      </c>
      <c r="J125" s="1454">
        <f t="shared" si="29"/>
        <v>100</v>
      </c>
      <c r="K125" s="1454">
        <f t="shared" si="29"/>
        <v>100</v>
      </c>
      <c r="L125" s="1454">
        <f t="shared" si="29"/>
        <v>100</v>
      </c>
      <c r="M125" s="1504">
        <f t="shared" si="29"/>
        <v>100</v>
      </c>
      <c r="N125" s="1500"/>
      <c r="O125" s="1500"/>
      <c r="P125" s="1498"/>
      <c r="Q125" s="1419"/>
      <c r="R125" s="1292"/>
      <c r="S125" s="1292"/>
      <c r="T125" s="1292"/>
      <c r="U125" s="1292"/>
      <c r="V125" s="1292"/>
      <c r="W125" s="1292"/>
      <c r="X125" s="1292"/>
      <c r="Y125" s="1292"/>
      <c r="Z125" s="1292"/>
      <c r="AA125" s="1292"/>
      <c r="AB125" s="1292"/>
      <c r="AC125" s="1292"/>
    </row>
    <row r="126" ht="14.55" spans="1:29">
      <c r="A126" s="1482"/>
      <c r="B126" s="1451">
        <f>B43</f>
        <v>111</v>
      </c>
      <c r="C126" s="1459"/>
      <c r="D126" s="1459"/>
      <c r="E126" s="1459"/>
      <c r="F126" s="1459"/>
      <c r="G126" s="1459"/>
      <c r="H126" s="1476"/>
      <c r="I126" s="1476"/>
      <c r="J126" s="1476"/>
      <c r="K126" s="1527"/>
      <c r="L126" s="1528"/>
      <c r="M126" s="1529"/>
      <c r="N126" s="1497"/>
      <c r="O126" s="1497"/>
      <c r="P126" s="1498"/>
      <c r="Q126" s="1419"/>
      <c r="R126" s="1292"/>
      <c r="S126" s="1292"/>
      <c r="T126" s="1292"/>
      <c r="U126" s="1292"/>
      <c r="V126" s="1292"/>
      <c r="W126" s="1292"/>
      <c r="X126" s="1292"/>
      <c r="Y126" s="1292"/>
      <c r="Z126" s="1292"/>
      <c r="AA126" s="1292"/>
      <c r="AB126" s="1292"/>
      <c r="AC126" s="1292"/>
    </row>
    <row r="127" ht="14.55" spans="1:29">
      <c r="A127" s="1448"/>
      <c r="B127" s="1453"/>
      <c r="C127" s="1461"/>
      <c r="D127" s="1461"/>
      <c r="E127" s="1461"/>
      <c r="F127" s="1461"/>
      <c r="G127" s="1450"/>
      <c r="H127" s="1450"/>
      <c r="I127" s="1450"/>
      <c r="J127" s="1450"/>
      <c r="K127" s="1450"/>
      <c r="L127" s="1450"/>
      <c r="M127" s="1499"/>
      <c r="N127" s="1500"/>
      <c r="O127" s="1500"/>
      <c r="P127" s="1498"/>
      <c r="Q127" s="1419"/>
      <c r="R127" s="1292"/>
      <c r="S127" s="1292"/>
      <c r="T127" s="1292"/>
      <c r="U127" s="1292"/>
      <c r="V127" s="1292"/>
      <c r="W127" s="1292"/>
      <c r="X127" s="1292"/>
      <c r="Y127" s="1292"/>
      <c r="Z127" s="1292"/>
      <c r="AA127" s="1292"/>
      <c r="AB127" s="1292"/>
      <c r="AC127" s="1292"/>
    </row>
    <row r="128" ht="14.55" spans="1:29">
      <c r="A128" s="1482"/>
      <c r="B128" s="1451">
        <f>B44</f>
        <v>111</v>
      </c>
      <c r="C128" s="1443"/>
      <c r="D128" s="1443"/>
      <c r="E128" s="1443"/>
      <c r="F128" s="1443"/>
      <c r="G128" s="1476"/>
      <c r="H128" s="1476"/>
      <c r="I128" s="1476"/>
      <c r="J128" s="1476"/>
      <c r="K128" s="1527"/>
      <c r="L128" s="1528"/>
      <c r="M128" s="1529"/>
      <c r="N128" s="1497"/>
      <c r="O128" s="1497"/>
      <c r="P128" s="1498"/>
      <c r="Q128" s="1419"/>
      <c r="R128" s="1292"/>
      <c r="S128" s="1292"/>
      <c r="T128" s="1292"/>
      <c r="U128" s="1292"/>
      <c r="V128" s="1292"/>
      <c r="W128" s="1292"/>
      <c r="X128" s="1292"/>
      <c r="Y128" s="1292"/>
      <c r="Z128" s="1292"/>
      <c r="AA128" s="1292"/>
      <c r="AB128" s="1292"/>
      <c r="AC128" s="1292"/>
    </row>
    <row r="129" ht="14.55" spans="1:29">
      <c r="A129" s="1448"/>
      <c r="B129" s="1453"/>
      <c r="C129" s="1466"/>
      <c r="D129" s="1466"/>
      <c r="E129" s="1466"/>
      <c r="F129" s="1466"/>
      <c r="G129" s="1450"/>
      <c r="H129" s="1450"/>
      <c r="I129" s="1450"/>
      <c r="J129" s="1450"/>
      <c r="K129" s="1450"/>
      <c r="L129" s="1450"/>
      <c r="M129" s="1499"/>
      <c r="N129" s="1500"/>
      <c r="O129" s="1500"/>
      <c r="P129" s="1498"/>
      <c r="Q129" s="1419"/>
      <c r="R129" s="1292"/>
      <c r="S129" s="1292"/>
      <c r="T129" s="1292"/>
      <c r="U129" s="1292"/>
      <c r="V129" s="1292"/>
      <c r="W129" s="1292"/>
      <c r="X129" s="1292"/>
      <c r="Y129" s="1292"/>
      <c r="Z129" s="1292"/>
      <c r="AA129" s="1292"/>
      <c r="AB129" s="1292"/>
      <c r="AC129" s="1292"/>
    </row>
    <row r="130" s="1166" customFormat="1" ht="14.55" spans="1:29">
      <c r="A130" s="1479"/>
      <c r="B130" s="1451">
        <f>B45</f>
        <v>111</v>
      </c>
      <c r="C130" s="1443"/>
      <c r="D130" s="1443"/>
      <c r="E130" s="1443"/>
      <c r="F130" s="1443"/>
      <c r="G130" s="1460"/>
      <c r="H130" s="1460"/>
      <c r="I130" s="1460"/>
      <c r="J130" s="1460"/>
      <c r="K130" s="1460"/>
      <c r="L130" s="1508"/>
      <c r="M130" s="1509"/>
      <c r="N130" s="1510"/>
      <c r="O130" s="1510"/>
      <c r="P130" s="1511"/>
      <c r="Q130" s="1542"/>
      <c r="R130" s="1543"/>
      <c r="S130" s="1543"/>
      <c r="T130" s="1543"/>
      <c r="U130" s="1543"/>
      <c r="V130" s="1543"/>
      <c r="W130" s="1543"/>
      <c r="X130" s="1543"/>
      <c r="Y130" s="1543"/>
      <c r="Z130" s="1543"/>
      <c r="AA130" s="1543"/>
      <c r="AB130" s="1543"/>
      <c r="AC130" s="1543"/>
    </row>
    <row r="131" s="1166" customFormat="1" ht="14.55" spans="1:29">
      <c r="A131" s="1464"/>
      <c r="B131" s="1483"/>
      <c r="C131" s="1466"/>
      <c r="D131" s="1466"/>
      <c r="E131" s="1466"/>
      <c r="F131" s="1466"/>
      <c r="G131" s="1478"/>
      <c r="H131" s="1478"/>
      <c r="I131" s="1478"/>
      <c r="J131" s="1478"/>
      <c r="K131" s="1478"/>
      <c r="L131" s="1478"/>
      <c r="M131" s="1533"/>
      <c r="N131" s="1510"/>
      <c r="O131" s="1510"/>
      <c r="P131" s="1511"/>
      <c r="Q131" s="1542"/>
      <c r="R131" s="1543"/>
      <c r="S131" s="1543"/>
      <c r="T131" s="1543"/>
      <c r="U131" s="1543"/>
      <c r="V131" s="1543"/>
      <c r="W131" s="1543"/>
      <c r="X131" s="1543"/>
      <c r="Y131" s="1543"/>
      <c r="Z131" s="1543"/>
      <c r="AA131" s="1543"/>
      <c r="AB131" s="1543"/>
      <c r="AC131" s="15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D57:D64">
      <formula1>"25%,1"</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1170" customWidth="1"/>
    <col min="2" max="2" width="15.7777777777778" style="1170" customWidth="1"/>
    <col min="3" max="3" width="14.3333333333333" style="1170" customWidth="1"/>
    <col min="4" max="4" width="12.2222222222222" style="1170" customWidth="1"/>
    <col min="5" max="5" width="14.3333333333333" style="1170" customWidth="1"/>
    <col min="6" max="6" width="12.2222222222222" style="1170" customWidth="1"/>
    <col min="7" max="7" width="14.4444444444444" style="1170" customWidth="1"/>
    <col min="8" max="8" width="12.2222222222222" style="1170" customWidth="1"/>
    <col min="9" max="9" width="14.4444444444444" style="1170" customWidth="1"/>
    <col min="10" max="10" width="12.2222222222222" style="1170" customWidth="1"/>
    <col min="11" max="11" width="12.2222222222222" style="1171" customWidth="1"/>
    <col min="12" max="12" width="12.2222222222222" style="1172" customWidth="1"/>
    <col min="13" max="15" width="12.2222222222222" style="1170" customWidth="1"/>
    <col min="16" max="16" width="4.77777777777778" style="1170" customWidth="1"/>
    <col min="17" max="17" width="19.4444444444444" style="1170" customWidth="1"/>
    <col min="18" max="22" width="6.11111111111111" style="1170" customWidth="1"/>
    <col min="23" max="23" width="5.77777777777778" style="1170" customWidth="1"/>
    <col min="24" max="24" width="4.22222222222222" style="1170" customWidth="1"/>
    <col min="25" max="25" width="3.44444444444444" style="1170" customWidth="1"/>
    <col min="26" max="26" width="19.7777777777778" style="1170" customWidth="1"/>
    <col min="27" max="28" width="9.33333333333333" style="1170" customWidth="1"/>
    <col min="29" max="16384" width="9" style="1170"/>
  </cols>
  <sheetData>
    <row r="1" s="1163" customFormat="1" ht="28.5" customHeight="1" spans="1:29">
      <c r="A1" s="1173" t="s">
        <v>1632</v>
      </c>
      <c r="B1" s="1174"/>
      <c r="C1" s="1175" t="s">
        <v>1610</v>
      </c>
      <c r="D1" s="1176"/>
      <c r="E1" s="1176"/>
      <c r="F1" s="1177" t="s">
        <v>1473</v>
      </c>
      <c r="G1" s="1176"/>
      <c r="H1" s="1176"/>
      <c r="I1" s="1176"/>
      <c r="J1" s="1176"/>
      <c r="K1" s="1336"/>
      <c r="L1" s="1337"/>
      <c r="M1" s="1338"/>
      <c r="N1" s="1338"/>
      <c r="O1" s="1338"/>
      <c r="P1" s="1339"/>
      <c r="Q1" s="1339"/>
      <c r="R1" s="1339"/>
      <c r="S1" s="1339"/>
      <c r="T1" s="1339"/>
      <c r="U1" s="1339"/>
      <c r="V1" s="1339"/>
      <c r="W1" s="1339"/>
      <c r="X1" s="1339"/>
      <c r="Y1" s="1339"/>
      <c r="Z1" s="1339"/>
      <c r="AA1" s="1339"/>
      <c r="AB1" s="1339"/>
      <c r="AC1" s="1420"/>
    </row>
    <row r="2" s="1163" customFormat="1" ht="28.5" customHeight="1" spans="1:29">
      <c r="A2" s="394" t="s">
        <v>989</v>
      </c>
      <c r="B2" s="1178" t="e">
        <f>F61</f>
        <v>#DIV/0!</v>
      </c>
      <c r="C2" s="1179"/>
      <c r="D2" s="1179"/>
      <c r="E2" s="1179"/>
      <c r="F2" s="1180"/>
      <c r="G2" s="1179"/>
      <c r="H2" s="1179"/>
      <c r="I2" s="1179"/>
      <c r="J2" s="1179"/>
      <c r="K2" s="1340"/>
      <c r="L2" s="1341"/>
      <c r="M2" s="1342"/>
      <c r="N2" s="1342"/>
      <c r="O2" s="1342"/>
      <c r="P2" s="1339"/>
      <c r="Q2" s="1339"/>
      <c r="R2" s="1339"/>
      <c r="S2" s="1339"/>
      <c r="T2" s="1339"/>
      <c r="U2" s="1339"/>
      <c r="V2" s="1339"/>
      <c r="W2" s="1339"/>
      <c r="X2" s="1339"/>
      <c r="Y2" s="1339"/>
      <c r="Z2" s="1339"/>
      <c r="AA2" s="1339"/>
      <c r="AB2" s="1339"/>
      <c r="AC2" s="1420"/>
    </row>
    <row r="3" s="1163" customFormat="1" ht="28.5" customHeight="1" spans="1:29">
      <c r="A3" s="397" t="s">
        <v>991</v>
      </c>
      <c r="B3" s="1181" t="e">
        <f>ROUND(IF(D3="",B2*10000/'数据-汇总表'!E3,B2*10000/D3),0)</f>
        <v>#DIV/0!</v>
      </c>
      <c r="C3" s="397" t="s">
        <v>1474</v>
      </c>
      <c r="D3" s="1182"/>
      <c r="E3" s="1179"/>
      <c r="F3" s="1180"/>
      <c r="G3" s="1179"/>
      <c r="H3" s="1179"/>
      <c r="I3" s="1179"/>
      <c r="J3" s="1179"/>
      <c r="K3" s="1340"/>
      <c r="L3" s="1341"/>
      <c r="M3" s="1342"/>
      <c r="N3" s="1342"/>
      <c r="O3" s="1342"/>
      <c r="P3" s="1339"/>
      <c r="Q3" s="1339"/>
      <c r="R3" s="1339"/>
      <c r="S3" s="1339"/>
      <c r="T3" s="1339"/>
      <c r="U3" s="1339"/>
      <c r="V3" s="1339"/>
      <c r="W3" s="1339"/>
      <c r="X3" s="1339"/>
      <c r="Y3" s="1339"/>
      <c r="Z3" s="1339"/>
      <c r="AA3" s="1339"/>
      <c r="AB3" s="1421"/>
      <c r="AC3" s="1422"/>
    </row>
    <row r="4" ht="14.4" spans="1:29">
      <c r="A4" s="1183" t="s">
        <v>1475</v>
      </c>
      <c r="B4" s="1184"/>
      <c r="C4" s="1185" t="s">
        <v>1476</v>
      </c>
      <c r="D4" s="1186"/>
      <c r="E4" s="1187" t="s">
        <v>1477</v>
      </c>
      <c r="F4" s="1188"/>
      <c r="G4" s="1185" t="s">
        <v>1478</v>
      </c>
      <c r="H4" s="1186"/>
      <c r="I4" s="1185" t="s">
        <v>1479</v>
      </c>
      <c r="J4" s="1186"/>
      <c r="K4" s="1343" t="s">
        <v>1480</v>
      </c>
      <c r="L4" s="1344"/>
      <c r="M4" s="1345"/>
      <c r="N4" s="1345"/>
      <c r="O4" s="1345"/>
      <c r="P4" s="1346" t="s">
        <v>1481</v>
      </c>
      <c r="Q4" s="1395"/>
      <c r="R4" s="1396" t="s">
        <v>1477</v>
      </c>
      <c r="S4" s="1397"/>
      <c r="T4" s="1396" t="s">
        <v>1478</v>
      </c>
      <c r="U4" s="1397"/>
      <c r="V4" s="1385" t="s">
        <v>1479</v>
      </c>
      <c r="W4" s="1385"/>
      <c r="X4" s="1398"/>
      <c r="Y4" s="1396" t="s">
        <v>1481</v>
      </c>
      <c r="Z4" s="1397"/>
      <c r="AA4" s="1423" t="s">
        <v>1477</v>
      </c>
      <c r="AB4" s="1398" t="s">
        <v>1478</v>
      </c>
      <c r="AC4" s="1423" t="s">
        <v>1479</v>
      </c>
    </row>
    <row r="5" spans="1:29">
      <c r="A5" s="1189"/>
      <c r="B5" s="1190"/>
      <c r="C5" s="1191" t="s">
        <v>1482</v>
      </c>
      <c r="D5" s="1192"/>
      <c r="E5" s="1193" t="s">
        <v>1483</v>
      </c>
      <c r="F5" s="1194"/>
      <c r="G5" s="1191" t="s">
        <v>1484</v>
      </c>
      <c r="H5" s="1192"/>
      <c r="I5" s="1191" t="s">
        <v>1485</v>
      </c>
      <c r="J5" s="1192"/>
      <c r="K5" s="1343"/>
      <c r="L5" s="1344"/>
      <c r="M5" s="1345"/>
      <c r="N5" s="1345"/>
      <c r="O5" s="1345"/>
      <c r="P5" s="1347"/>
      <c r="Q5" s="1399"/>
      <c r="R5" s="1400"/>
      <c r="S5" s="1401"/>
      <c r="T5" s="1400"/>
      <c r="U5" s="1401"/>
      <c r="V5" s="1385"/>
      <c r="W5" s="1385"/>
      <c r="X5" s="1398"/>
      <c r="Y5" s="1400"/>
      <c r="Z5" s="1401"/>
      <c r="AA5" s="1398"/>
      <c r="AB5" s="1398"/>
      <c r="AC5" s="1398"/>
    </row>
    <row r="6" ht="15.15" spans="1:29">
      <c r="A6" s="1195"/>
      <c r="B6" s="1196"/>
      <c r="C6" s="1197" t="s">
        <v>1675</v>
      </c>
      <c r="D6" s="1198"/>
      <c r="E6" s="1199" t="s">
        <v>1675</v>
      </c>
      <c r="F6" s="1200"/>
      <c r="G6" s="1197" t="s">
        <v>1675</v>
      </c>
      <c r="H6" s="1198"/>
      <c r="I6" s="1197" t="s">
        <v>1675</v>
      </c>
      <c r="J6" s="1198"/>
      <c r="K6" s="1343" t="s">
        <v>1487</v>
      </c>
      <c r="L6" s="1344"/>
      <c r="M6" s="1345"/>
      <c r="N6" s="1345"/>
      <c r="O6" s="1345"/>
      <c r="P6" s="1348"/>
      <c r="Q6" s="1402"/>
      <c r="R6" s="1400"/>
      <c r="S6" s="1401"/>
      <c r="T6" s="1403"/>
      <c r="U6" s="1404"/>
      <c r="V6" s="1385"/>
      <c r="W6" s="1385"/>
      <c r="X6" s="1398"/>
      <c r="Y6" s="1403"/>
      <c r="Z6" s="1404"/>
      <c r="AA6" s="1424"/>
      <c r="AB6" s="1424"/>
      <c r="AC6" s="1424"/>
    </row>
    <row r="7" s="1164" customFormat="1" ht="15.15" spans="1:29">
      <c r="A7" s="1201" t="s">
        <v>1488</v>
      </c>
      <c r="B7" s="1202"/>
      <c r="C7" s="1203">
        <f>'数据-取费表'!B2</f>
        <v>45022</v>
      </c>
      <c r="D7" s="1204">
        <v>100</v>
      </c>
      <c r="E7" s="1205"/>
      <c r="F7" s="1206">
        <f>SUMIF(65:65,YEAR(E7)&amp;"-"&amp;INT((MONTH(E7)+2)/3),66:66)</f>
        <v>0</v>
      </c>
      <c r="G7" s="1207"/>
      <c r="H7" s="1204">
        <f>SUMIF(65:65,YEAR(G7)&amp;"-"&amp;INT((MONTH(G7)+2)/3),66:66)</f>
        <v>0</v>
      </c>
      <c r="I7" s="1207"/>
      <c r="J7" s="1204">
        <f>SUMIF(65:65,YEAR(I7)&amp;"-"&amp;INT((MONTH(I7)+2)/3),66:66)</f>
        <v>0</v>
      </c>
      <c r="K7" s="1349"/>
      <c r="L7" s="1350"/>
      <c r="M7" s="1351"/>
      <c r="N7" s="1351"/>
      <c r="O7" s="1351"/>
      <c r="P7" s="1352" t="s">
        <v>1489</v>
      </c>
      <c r="Q7" s="1405"/>
      <c r="R7" s="1406" t="s">
        <v>1490</v>
      </c>
      <c r="S7" s="1407">
        <f t="shared" ref="S7:S15" si="0">F7</f>
        <v>0</v>
      </c>
      <c r="T7" s="1406" t="s">
        <v>1490</v>
      </c>
      <c r="U7" s="1407">
        <f t="shared" ref="U7:U15" si="1">H7</f>
        <v>0</v>
      </c>
      <c r="V7" s="1406" t="s">
        <v>1490</v>
      </c>
      <c r="W7" s="1407">
        <f t="shared" ref="W7:W15" si="2">J7</f>
        <v>0</v>
      </c>
      <c r="X7" s="1408"/>
      <c r="Y7" s="1352" t="s">
        <v>1489</v>
      </c>
      <c r="Z7" s="1409"/>
      <c r="AA7" s="1425" t="e">
        <f>D7/F7</f>
        <v>#DIV/0!</v>
      </c>
      <c r="AB7" s="1425" t="e">
        <f>D7/H7</f>
        <v>#DIV/0!</v>
      </c>
      <c r="AC7" s="1425" t="e">
        <f>D7/J7</f>
        <v>#DIV/0!</v>
      </c>
    </row>
    <row r="8" s="1164" customFormat="1" ht="15.15" spans="1:29">
      <c r="A8" s="1201" t="s">
        <v>1491</v>
      </c>
      <c r="B8" s="1202"/>
      <c r="C8" s="1208" t="s">
        <v>1530</v>
      </c>
      <c r="D8" s="1204">
        <v>100</v>
      </c>
      <c r="E8" s="1208"/>
      <c r="F8" s="1206">
        <f>SUMIF(68:68,E8,69:69)-SUMIF(68:68,C8,69:69)+100</f>
        <v>0</v>
      </c>
      <c r="G8" s="1208"/>
      <c r="H8" s="1204">
        <f>SUMIF(68:68,G8,69:69)-SUMIF(68:68,C8,69:69)+100</f>
        <v>0</v>
      </c>
      <c r="I8" s="1208"/>
      <c r="J8" s="1204">
        <f>SUMIF(68:68,I8,69:69)-SUMIF(68:68,C8,69:69)+100</f>
        <v>0</v>
      </c>
      <c r="K8" s="1349"/>
      <c r="L8" s="1350"/>
      <c r="M8" s="1351"/>
      <c r="N8" s="1351"/>
      <c r="O8" s="1351"/>
      <c r="P8" s="1352" t="s">
        <v>1492</v>
      </c>
      <c r="Q8" s="1409"/>
      <c r="R8" s="1406" t="s">
        <v>1490</v>
      </c>
      <c r="S8" s="1407">
        <f t="shared" si="0"/>
        <v>0</v>
      </c>
      <c r="T8" s="1406" t="s">
        <v>1490</v>
      </c>
      <c r="U8" s="1407">
        <f t="shared" si="1"/>
        <v>0</v>
      </c>
      <c r="V8" s="1406" t="s">
        <v>1490</v>
      </c>
      <c r="W8" s="1407">
        <f t="shared" si="2"/>
        <v>0</v>
      </c>
      <c r="X8" s="1408"/>
      <c r="Y8" s="1352" t="s">
        <v>1492</v>
      </c>
      <c r="Z8" s="1409"/>
      <c r="AA8" s="1425" t="e">
        <f t="shared" ref="AA8:AA40" si="3">D8/F8</f>
        <v>#DIV/0!</v>
      </c>
      <c r="AB8" s="1425" t="e">
        <f t="shared" ref="AB8:AB40" si="4">D8/H8</f>
        <v>#DIV/0!</v>
      </c>
      <c r="AC8" s="1425" t="e">
        <f t="shared" ref="AC8:AC40" si="5">D8/J8</f>
        <v>#DIV/0!</v>
      </c>
    </row>
    <row r="9" s="1164" customFormat="1" ht="14.4" spans="1:29">
      <c r="A9" s="1209" t="s">
        <v>1493</v>
      </c>
      <c r="B9" s="1210" t="s">
        <v>1494</v>
      </c>
      <c r="C9" s="1211"/>
      <c r="D9" s="1212">
        <v>100</v>
      </c>
      <c r="E9" s="1211"/>
      <c r="F9" s="1212">
        <f>SUMIF(70:70,E9,71:71)-SUMIF(70:70,C9,71:71)+100</f>
        <v>100</v>
      </c>
      <c r="G9" s="1211"/>
      <c r="H9" s="1212">
        <f>SUMIF(70:70,G9,71:71)-SUMIF(70:70,C9,71:71)+100</f>
        <v>100</v>
      </c>
      <c r="I9" s="1211"/>
      <c r="J9" s="1212">
        <f>SUMIF(70:70,I9,71:71)-SUMIF(70:70,C9,71:71)+100</f>
        <v>100</v>
      </c>
      <c r="K9" s="1349"/>
      <c r="L9" s="1350"/>
      <c r="M9" s="1351"/>
      <c r="N9" s="1351"/>
      <c r="O9" s="1353"/>
      <c r="P9" s="749" t="s">
        <v>1495</v>
      </c>
      <c r="Q9" s="1410" t="str">
        <f t="shared" ref="Q9:Q15" si="6">B9</f>
        <v>用途</v>
      </c>
      <c r="R9" s="1406" t="s">
        <v>1490</v>
      </c>
      <c r="S9" s="1407">
        <f t="shared" si="0"/>
        <v>100</v>
      </c>
      <c r="T9" s="1406" t="s">
        <v>1490</v>
      </c>
      <c r="U9" s="1407">
        <f t="shared" si="1"/>
        <v>100</v>
      </c>
      <c r="V9" s="1406" t="s">
        <v>1490</v>
      </c>
      <c r="W9" s="1407">
        <f t="shared" si="2"/>
        <v>100</v>
      </c>
      <c r="X9" s="1408"/>
      <c r="Y9" s="1410" t="s">
        <v>1496</v>
      </c>
      <c r="Z9" s="1426" t="str">
        <f t="shared" ref="Z9:Z15" si="7">Q9</f>
        <v>用途</v>
      </c>
      <c r="AA9" s="1425">
        <f t="shared" si="3"/>
        <v>1</v>
      </c>
      <c r="AB9" s="1425">
        <f t="shared" si="4"/>
        <v>1</v>
      </c>
      <c r="AC9" s="1425">
        <f t="shared" si="5"/>
        <v>1</v>
      </c>
    </row>
    <row r="10" s="1165" customFormat="1" ht="28.8" spans="1:29">
      <c r="A10" s="1213"/>
      <c r="B10" s="1214" t="s">
        <v>1497</v>
      </c>
      <c r="C10" s="1215"/>
      <c r="D10" s="1216">
        <v>100</v>
      </c>
      <c r="E10" s="1215"/>
      <c r="F10" s="1216">
        <f>ROUND(100/'数据-取费表'!G16,0)</f>
        <v>139</v>
      </c>
      <c r="G10" s="1215"/>
      <c r="H10" s="1216">
        <f>ROUND(100/'数据-取费表'!G16,0)</f>
        <v>139</v>
      </c>
      <c r="I10" s="1215"/>
      <c r="J10" s="1216">
        <f>ROUND(100/'数据-取费表'!G16,0)</f>
        <v>139</v>
      </c>
      <c r="K10" s="1354"/>
      <c r="L10" s="1355"/>
      <c r="M10" s="1356"/>
      <c r="N10" s="1356"/>
      <c r="O10" s="1357"/>
      <c r="P10" s="749"/>
      <c r="Q10" s="1410" t="str">
        <f t="shared" si="6"/>
        <v>土地使用年限（年）</v>
      </c>
      <c r="R10" s="1406" t="s">
        <v>1490</v>
      </c>
      <c r="S10" s="1407">
        <f t="shared" si="0"/>
        <v>139</v>
      </c>
      <c r="T10" s="1406" t="s">
        <v>1490</v>
      </c>
      <c r="U10" s="1407">
        <f t="shared" si="1"/>
        <v>139</v>
      </c>
      <c r="V10" s="1406" t="s">
        <v>1490</v>
      </c>
      <c r="W10" s="1407">
        <f t="shared" si="2"/>
        <v>139</v>
      </c>
      <c r="X10" s="1408"/>
      <c r="Y10" s="1410"/>
      <c r="Z10" s="1426" t="str">
        <f t="shared" si="7"/>
        <v>土地使用年限（年）</v>
      </c>
      <c r="AA10" s="1425">
        <f t="shared" si="3"/>
        <v>0.719424460431655</v>
      </c>
      <c r="AB10" s="1425">
        <f t="shared" si="4"/>
        <v>0.719424460431655</v>
      </c>
      <c r="AC10" s="1425">
        <f t="shared" si="5"/>
        <v>0.719424460431655</v>
      </c>
    </row>
    <row r="11" ht="15" spans="1:29">
      <c r="A11" s="1217"/>
      <c r="B11" s="1214" t="s">
        <v>1498</v>
      </c>
      <c r="C11" s="1218"/>
      <c r="D11" s="1216">
        <v>100</v>
      </c>
      <c r="E11" s="1218"/>
      <c r="F11" s="1216" t="e">
        <f>LOOKUP(E11,75:75,76:76)-LOOKUP(C11,75:75,76:76)+100</f>
        <v>#N/A</v>
      </c>
      <c r="G11" s="1219"/>
      <c r="H11" s="1216" t="e">
        <f>LOOKUP(G11,75:75,76:76)-LOOKUP(C11,75:75,76:76)+100</f>
        <v>#N/A</v>
      </c>
      <c r="I11" s="1218"/>
      <c r="J11" s="1216" t="e">
        <f>LOOKUP(I11,75:75,76:76)-LOOKUP(C11,75:75,76:76)+100</f>
        <v>#N/A</v>
      </c>
      <c r="K11" s="1358"/>
      <c r="L11" s="1359"/>
      <c r="M11" s="1345"/>
      <c r="N11" s="1345"/>
      <c r="O11" s="1360"/>
      <c r="P11" s="749"/>
      <c r="Q11" s="1410" t="str">
        <f t="shared" si="6"/>
        <v>容积率</v>
      </c>
      <c r="R11" s="1406" t="s">
        <v>1490</v>
      </c>
      <c r="S11" s="1407" t="e">
        <f t="shared" si="0"/>
        <v>#N/A</v>
      </c>
      <c r="T11" s="1406" t="s">
        <v>1490</v>
      </c>
      <c r="U11" s="1407" t="e">
        <f t="shared" si="1"/>
        <v>#N/A</v>
      </c>
      <c r="V11" s="1406" t="s">
        <v>1490</v>
      </c>
      <c r="W11" s="1407" t="e">
        <f t="shared" si="2"/>
        <v>#N/A</v>
      </c>
      <c r="X11" s="1408"/>
      <c r="Y11" s="1410"/>
      <c r="Z11" s="1426" t="str">
        <f t="shared" si="7"/>
        <v>容积率</v>
      </c>
      <c r="AA11" s="1425" t="e">
        <f t="shared" si="3"/>
        <v>#N/A</v>
      </c>
      <c r="AB11" s="1425" t="e">
        <f t="shared" si="4"/>
        <v>#N/A</v>
      </c>
      <c r="AC11" s="1425" t="e">
        <f t="shared" si="5"/>
        <v>#N/A</v>
      </c>
    </row>
    <row r="12" s="1164" customFormat="1" ht="15" spans="1:29">
      <c r="A12" s="1220"/>
      <c r="B12" s="1221">
        <v>111</v>
      </c>
      <c r="C12" s="1215"/>
      <c r="D12" s="1222">
        <v>100</v>
      </c>
      <c r="E12" s="1223"/>
      <c r="F12" s="1216">
        <f>SUMIF(77:77,E12,78:78)-SUMIF(77:77,C12,78:78)+100</f>
        <v>100</v>
      </c>
      <c r="G12" s="1224"/>
      <c r="H12" s="1216">
        <f>SUMIF(77:77,G12,78:78)-SUMIF(77:77,C12,78:78)+100</f>
        <v>100</v>
      </c>
      <c r="I12" s="1223"/>
      <c r="J12" s="1216">
        <f>SUMIF(77:77,I12,78:78)-SUMIF(77:77,C12,78:78)+100</f>
        <v>100</v>
      </c>
      <c r="K12" s="1354"/>
      <c r="L12" s="1350"/>
      <c r="M12" s="1351"/>
      <c r="N12" s="1351"/>
      <c r="O12" s="1353"/>
      <c r="P12" s="749"/>
      <c r="Q12" s="1410">
        <f t="shared" si="6"/>
        <v>111</v>
      </c>
      <c r="R12" s="1406" t="s">
        <v>1490</v>
      </c>
      <c r="S12" s="1407">
        <f t="shared" si="0"/>
        <v>100</v>
      </c>
      <c r="T12" s="1406" t="s">
        <v>1490</v>
      </c>
      <c r="U12" s="1407">
        <f t="shared" si="1"/>
        <v>100</v>
      </c>
      <c r="V12" s="1406" t="s">
        <v>1490</v>
      </c>
      <c r="W12" s="1407">
        <f t="shared" si="2"/>
        <v>100</v>
      </c>
      <c r="X12" s="1408"/>
      <c r="Y12" s="1410"/>
      <c r="Z12" s="1426">
        <f t="shared" si="7"/>
        <v>111</v>
      </c>
      <c r="AA12" s="1425">
        <f t="shared" si="3"/>
        <v>1</v>
      </c>
      <c r="AB12" s="1425">
        <f t="shared" si="4"/>
        <v>1</v>
      </c>
      <c r="AC12" s="1425">
        <f t="shared" si="5"/>
        <v>1</v>
      </c>
    </row>
    <row r="13" ht="15" spans="1:29">
      <c r="A13" s="1217"/>
      <c r="B13" s="1221">
        <v>111</v>
      </c>
      <c r="C13" s="1225"/>
      <c r="D13" s="1226">
        <v>100</v>
      </c>
      <c r="E13" s="1223"/>
      <c r="F13" s="1216">
        <f>SUMIF(79:79,E13,80:80)-SUMIF(79:79,C13,80:80)+100</f>
        <v>100</v>
      </c>
      <c r="G13" s="1224"/>
      <c r="H13" s="1226">
        <f>SUMIF(79:79,G13,80:80)-SUMIF(79:79,C13,80:80)+100</f>
        <v>100</v>
      </c>
      <c r="I13" s="1223"/>
      <c r="J13" s="1226">
        <f>SUMIF(79:79,I13,80:80)-SUMIF(79:79,C13,80:80)+100</f>
        <v>100</v>
      </c>
      <c r="K13" s="1354"/>
      <c r="L13" s="1361"/>
      <c r="M13" s="1345"/>
      <c r="N13" s="1345"/>
      <c r="O13" s="1360"/>
      <c r="P13" s="749"/>
      <c r="Q13" s="1410">
        <f t="shared" si="6"/>
        <v>111</v>
      </c>
      <c r="R13" s="1406" t="s">
        <v>1490</v>
      </c>
      <c r="S13" s="1407">
        <f t="shared" si="0"/>
        <v>100</v>
      </c>
      <c r="T13" s="1406" t="s">
        <v>1490</v>
      </c>
      <c r="U13" s="1407">
        <f t="shared" si="1"/>
        <v>100</v>
      </c>
      <c r="V13" s="1406" t="s">
        <v>1490</v>
      </c>
      <c r="W13" s="1407">
        <f t="shared" si="2"/>
        <v>100</v>
      </c>
      <c r="X13" s="1408"/>
      <c r="Y13" s="1410"/>
      <c r="Z13" s="1426">
        <f t="shared" si="7"/>
        <v>111</v>
      </c>
      <c r="AA13" s="1425">
        <f t="shared" si="3"/>
        <v>1</v>
      </c>
      <c r="AB13" s="1425">
        <f t="shared" si="4"/>
        <v>1</v>
      </c>
      <c r="AC13" s="1425">
        <f t="shared" si="5"/>
        <v>1</v>
      </c>
    </row>
    <row r="14" ht="15.75" spans="1:29">
      <c r="A14" s="1227"/>
      <c r="B14" s="1228">
        <v>111</v>
      </c>
      <c r="C14" s="1229"/>
      <c r="D14" s="1230">
        <v>100</v>
      </c>
      <c r="E14" s="1223"/>
      <c r="F14" s="1230">
        <f>SUMIF(81:81,E14,82:82)-SUMIF(81:81,C14,82:82)+100</f>
        <v>100</v>
      </c>
      <c r="G14" s="1224"/>
      <c r="H14" s="1230">
        <f>SUMIF(81:81,G14,82:82)-SUMIF(81:81,C14,82:82)+100</f>
        <v>100</v>
      </c>
      <c r="I14" s="1223"/>
      <c r="J14" s="1230">
        <f>SUMIF(81:81,I14,82:82)-SUMIF(81:81,C14,82:82)+100</f>
        <v>100</v>
      </c>
      <c r="K14" s="1354"/>
      <c r="L14" s="1361"/>
      <c r="M14" s="1345"/>
      <c r="N14" s="1345"/>
      <c r="O14" s="1360"/>
      <c r="P14" s="749"/>
      <c r="Q14" s="1410">
        <f t="shared" si="6"/>
        <v>111</v>
      </c>
      <c r="R14" s="1406" t="s">
        <v>1490</v>
      </c>
      <c r="S14" s="1407">
        <f t="shared" si="0"/>
        <v>100</v>
      </c>
      <c r="T14" s="1406" t="s">
        <v>1490</v>
      </c>
      <c r="U14" s="1407">
        <f t="shared" si="1"/>
        <v>100</v>
      </c>
      <c r="V14" s="1406" t="s">
        <v>1490</v>
      </c>
      <c r="W14" s="1407">
        <f t="shared" si="2"/>
        <v>100</v>
      </c>
      <c r="X14" s="1408"/>
      <c r="Y14" s="1410"/>
      <c r="Z14" s="1426">
        <f t="shared" si="7"/>
        <v>111</v>
      </c>
      <c r="AA14" s="1425">
        <f t="shared" si="3"/>
        <v>1</v>
      </c>
      <c r="AB14" s="1425">
        <f t="shared" si="4"/>
        <v>1</v>
      </c>
      <c r="AC14" s="1425">
        <f t="shared" si="5"/>
        <v>1</v>
      </c>
    </row>
    <row r="15" ht="72" spans="1:29">
      <c r="A15" s="1231" t="s">
        <v>1499</v>
      </c>
      <c r="B15" s="1232" t="s">
        <v>1611</v>
      </c>
      <c r="C15" s="1233" t="str">
        <f>估价对象房地状况!G15</f>
        <v>估价对象位于XX开发区，园区建设成熟度XX，产业集聚程度XX</v>
      </c>
      <c r="D15" s="1234">
        <v>100</v>
      </c>
      <c r="E15" s="1235"/>
      <c r="F15" s="1234">
        <f>SUMIF(83:83,E16,84:84)-SUMIF(83:83,C16,84:84)+100</f>
        <v>100</v>
      </c>
      <c r="G15" s="1235"/>
      <c r="H15" s="1234">
        <f>SUMIF(83:83,G16,84:84)-SUMIF(83:83,C16,84:84)+100</f>
        <v>100</v>
      </c>
      <c r="I15" s="1362"/>
      <c r="J15" s="1234">
        <f>SUMIF(83:83,I16,84:84)-SUMIF(83:83,C16,84:84)+100</f>
        <v>100</v>
      </c>
      <c r="K15" s="1358"/>
      <c r="L15" s="1361"/>
      <c r="M15" s="1345"/>
      <c r="N15" s="1345"/>
      <c r="O15" s="1360"/>
      <c r="P15" s="1363" t="s">
        <v>1501</v>
      </c>
      <c r="Q15" s="749" t="str">
        <f t="shared" si="6"/>
        <v>产业集聚程度</v>
      </c>
      <c r="R15" s="1411" t="s">
        <v>1490</v>
      </c>
      <c r="S15" s="1412">
        <f t="shared" si="0"/>
        <v>100</v>
      </c>
      <c r="T15" s="1411" t="s">
        <v>1490</v>
      </c>
      <c r="U15" s="1412">
        <f t="shared" si="1"/>
        <v>100</v>
      </c>
      <c r="V15" s="1411" t="s">
        <v>1490</v>
      </c>
      <c r="W15" s="1412">
        <f t="shared" si="2"/>
        <v>100</v>
      </c>
      <c r="X15" s="1398"/>
      <c r="Y15" s="1363" t="s">
        <v>1501</v>
      </c>
      <c r="Z15" s="1385" t="str">
        <f t="shared" si="7"/>
        <v>产业集聚程度</v>
      </c>
      <c r="AA15" s="1427">
        <f t="shared" si="3"/>
        <v>1</v>
      </c>
      <c r="AB15" s="1427">
        <f t="shared" si="4"/>
        <v>1</v>
      </c>
      <c r="AC15" s="1427">
        <f t="shared" si="5"/>
        <v>1</v>
      </c>
    </row>
    <row r="16" ht="15" spans="1:29">
      <c r="A16" s="1217"/>
      <c r="B16" s="1236"/>
      <c r="C16" s="1237"/>
      <c r="D16" s="1238"/>
      <c r="E16" s="1239"/>
      <c r="F16" s="1238"/>
      <c r="G16" s="1239"/>
      <c r="H16" s="1240"/>
      <c r="I16" s="1239"/>
      <c r="J16" s="1238"/>
      <c r="K16" s="1354"/>
      <c r="L16" s="1361"/>
      <c r="M16" s="1345"/>
      <c r="N16" s="1345"/>
      <c r="O16" s="1360"/>
      <c r="P16" s="1364"/>
      <c r="Q16" s="749"/>
      <c r="R16" s="1411"/>
      <c r="S16" s="1412"/>
      <c r="T16" s="1411"/>
      <c r="U16" s="1412"/>
      <c r="V16" s="1411"/>
      <c r="W16" s="1412"/>
      <c r="X16" s="1398"/>
      <c r="Y16" s="1364"/>
      <c r="Z16" s="1385"/>
      <c r="AA16" s="1427">
        <v>1</v>
      </c>
      <c r="AB16" s="1427">
        <v>1</v>
      </c>
      <c r="AC16" s="1427">
        <v>1</v>
      </c>
    </row>
    <row r="17" ht="100.8" spans="1:29">
      <c r="A17" s="1217"/>
      <c r="B17" s="1241" t="s">
        <v>1502</v>
      </c>
      <c r="C17" s="1242" t="str">
        <f>估价对象房地状况!G16</f>
        <v>估价对象周边道路状况、公共交通通达情况、停车便捷程度，综合评价交通便捷度较好</v>
      </c>
      <c r="D17" s="1240">
        <v>100</v>
      </c>
      <c r="E17" s="1243"/>
      <c r="F17" s="1244">
        <f>SUMIF(85:85,E18,86:86)-SUMIF(85:85,C18,86:86)+100</f>
        <v>100</v>
      </c>
      <c r="G17" s="1243"/>
      <c r="H17" s="1244">
        <f>SUMIF(85:85,G18,86:86)-SUMIF(85:85,C18,86:86)+100</f>
        <v>100</v>
      </c>
      <c r="I17" s="1365"/>
      <c r="J17" s="1240">
        <f>SUMIF(85:85,I18,86:86)-SUMIF(85:85,C18,86:86)+100</f>
        <v>100</v>
      </c>
      <c r="K17" s="1358"/>
      <c r="L17" s="1361"/>
      <c r="M17" s="1345"/>
      <c r="N17" s="1345"/>
      <c r="O17" s="1360"/>
      <c r="P17" s="1364"/>
      <c r="Q17" s="749" t="str">
        <f>B17</f>
        <v>交通便捷度</v>
      </c>
      <c r="R17" s="1411" t="s">
        <v>1490</v>
      </c>
      <c r="S17" s="1412">
        <f>F17</f>
        <v>100</v>
      </c>
      <c r="T17" s="1411" t="s">
        <v>1490</v>
      </c>
      <c r="U17" s="1412">
        <f>H17</f>
        <v>100</v>
      </c>
      <c r="V17" s="1411" t="s">
        <v>1490</v>
      </c>
      <c r="W17" s="1412">
        <f>J17</f>
        <v>100</v>
      </c>
      <c r="X17" s="1398"/>
      <c r="Y17" s="1364"/>
      <c r="Z17" s="1385" t="str">
        <f>Q17</f>
        <v>交通便捷度</v>
      </c>
      <c r="AA17" s="1427">
        <f t="shared" si="3"/>
        <v>1</v>
      </c>
      <c r="AB17" s="1427">
        <f t="shared" si="4"/>
        <v>1</v>
      </c>
      <c r="AC17" s="1427">
        <f t="shared" si="5"/>
        <v>1</v>
      </c>
    </row>
    <row r="18" ht="15" spans="1:29">
      <c r="A18" s="1217"/>
      <c r="B18" s="1245"/>
      <c r="C18" s="1237"/>
      <c r="D18" s="1238"/>
      <c r="E18" s="1246"/>
      <c r="F18" s="1238"/>
      <c r="G18" s="1246"/>
      <c r="H18" s="1238"/>
      <c r="I18" s="1366"/>
      <c r="J18" s="1238"/>
      <c r="K18" s="1354"/>
      <c r="L18" s="1361"/>
      <c r="M18" s="1345"/>
      <c r="N18" s="1345"/>
      <c r="O18" s="1360"/>
      <c r="P18" s="1364"/>
      <c r="Q18" s="749"/>
      <c r="R18" s="1411"/>
      <c r="S18" s="1412"/>
      <c r="T18" s="1411"/>
      <c r="U18" s="1412"/>
      <c r="V18" s="1411"/>
      <c r="W18" s="1412"/>
      <c r="X18" s="1398"/>
      <c r="Y18" s="1364"/>
      <c r="Z18" s="1385"/>
      <c r="AA18" s="1427">
        <v>1</v>
      </c>
      <c r="AB18" s="1427">
        <v>1</v>
      </c>
      <c r="AC18" s="1427">
        <v>1</v>
      </c>
    </row>
    <row r="19" ht="28.8" spans="1:29">
      <c r="A19" s="1217"/>
      <c r="B19" s="1241" t="s">
        <v>1635</v>
      </c>
      <c r="C19" s="1242">
        <f>估价对象房地状况!G17</f>
        <v>0</v>
      </c>
      <c r="D19" s="1240">
        <v>100</v>
      </c>
      <c r="E19" s="1243"/>
      <c r="F19" s="1244">
        <f>SUMIF(87:87,E20,88:88)-SUMIF(87:87,C20,88:88)+100</f>
        <v>100</v>
      </c>
      <c r="G19" s="1243"/>
      <c r="H19" s="1244">
        <f>SUMIF(87:87,G20,88:88)-SUMIF(87:87,C20,88:88)+100</f>
        <v>100</v>
      </c>
      <c r="I19" s="1243"/>
      <c r="J19" s="1244">
        <f>SUMIF(87:87,I20,88:88)-SUMIF(87:87,C20,88:88)+100</f>
        <v>100</v>
      </c>
      <c r="K19" s="1358"/>
      <c r="L19" s="1361"/>
      <c r="M19" s="1345"/>
      <c r="N19" s="1345"/>
      <c r="O19" s="1360"/>
      <c r="P19" s="1364"/>
      <c r="Q19" s="749" t="str">
        <f t="shared" ref="Q19:Q34" si="8">B19</f>
        <v>区域土地利用方向</v>
      </c>
      <c r="R19" s="1411" t="s">
        <v>1490</v>
      </c>
      <c r="S19" s="1412">
        <f>F19</f>
        <v>100</v>
      </c>
      <c r="T19" s="1411" t="s">
        <v>1490</v>
      </c>
      <c r="U19" s="1412">
        <f>H19</f>
        <v>100</v>
      </c>
      <c r="V19" s="1411" t="s">
        <v>1490</v>
      </c>
      <c r="W19" s="1412">
        <f>J19</f>
        <v>100</v>
      </c>
      <c r="X19" s="1398"/>
      <c r="Y19" s="1364"/>
      <c r="Z19" s="1385" t="str">
        <f>Q19</f>
        <v>区域土地利用方向</v>
      </c>
      <c r="AA19" s="1427">
        <f t="shared" si="3"/>
        <v>1</v>
      </c>
      <c r="AB19" s="1427">
        <f t="shared" si="4"/>
        <v>1</v>
      </c>
      <c r="AC19" s="1427">
        <f t="shared" si="5"/>
        <v>1</v>
      </c>
    </row>
    <row r="20" ht="15" spans="1:29">
      <c r="A20" s="1189"/>
      <c r="B20" s="1245"/>
      <c r="C20" s="1237"/>
      <c r="D20" s="1238"/>
      <c r="E20" s="1246"/>
      <c r="F20" s="1238"/>
      <c r="G20" s="1246"/>
      <c r="H20" s="1238"/>
      <c r="I20" s="1246"/>
      <c r="J20" s="1238"/>
      <c r="K20" s="1367"/>
      <c r="L20" s="1361"/>
      <c r="M20" s="1345"/>
      <c r="N20" s="1345"/>
      <c r="O20" s="1360"/>
      <c r="P20" s="1364"/>
      <c r="Q20" s="749"/>
      <c r="R20" s="1411"/>
      <c r="S20" s="1412"/>
      <c r="T20" s="1411"/>
      <c r="U20" s="1412"/>
      <c r="V20" s="1411"/>
      <c r="W20" s="1412"/>
      <c r="X20" s="1398"/>
      <c r="Y20" s="1364"/>
      <c r="Z20" s="1385"/>
      <c r="AA20" s="1427"/>
      <c r="AB20" s="1427"/>
      <c r="AC20" s="1427"/>
    </row>
    <row r="21" ht="86.4" spans="1:29">
      <c r="A21" s="1189"/>
      <c r="B21" s="1241" t="s">
        <v>1676</v>
      </c>
      <c r="C21" s="1242" t="str">
        <f>估价对象房地状况!G18</f>
        <v>该园区内是否有污染型企业，绿化情况，卫生条件，整体环境状况判断</v>
      </c>
      <c r="D21" s="1240">
        <v>100</v>
      </c>
      <c r="E21" s="1243"/>
      <c r="F21" s="1240">
        <f>SUMIF(89:89,E22,90:90)-SUMIF(89:89,C22,90:90)+100</f>
        <v>100</v>
      </c>
      <c r="G21" s="1243"/>
      <c r="H21" s="1240">
        <f>SUMIF(89:89,G22,90:90)-SUMIF(89:89,C22,90:90)+100</f>
        <v>100</v>
      </c>
      <c r="I21" s="1365"/>
      <c r="J21" s="1240">
        <f>SUMIF(89:89,I22,90:90)-SUMIF(89:89,C22,90:90)+100</f>
        <v>100</v>
      </c>
      <c r="K21" s="1358"/>
      <c r="L21" s="1361"/>
      <c r="M21" s="1345"/>
      <c r="N21" s="1345"/>
      <c r="O21" s="1360"/>
      <c r="P21" s="1364"/>
      <c r="Q21" s="749" t="str">
        <f t="shared" si="8"/>
        <v>环境状况</v>
      </c>
      <c r="R21" s="1411" t="s">
        <v>1490</v>
      </c>
      <c r="S21" s="1412">
        <f>F21</f>
        <v>100</v>
      </c>
      <c r="T21" s="1411" t="s">
        <v>1490</v>
      </c>
      <c r="U21" s="1412">
        <f>H21</f>
        <v>100</v>
      </c>
      <c r="V21" s="1411" t="s">
        <v>1490</v>
      </c>
      <c r="W21" s="1412">
        <f>J21</f>
        <v>100</v>
      </c>
      <c r="X21" s="1398"/>
      <c r="Y21" s="1364"/>
      <c r="Z21" s="1385" t="str">
        <f>Q21</f>
        <v>环境状况</v>
      </c>
      <c r="AA21" s="1427">
        <f t="shared" si="3"/>
        <v>1</v>
      </c>
      <c r="AB21" s="1427">
        <f t="shared" si="4"/>
        <v>1</v>
      </c>
      <c r="AC21" s="1427">
        <f t="shared" si="5"/>
        <v>1</v>
      </c>
    </row>
    <row r="22" ht="15" spans="1:29">
      <c r="A22" s="1189"/>
      <c r="B22" s="1245"/>
      <c r="C22" s="1237"/>
      <c r="D22" s="1238"/>
      <c r="E22" s="1239"/>
      <c r="F22" s="1238"/>
      <c r="G22" s="1239"/>
      <c r="H22" s="1238"/>
      <c r="I22" s="1237"/>
      <c r="J22" s="1238"/>
      <c r="K22" s="1354"/>
      <c r="L22" s="1361"/>
      <c r="M22" s="1345"/>
      <c r="N22" s="1345"/>
      <c r="O22" s="1360"/>
      <c r="P22" s="1364"/>
      <c r="Q22" s="749"/>
      <c r="R22" s="1411"/>
      <c r="S22" s="1412"/>
      <c r="T22" s="1411"/>
      <c r="U22" s="1412"/>
      <c r="V22" s="1411"/>
      <c r="W22" s="1412"/>
      <c r="X22" s="1398"/>
      <c r="Y22" s="1364"/>
      <c r="Z22" s="1385"/>
      <c r="AA22" s="1427">
        <v>1</v>
      </c>
      <c r="AB22" s="1427">
        <v>1</v>
      </c>
      <c r="AC22" s="1427">
        <v>1</v>
      </c>
    </row>
    <row r="23" s="1164" customFormat="1" ht="43.2" spans="1:29">
      <c r="A23" s="1247"/>
      <c r="B23" s="1248" t="s">
        <v>1503</v>
      </c>
      <c r="C23" s="1242" t="str">
        <f>估价对象房地状况!G19</f>
        <v>估价对象所在区域公共配套设施齐备情况</v>
      </c>
      <c r="D23" s="1240">
        <v>100</v>
      </c>
      <c r="E23" s="1243"/>
      <c r="F23" s="1240">
        <f>SUMIF(91:91,E24,92:92)-SUMIF(91:91,C24,92:92)+100</f>
        <v>100</v>
      </c>
      <c r="G23" s="1243"/>
      <c r="H23" s="1240">
        <f>SUMIF(91:91,G24,92:92)-SUMIF(91:91,C24,92:92)+100</f>
        <v>100</v>
      </c>
      <c r="I23" s="1365"/>
      <c r="J23" s="1240">
        <f>SUMIF(91:91,I24,92:92)-SUMIF(91:91,C24,92:92)+100</f>
        <v>100</v>
      </c>
      <c r="K23" s="1358"/>
      <c r="L23" s="1350"/>
      <c r="M23" s="1351"/>
      <c r="N23" s="1351"/>
      <c r="O23" s="1353"/>
      <c r="P23" s="1364"/>
      <c r="Q23" s="1410" t="str">
        <f t="shared" si="8"/>
        <v>公共配套设施</v>
      </c>
      <c r="R23" s="1406" t="s">
        <v>1490</v>
      </c>
      <c r="S23" s="1407">
        <f>F23</f>
        <v>100</v>
      </c>
      <c r="T23" s="1406" t="s">
        <v>1490</v>
      </c>
      <c r="U23" s="1407">
        <f>H23</f>
        <v>100</v>
      </c>
      <c r="V23" s="1406" t="s">
        <v>1490</v>
      </c>
      <c r="W23" s="1407">
        <f>J23</f>
        <v>100</v>
      </c>
      <c r="X23" s="1408"/>
      <c r="Y23" s="1364"/>
      <c r="Z23" s="1426" t="str">
        <f>Q23</f>
        <v>公共配套设施</v>
      </c>
      <c r="AA23" s="1427">
        <f>D23/F23</f>
        <v>1</v>
      </c>
      <c r="AB23" s="1427">
        <f>D23/H23</f>
        <v>1</v>
      </c>
      <c r="AC23" s="1427">
        <f>D23/J23</f>
        <v>1</v>
      </c>
    </row>
    <row r="24" s="1164" customFormat="1" ht="15" spans="1:29">
      <c r="A24" s="1247"/>
      <c r="B24" s="1245"/>
      <c r="C24" s="1249"/>
      <c r="D24" s="1238"/>
      <c r="E24" s="1239"/>
      <c r="F24" s="1238"/>
      <c r="G24" s="1239"/>
      <c r="H24" s="1238"/>
      <c r="I24" s="1237"/>
      <c r="J24" s="1238"/>
      <c r="K24" s="1354"/>
      <c r="L24" s="1350"/>
      <c r="M24" s="1351"/>
      <c r="N24" s="1351"/>
      <c r="O24" s="1353"/>
      <c r="P24" s="1364"/>
      <c r="Q24" s="1410"/>
      <c r="R24" s="1406"/>
      <c r="S24" s="1407"/>
      <c r="T24" s="1406"/>
      <c r="U24" s="1407"/>
      <c r="V24" s="1406"/>
      <c r="W24" s="1407"/>
      <c r="X24" s="1408"/>
      <c r="Y24" s="1364"/>
      <c r="Z24" s="1426"/>
      <c r="AA24" s="1425">
        <v>1</v>
      </c>
      <c r="AB24" s="1425">
        <v>1</v>
      </c>
      <c r="AC24" s="1425">
        <v>1</v>
      </c>
    </row>
    <row r="25" s="1164" customFormat="1" ht="43.2" spans="1:29">
      <c r="A25" s="1247"/>
      <c r="B25" s="1248" t="s">
        <v>1504</v>
      </c>
      <c r="C25" s="1242" t="str">
        <f>估价对象房地状况!G20</f>
        <v>估价对象所在区域基础设施水平</v>
      </c>
      <c r="D25" s="1240">
        <v>100</v>
      </c>
      <c r="E25" s="1243"/>
      <c r="F25" s="1240">
        <f>SUMIF(93:93,E26,94:94)-SUMIF(93:93,C26,94:94)+100</f>
        <v>100</v>
      </c>
      <c r="G25" s="1243"/>
      <c r="H25" s="1240">
        <f>SUMIF(93:93,G26,94:94)-SUMIF(93:93,C26,94:94)+100</f>
        <v>100</v>
      </c>
      <c r="I25" s="1365"/>
      <c r="J25" s="1240">
        <f>SUMIF(93:93,I26,94:94)-SUMIF(93:93,C26,94:94)+100</f>
        <v>100</v>
      </c>
      <c r="K25" s="1358"/>
      <c r="L25" s="1350"/>
      <c r="M25" s="1351"/>
      <c r="N25" s="1351"/>
      <c r="O25" s="1353"/>
      <c r="P25" s="1364"/>
      <c r="Q25" s="1410" t="str">
        <f t="shared" ref="Q25" si="9">B25</f>
        <v>基础设施水平</v>
      </c>
      <c r="R25" s="1406" t="s">
        <v>1490</v>
      </c>
      <c r="S25" s="1407">
        <f>F25</f>
        <v>100</v>
      </c>
      <c r="T25" s="1406" t="s">
        <v>1490</v>
      </c>
      <c r="U25" s="1407">
        <f>H25</f>
        <v>100</v>
      </c>
      <c r="V25" s="1406" t="s">
        <v>1490</v>
      </c>
      <c r="W25" s="1407">
        <f>J25</f>
        <v>100</v>
      </c>
      <c r="X25" s="1408"/>
      <c r="Y25" s="1364"/>
      <c r="Z25" s="1426" t="str">
        <f>Q25</f>
        <v>基础设施水平</v>
      </c>
      <c r="AA25" s="1427">
        <f>D25/F25</f>
        <v>1</v>
      </c>
      <c r="AB25" s="1427">
        <f>D25/H25</f>
        <v>1</v>
      </c>
      <c r="AC25" s="1427">
        <f>D25/J25</f>
        <v>1</v>
      </c>
    </row>
    <row r="26" s="1164" customFormat="1" ht="15" spans="1:29">
      <c r="A26" s="1247"/>
      <c r="B26" s="1245"/>
      <c r="C26" s="1249"/>
      <c r="D26" s="1238"/>
      <c r="E26" s="1250"/>
      <c r="F26" s="1238"/>
      <c r="G26" s="1250"/>
      <c r="H26" s="1238"/>
      <c r="I26" s="1250"/>
      <c r="J26" s="1238"/>
      <c r="K26" s="1354"/>
      <c r="L26" s="1350"/>
      <c r="M26" s="1351"/>
      <c r="N26" s="1351"/>
      <c r="O26" s="1353"/>
      <c r="P26" s="1364"/>
      <c r="Q26" s="1410"/>
      <c r="R26" s="1406"/>
      <c r="S26" s="1407"/>
      <c r="T26" s="1406"/>
      <c r="U26" s="1407"/>
      <c r="V26" s="1406"/>
      <c r="W26" s="1407"/>
      <c r="X26" s="1408"/>
      <c r="Y26" s="1364"/>
      <c r="Z26" s="1426"/>
      <c r="AA26" s="1425">
        <v>1</v>
      </c>
      <c r="AB26" s="1425">
        <v>1</v>
      </c>
      <c r="AC26" s="1425">
        <v>1</v>
      </c>
    </row>
    <row r="27" ht="15" spans="1:29">
      <c r="A27" s="1217"/>
      <c r="B27" s="1245" t="s">
        <v>1564</v>
      </c>
      <c r="C27" s="1251"/>
      <c r="D27" s="1226">
        <v>100</v>
      </c>
      <c r="E27" s="1252"/>
      <c r="F27" s="1226">
        <f>SUMIF(95:95,E27,96:96)-SUMIF(95:95,C27,96:96)+100</f>
        <v>100</v>
      </c>
      <c r="G27" s="1252"/>
      <c r="H27" s="1226">
        <f>SUMIF(95:95,G27,96:96)-SUMIF(95:95,C27,96:96)+100</f>
        <v>100</v>
      </c>
      <c r="I27" s="1252"/>
      <c r="J27" s="1226">
        <f>SUMIF(95:95,I27,96:96)-SUMIF(95:95,C27,96:96)+100</f>
        <v>100</v>
      </c>
      <c r="K27" s="1358"/>
      <c r="L27" s="1361"/>
      <c r="M27" s="1345"/>
      <c r="N27" s="1345"/>
      <c r="O27" s="1360"/>
      <c r="P27" s="1364"/>
      <c r="Q27" s="749" t="str">
        <f t="shared" si="8"/>
        <v>临街状况</v>
      </c>
      <c r="R27" s="1411" t="s">
        <v>1490</v>
      </c>
      <c r="S27" s="1412">
        <f t="shared" ref="S27:S40" si="10">F27</f>
        <v>100</v>
      </c>
      <c r="T27" s="1411" t="s">
        <v>1490</v>
      </c>
      <c r="U27" s="1412">
        <f t="shared" ref="U27:U40" si="11">H27</f>
        <v>100</v>
      </c>
      <c r="V27" s="1411" t="s">
        <v>1490</v>
      </c>
      <c r="W27" s="1412">
        <f t="shared" ref="W27:W40" si="12">J27</f>
        <v>100</v>
      </c>
      <c r="X27" s="1398"/>
      <c r="Y27" s="1364"/>
      <c r="Z27" s="1385" t="str">
        <f t="shared" ref="Z27:Z40" si="13">Q27</f>
        <v>临街状况</v>
      </c>
      <c r="AA27" s="1427">
        <f t="shared" si="3"/>
        <v>1</v>
      </c>
      <c r="AB27" s="1427">
        <f t="shared" si="4"/>
        <v>1</v>
      </c>
      <c r="AC27" s="1427">
        <f t="shared" si="5"/>
        <v>1</v>
      </c>
    </row>
    <row r="28" ht="28.8" spans="1:29">
      <c r="A28" s="1217"/>
      <c r="B28" s="1248" t="s">
        <v>1586</v>
      </c>
      <c r="C28" s="1253">
        <f>估价对象房地状况!G22</f>
        <v>0</v>
      </c>
      <c r="D28" s="1240">
        <v>100</v>
      </c>
      <c r="E28" s="1243"/>
      <c r="F28" s="1240">
        <f>SUMIF(97:97,E29,98:98)-SUMIF(97:97,C29,98:98)+100</f>
        <v>100</v>
      </c>
      <c r="G28" s="1243"/>
      <c r="H28" s="1240">
        <f>SUMIF(97:97,G29,98:98)-SUMIF(97:97,C29,98:98)+100</f>
        <v>100</v>
      </c>
      <c r="I28" s="1365"/>
      <c r="J28" s="1240">
        <f>SUMIF(97:97,I29,98:98)-SUMIF(97:97,C29,98:98)+100</f>
        <v>100</v>
      </c>
      <c r="K28" s="1358"/>
      <c r="L28" s="1361"/>
      <c r="M28" s="1345"/>
      <c r="N28" s="1345"/>
      <c r="O28" s="1360"/>
      <c r="P28" s="1364"/>
      <c r="Q28" s="749" t="str">
        <f t="shared" si="8"/>
        <v>毗邻道路的类型与等级</v>
      </c>
      <c r="R28" s="1411" t="s">
        <v>1490</v>
      </c>
      <c r="S28" s="1412">
        <f t="shared" si="10"/>
        <v>100</v>
      </c>
      <c r="T28" s="1411" t="s">
        <v>1490</v>
      </c>
      <c r="U28" s="1412">
        <f t="shared" si="11"/>
        <v>100</v>
      </c>
      <c r="V28" s="1411" t="s">
        <v>1490</v>
      </c>
      <c r="W28" s="1412">
        <f t="shared" si="12"/>
        <v>100</v>
      </c>
      <c r="X28" s="1398"/>
      <c r="Y28" s="1364"/>
      <c r="Z28" s="1385" t="str">
        <f t="shared" si="13"/>
        <v>毗邻道路的类型与等级</v>
      </c>
      <c r="AA28" s="1427">
        <f t="shared" si="3"/>
        <v>1</v>
      </c>
      <c r="AB28" s="1427">
        <f t="shared" si="4"/>
        <v>1</v>
      </c>
      <c r="AC28" s="1427">
        <f t="shared" si="5"/>
        <v>1</v>
      </c>
    </row>
    <row r="29" ht="15" spans="1:29">
      <c r="A29" s="1217"/>
      <c r="B29" s="1245"/>
      <c r="C29" s="1237"/>
      <c r="D29" s="1238"/>
      <c r="E29" s="1239"/>
      <c r="F29" s="1238"/>
      <c r="G29" s="1239"/>
      <c r="H29" s="1238"/>
      <c r="I29" s="1239"/>
      <c r="J29" s="1238"/>
      <c r="K29" s="1368"/>
      <c r="L29" s="1361"/>
      <c r="M29" s="1345"/>
      <c r="N29" s="1345"/>
      <c r="O29" s="1360"/>
      <c r="P29" s="1364"/>
      <c r="Q29" s="749"/>
      <c r="R29" s="1411"/>
      <c r="S29" s="1412"/>
      <c r="T29" s="1411"/>
      <c r="U29" s="1412"/>
      <c r="V29" s="1411"/>
      <c r="W29" s="1412"/>
      <c r="X29" s="1398"/>
      <c r="Y29" s="1364"/>
      <c r="Z29" s="1385"/>
      <c r="AA29" s="1427">
        <v>1</v>
      </c>
      <c r="AB29" s="1427">
        <v>1</v>
      </c>
      <c r="AC29" s="1427">
        <v>1</v>
      </c>
    </row>
    <row r="30" ht="15" spans="1:29">
      <c r="A30" s="1217"/>
      <c r="B30" s="1254" t="s">
        <v>1637</v>
      </c>
      <c r="C30" s="1255">
        <f>估价对象房地状况!G23</f>
        <v>0</v>
      </c>
      <c r="D30" s="1226">
        <v>100</v>
      </c>
      <c r="E30" s="1252"/>
      <c r="F30" s="1226">
        <f>SUMIF(99:99,E30,100:100)-SUMIF(99:99,C30,100:100)+100</f>
        <v>100</v>
      </c>
      <c r="G30" s="1252"/>
      <c r="H30" s="1226">
        <f>SUMIF(99:99,G30,100:100)-SUMIF(99:99,C30,100:100)+100</f>
        <v>100</v>
      </c>
      <c r="I30" s="1252"/>
      <c r="J30" s="1226">
        <f>SUMIF(99:99,I30,100:100)-SUMIF(99:99,C30,100:100)+100</f>
        <v>100</v>
      </c>
      <c r="K30" s="1369"/>
      <c r="L30" s="1361"/>
      <c r="M30" s="1345"/>
      <c r="N30" s="1345"/>
      <c r="O30" s="1360"/>
      <c r="P30" s="1364"/>
      <c r="Q30" s="749" t="str">
        <f t="shared" si="8"/>
        <v>土地级别</v>
      </c>
      <c r="R30" s="1411" t="s">
        <v>1490</v>
      </c>
      <c r="S30" s="1412">
        <f t="shared" si="10"/>
        <v>100</v>
      </c>
      <c r="T30" s="1411" t="s">
        <v>1490</v>
      </c>
      <c r="U30" s="1412">
        <f t="shared" si="11"/>
        <v>100</v>
      </c>
      <c r="V30" s="1411" t="s">
        <v>1490</v>
      </c>
      <c r="W30" s="1412">
        <f t="shared" si="12"/>
        <v>100</v>
      </c>
      <c r="X30" s="1398"/>
      <c r="Y30" s="1364"/>
      <c r="Z30" s="1385" t="str">
        <f t="shared" si="13"/>
        <v>土地级别</v>
      </c>
      <c r="AA30" s="1427">
        <f t="shared" si="3"/>
        <v>1</v>
      </c>
      <c r="AB30" s="1427">
        <f t="shared" si="4"/>
        <v>1</v>
      </c>
      <c r="AC30" s="1427">
        <f t="shared" si="5"/>
        <v>1</v>
      </c>
    </row>
    <row r="31" ht="15" spans="1:29">
      <c r="A31" s="1189"/>
      <c r="B31" s="1256">
        <v>111</v>
      </c>
      <c r="C31" s="1224"/>
      <c r="D31" s="1226">
        <v>100</v>
      </c>
      <c r="E31" s="1257"/>
      <c r="F31" s="1226">
        <f>SUMIF(101:101,E31,102:102)-SUMIF(101:101,C31,102:102)+100</f>
        <v>100</v>
      </c>
      <c r="G31" s="1257"/>
      <c r="H31" s="1226">
        <f>SUMIF(101:101,G31,102:102)-SUMIF(101:101,C31,102:102)+100</f>
        <v>100</v>
      </c>
      <c r="I31" s="1223"/>
      <c r="J31" s="1226">
        <f>SUMIF(101:101,I31,102:102)-SUMIF(101:101,C31,102:102)+100</f>
        <v>100</v>
      </c>
      <c r="K31" s="1368"/>
      <c r="L31" s="1361"/>
      <c r="M31" s="1345"/>
      <c r="N31" s="1345"/>
      <c r="O31" s="1360"/>
      <c r="P31" s="1364"/>
      <c r="Q31" s="749">
        <f t="shared" si="8"/>
        <v>111</v>
      </c>
      <c r="R31" s="1411" t="s">
        <v>1490</v>
      </c>
      <c r="S31" s="1412">
        <f t="shared" si="10"/>
        <v>100</v>
      </c>
      <c r="T31" s="1411" t="s">
        <v>1490</v>
      </c>
      <c r="U31" s="1412">
        <f t="shared" si="11"/>
        <v>100</v>
      </c>
      <c r="V31" s="1411" t="s">
        <v>1490</v>
      </c>
      <c r="W31" s="1412">
        <f t="shared" si="12"/>
        <v>100</v>
      </c>
      <c r="X31" s="1398"/>
      <c r="Y31" s="1364"/>
      <c r="Z31" s="1385">
        <f t="shared" si="13"/>
        <v>111</v>
      </c>
      <c r="AA31" s="1427">
        <f t="shared" si="3"/>
        <v>1</v>
      </c>
      <c r="AB31" s="1427">
        <f t="shared" si="4"/>
        <v>1</v>
      </c>
      <c r="AC31" s="1427">
        <f t="shared" si="5"/>
        <v>1</v>
      </c>
    </row>
    <row r="32" ht="15" spans="1:29">
      <c r="A32" s="1258"/>
      <c r="B32" s="1259">
        <v>111</v>
      </c>
      <c r="C32" s="1224"/>
      <c r="D32" s="1226">
        <v>100</v>
      </c>
      <c r="E32" s="1257"/>
      <c r="F32" s="1226">
        <f>SUMIF(103:103,E33,104:104)-SUMIF(103:103,C33,104:104)+100</f>
        <v>100</v>
      </c>
      <c r="G32" s="1257"/>
      <c r="H32" s="1226">
        <f>SUMIF(103:103,G32,104:104)-SUMIF(103:103,C32,104:104)+100</f>
        <v>100</v>
      </c>
      <c r="I32" s="1224"/>
      <c r="J32" s="1226">
        <f>SUMIF(103:103,I32,104:104)-SUMIF(103:103,C32,104:104)+100</f>
        <v>100</v>
      </c>
      <c r="K32" s="1368"/>
      <c r="L32" s="1361"/>
      <c r="M32" s="1345"/>
      <c r="N32" s="1345"/>
      <c r="O32" s="1360"/>
      <c r="P32" s="1370" t="s">
        <v>1510</v>
      </c>
      <c r="Q32" s="749">
        <f t="shared" si="8"/>
        <v>111</v>
      </c>
      <c r="R32" s="1411" t="s">
        <v>1490</v>
      </c>
      <c r="S32" s="1412">
        <f t="shared" si="10"/>
        <v>100</v>
      </c>
      <c r="T32" s="1411" t="s">
        <v>1490</v>
      </c>
      <c r="U32" s="1412">
        <f t="shared" si="11"/>
        <v>100</v>
      </c>
      <c r="V32" s="1411" t="s">
        <v>1490</v>
      </c>
      <c r="W32" s="1412">
        <f t="shared" si="12"/>
        <v>100</v>
      </c>
      <c r="X32" s="1398"/>
      <c r="Y32" s="1373" t="s">
        <v>1510</v>
      </c>
      <c r="Z32" s="1385">
        <f t="shared" si="13"/>
        <v>111</v>
      </c>
      <c r="AA32" s="1427">
        <f t="shared" si="3"/>
        <v>1</v>
      </c>
      <c r="AB32" s="1427">
        <f t="shared" si="4"/>
        <v>1</v>
      </c>
      <c r="AC32" s="1427">
        <f t="shared" si="5"/>
        <v>1</v>
      </c>
    </row>
    <row r="33" s="1166" customFormat="1" ht="15.75" spans="1:29">
      <c r="A33" s="1260"/>
      <c r="B33" s="1261">
        <v>111</v>
      </c>
      <c r="C33" s="1262"/>
      <c r="D33" s="1263">
        <v>100</v>
      </c>
      <c r="E33" s="1264"/>
      <c r="F33" s="1230">
        <f>SUMIF(105:105,E33,106:106)-SUMIF(105:105,C33,106:106)+100</f>
        <v>100</v>
      </c>
      <c r="G33" s="1264"/>
      <c r="H33" s="1230">
        <f>SUMIF(105:105,G33,106:106)-SUMIF(105:105,C33,106:106)+100</f>
        <v>100</v>
      </c>
      <c r="I33" s="1262"/>
      <c r="J33" s="1230">
        <f>SUMIF(105:105,I33,106:106)-SUMIF(105:105,C33,106:106)+100</f>
        <v>100</v>
      </c>
      <c r="K33" s="1368"/>
      <c r="L33" s="1359"/>
      <c r="M33" s="1371"/>
      <c r="N33" s="1371"/>
      <c r="O33" s="1372"/>
      <c r="P33" s="1373"/>
      <c r="Q33" s="749">
        <f t="shared" si="8"/>
        <v>111</v>
      </c>
      <c r="R33" s="1413" t="s">
        <v>1490</v>
      </c>
      <c r="S33" s="1414">
        <f t="shared" si="10"/>
        <v>100</v>
      </c>
      <c r="T33" s="1413" t="s">
        <v>1490</v>
      </c>
      <c r="U33" s="1414">
        <f t="shared" si="11"/>
        <v>100</v>
      </c>
      <c r="V33" s="1413" t="s">
        <v>1490</v>
      </c>
      <c r="W33" s="1414">
        <f t="shared" si="12"/>
        <v>100</v>
      </c>
      <c r="X33" s="1415"/>
      <c r="Y33" s="1373"/>
      <c r="Z33" s="1428">
        <f t="shared" si="13"/>
        <v>111</v>
      </c>
      <c r="AA33" s="1427">
        <f t="shared" si="3"/>
        <v>1</v>
      </c>
      <c r="AB33" s="1427">
        <f t="shared" si="4"/>
        <v>1</v>
      </c>
      <c r="AC33" s="1427">
        <f t="shared" si="5"/>
        <v>1</v>
      </c>
    </row>
    <row r="34" ht="15" spans="1:29">
      <c r="A34" s="1231" t="s">
        <v>1508</v>
      </c>
      <c r="B34" s="1265" t="s">
        <v>1638</v>
      </c>
      <c r="C34" s="1266"/>
      <c r="D34" s="1267">
        <v>100</v>
      </c>
      <c r="E34" s="1266"/>
      <c r="F34" s="1267" t="e">
        <f>LOOKUP(E34,108:108,109:109)-LOOKUP(C34,108:108,109:109)+100</f>
        <v>#N/A</v>
      </c>
      <c r="G34" s="1266"/>
      <c r="H34" s="1267" t="e">
        <f>LOOKUP(G34,108:108,109:109)-LOOKUP(C34,108:108,109:109)+100</f>
        <v>#N/A</v>
      </c>
      <c r="I34" s="1374"/>
      <c r="J34" s="1267" t="e">
        <f>LOOKUP(I34,108:108,109:109)-LOOKUP(C34,108:108,109:109)+100</f>
        <v>#N/A</v>
      </c>
      <c r="K34" s="1368"/>
      <c r="L34" s="1361"/>
      <c r="M34" s="1345"/>
      <c r="N34" s="1345"/>
      <c r="O34" s="1360"/>
      <c r="P34" s="1373"/>
      <c r="Q34" s="749" t="str">
        <f t="shared" si="8"/>
        <v>宗地面积</v>
      </c>
      <c r="R34" s="1411" t="s">
        <v>1490</v>
      </c>
      <c r="S34" s="1412" t="e">
        <f t="shared" si="10"/>
        <v>#N/A</v>
      </c>
      <c r="T34" s="1411" t="s">
        <v>1490</v>
      </c>
      <c r="U34" s="1412" t="e">
        <f t="shared" si="11"/>
        <v>#N/A</v>
      </c>
      <c r="V34" s="1411" t="s">
        <v>1490</v>
      </c>
      <c r="W34" s="1412" t="e">
        <f t="shared" si="12"/>
        <v>#N/A</v>
      </c>
      <c r="X34" s="1398"/>
      <c r="Y34" s="1373"/>
      <c r="Z34" s="1385" t="str">
        <f t="shared" si="13"/>
        <v>宗地面积</v>
      </c>
      <c r="AA34" s="1427" t="e">
        <f t="shared" si="3"/>
        <v>#N/A</v>
      </c>
      <c r="AB34" s="1427" t="e">
        <f t="shared" si="4"/>
        <v>#N/A</v>
      </c>
      <c r="AC34" s="1427" t="e">
        <f t="shared" si="5"/>
        <v>#N/A</v>
      </c>
    </row>
    <row r="35" ht="15" spans="1:29">
      <c r="A35" s="1268"/>
      <c r="B35" s="1214" t="s">
        <v>1639</v>
      </c>
      <c r="C35" s="1269"/>
      <c r="D35" s="1226">
        <v>100</v>
      </c>
      <c r="E35" s="1269"/>
      <c r="F35" s="1226">
        <f>SUMIF(110:110,E35,111:111)-SUMIF(110:110,C35,111:111)+100</f>
        <v>100</v>
      </c>
      <c r="G35" s="1269"/>
      <c r="H35" s="1226">
        <f>SUMIF(110:110,G35,111:111)-SUMIF(110:110,C35,111:111)+100</f>
        <v>100</v>
      </c>
      <c r="I35" s="1269"/>
      <c r="J35" s="1226">
        <f>SUMIF(110:110,I35,111:111)-SUMIF(110:110,C35,111:111)+100</f>
        <v>100</v>
      </c>
      <c r="K35" s="1369"/>
      <c r="L35" s="1361"/>
      <c r="M35" s="1345"/>
      <c r="N35" s="1345"/>
      <c r="O35" s="1360"/>
      <c r="P35" s="1373"/>
      <c r="Q35" s="749" t="str">
        <f t="shared" ref="Q35:Q40" si="14">B35</f>
        <v>宗地形状</v>
      </c>
      <c r="R35" s="1411" t="s">
        <v>1490</v>
      </c>
      <c r="S35" s="1412">
        <f t="shared" si="10"/>
        <v>100</v>
      </c>
      <c r="T35" s="1411" t="s">
        <v>1490</v>
      </c>
      <c r="U35" s="1412">
        <f t="shared" si="11"/>
        <v>100</v>
      </c>
      <c r="V35" s="1411" t="s">
        <v>1490</v>
      </c>
      <c r="W35" s="1412">
        <f t="shared" si="12"/>
        <v>100</v>
      </c>
      <c r="X35" s="1398"/>
      <c r="Y35" s="1373"/>
      <c r="Z35" s="1385" t="str">
        <f t="shared" si="13"/>
        <v>宗地形状</v>
      </c>
      <c r="AA35" s="1427">
        <f t="shared" si="3"/>
        <v>1</v>
      </c>
      <c r="AB35" s="1427">
        <f t="shared" si="4"/>
        <v>1</v>
      </c>
      <c r="AC35" s="1427">
        <f t="shared" si="5"/>
        <v>1</v>
      </c>
    </row>
    <row r="36" s="1164" customFormat="1" ht="15" spans="1:29">
      <c r="A36" s="1270"/>
      <c r="B36" s="1214" t="s">
        <v>1641</v>
      </c>
      <c r="C36" s="1271"/>
      <c r="D36" s="1216">
        <v>100</v>
      </c>
      <c r="E36" s="1271"/>
      <c r="F36" s="1226">
        <f>SUMIF(112:112,E36,113:113)-SUMIF(112:112,C36,113:113)+100</f>
        <v>100</v>
      </c>
      <c r="G36" s="1271"/>
      <c r="H36" s="1226">
        <f>SUMIF(112:112,G36,113:113)-SUMIF(112:112,C36,113:113)+100</f>
        <v>100</v>
      </c>
      <c r="I36" s="1271"/>
      <c r="J36" s="1226">
        <f>SUMIF(112:112,I36,113:113)-SUMIF(112:112,C36,113:113)+100</f>
        <v>100</v>
      </c>
      <c r="K36" s="1369"/>
      <c r="L36" s="1350"/>
      <c r="M36" s="1351"/>
      <c r="N36" s="1351"/>
      <c r="O36" s="1353"/>
      <c r="P36" s="1373"/>
      <c r="Q36" s="749" t="str">
        <f t="shared" si="14"/>
        <v>宗地开发程度</v>
      </c>
      <c r="R36" s="1406" t="s">
        <v>1490</v>
      </c>
      <c r="S36" s="1407">
        <f t="shared" si="10"/>
        <v>100</v>
      </c>
      <c r="T36" s="1406" t="s">
        <v>1490</v>
      </c>
      <c r="U36" s="1407">
        <f t="shared" si="11"/>
        <v>100</v>
      </c>
      <c r="V36" s="1406" t="s">
        <v>1490</v>
      </c>
      <c r="W36" s="1407">
        <f t="shared" si="12"/>
        <v>100</v>
      </c>
      <c r="X36" s="1408"/>
      <c r="Y36" s="1373"/>
      <c r="Z36" s="1426" t="str">
        <f t="shared" si="13"/>
        <v>宗地开发程度</v>
      </c>
      <c r="AA36" s="1425">
        <f t="shared" si="3"/>
        <v>1</v>
      </c>
      <c r="AB36" s="1425">
        <f t="shared" si="4"/>
        <v>1</v>
      </c>
      <c r="AC36" s="1425">
        <f t="shared" si="5"/>
        <v>1</v>
      </c>
    </row>
    <row r="37" ht="15" spans="1:29">
      <c r="A37" s="1268"/>
      <c r="B37" s="1214" t="s">
        <v>1642</v>
      </c>
      <c r="C37" s="1269"/>
      <c r="D37" s="1226">
        <v>100</v>
      </c>
      <c r="E37" s="1269"/>
      <c r="F37" s="1226">
        <f>SUMIF(114:114,E37,115:115)-SUMIF(114:114,C37,115:115)+100</f>
        <v>100</v>
      </c>
      <c r="G37" s="1269"/>
      <c r="H37" s="1226">
        <f>SUMIF(114:114,G37,115:115)-SUMIF(114:114,C37,115:115)+100</f>
        <v>100</v>
      </c>
      <c r="I37" s="1269"/>
      <c r="J37" s="1226">
        <f>SUMIF(114:114,I37,115:115)-SUMIF(114:114,C37,115:115)+100</f>
        <v>100</v>
      </c>
      <c r="K37" s="1369"/>
      <c r="L37" s="1361"/>
      <c r="M37" s="1345"/>
      <c r="N37" s="1345"/>
      <c r="O37" s="1360"/>
      <c r="P37" s="1373" t="s">
        <v>1510</v>
      </c>
      <c r="Q37" s="749" t="str">
        <f t="shared" si="14"/>
        <v>工程地质条件</v>
      </c>
      <c r="R37" s="1411" t="s">
        <v>1490</v>
      </c>
      <c r="S37" s="1412">
        <f t="shared" si="10"/>
        <v>100</v>
      </c>
      <c r="T37" s="1411" t="s">
        <v>1490</v>
      </c>
      <c r="U37" s="1412">
        <f t="shared" si="11"/>
        <v>100</v>
      </c>
      <c r="V37" s="1411" t="s">
        <v>1490</v>
      </c>
      <c r="W37" s="1412">
        <f t="shared" si="12"/>
        <v>100</v>
      </c>
      <c r="X37" s="1398"/>
      <c r="Y37" s="1373" t="s">
        <v>1510</v>
      </c>
      <c r="Z37" s="1385" t="str">
        <f t="shared" si="13"/>
        <v>工程地质条件</v>
      </c>
      <c r="AA37" s="1427">
        <f t="shared" si="3"/>
        <v>1</v>
      </c>
      <c r="AB37" s="1427">
        <f t="shared" si="4"/>
        <v>1</v>
      </c>
      <c r="AC37" s="1427">
        <f t="shared" si="5"/>
        <v>1</v>
      </c>
    </row>
    <row r="38" ht="15" spans="1:29">
      <c r="A38" s="1268"/>
      <c r="B38" s="1272">
        <v>111</v>
      </c>
      <c r="C38" s="1224"/>
      <c r="D38" s="1226">
        <v>100</v>
      </c>
      <c r="E38" s="1224"/>
      <c r="F38" s="1226">
        <f>SUMIF(116:116,E38,117:117)-SUMIF(116:116,C38,117:117)+100</f>
        <v>100</v>
      </c>
      <c r="G38" s="1224"/>
      <c r="H38" s="1226">
        <f>SUMIF(116:116,G38,117:117)-SUMIF(116:116,C38,117:117)+100</f>
        <v>100</v>
      </c>
      <c r="I38" s="1223"/>
      <c r="J38" s="1226">
        <f>SUMIF(116:116,I38,117:117)-SUMIF(116:116,C38,117:117)+100</f>
        <v>100</v>
      </c>
      <c r="K38" s="1368"/>
      <c r="L38" s="1361"/>
      <c r="M38" s="1345"/>
      <c r="N38" s="1345"/>
      <c r="O38" s="1360"/>
      <c r="P38" s="1373"/>
      <c r="Q38" s="749">
        <f t="shared" si="14"/>
        <v>111</v>
      </c>
      <c r="R38" s="1411" t="s">
        <v>1490</v>
      </c>
      <c r="S38" s="1412">
        <f t="shared" si="10"/>
        <v>100</v>
      </c>
      <c r="T38" s="1411" t="s">
        <v>1490</v>
      </c>
      <c r="U38" s="1412">
        <f t="shared" si="11"/>
        <v>100</v>
      </c>
      <c r="V38" s="1411" t="s">
        <v>1490</v>
      </c>
      <c r="W38" s="1412">
        <f t="shared" si="12"/>
        <v>100</v>
      </c>
      <c r="X38" s="1398"/>
      <c r="Y38" s="1373"/>
      <c r="Z38" s="1385">
        <f t="shared" si="13"/>
        <v>111</v>
      </c>
      <c r="AA38" s="1427">
        <f t="shared" si="3"/>
        <v>1</v>
      </c>
      <c r="AB38" s="1427">
        <f t="shared" si="4"/>
        <v>1</v>
      </c>
      <c r="AC38" s="1427">
        <f t="shared" si="5"/>
        <v>1</v>
      </c>
    </row>
    <row r="39" ht="15" spans="1:29">
      <c r="A39" s="1268"/>
      <c r="B39" s="1272">
        <v>111</v>
      </c>
      <c r="C39" s="1224"/>
      <c r="D39" s="1226">
        <v>100</v>
      </c>
      <c r="E39" s="1224"/>
      <c r="F39" s="1226">
        <f>SUMIF(118:118,E39,119:119)-SUMIF(118:118,C39,119:119)+100</f>
        <v>100</v>
      </c>
      <c r="G39" s="1224"/>
      <c r="H39" s="1226">
        <f>SUMIF(118:118,G39,119:119)-SUMIF(118:118,C39,119:119)+100</f>
        <v>100</v>
      </c>
      <c r="I39" s="1223"/>
      <c r="J39" s="1226">
        <f>SUMIF(118:118,I39,119:119)-SUMIF(118:118,C39,119:119)+100</f>
        <v>100</v>
      </c>
      <c r="K39" s="1368"/>
      <c r="L39" s="1361"/>
      <c r="M39" s="1345"/>
      <c r="N39" s="1345"/>
      <c r="O39" s="1360"/>
      <c r="P39" s="1373"/>
      <c r="Q39" s="749">
        <f t="shared" si="14"/>
        <v>111</v>
      </c>
      <c r="R39" s="1411" t="s">
        <v>1490</v>
      </c>
      <c r="S39" s="1412">
        <f t="shared" si="10"/>
        <v>100</v>
      </c>
      <c r="T39" s="1411" t="s">
        <v>1490</v>
      </c>
      <c r="U39" s="1412">
        <f t="shared" si="11"/>
        <v>100</v>
      </c>
      <c r="V39" s="1411" t="s">
        <v>1490</v>
      </c>
      <c r="W39" s="1412">
        <f t="shared" si="12"/>
        <v>100</v>
      </c>
      <c r="X39" s="1398"/>
      <c r="Y39" s="1373"/>
      <c r="Z39" s="1385">
        <f t="shared" si="13"/>
        <v>111</v>
      </c>
      <c r="AA39" s="1427">
        <f t="shared" si="3"/>
        <v>1</v>
      </c>
      <c r="AB39" s="1427">
        <f t="shared" si="4"/>
        <v>1</v>
      </c>
      <c r="AC39" s="1427">
        <f t="shared" si="5"/>
        <v>1</v>
      </c>
    </row>
    <row r="40" s="1166" customFormat="1" ht="15.75" spans="1:29">
      <c r="A40" s="1273"/>
      <c r="B40" s="1272">
        <v>111</v>
      </c>
      <c r="C40" s="1274"/>
      <c r="D40" s="1263">
        <v>100</v>
      </c>
      <c r="E40" s="1224"/>
      <c r="F40" s="1230">
        <f>SUMIF(120:120,E40,121:121)-SUMIF(120:120,C40,121:121)+100</f>
        <v>100</v>
      </c>
      <c r="G40" s="1224"/>
      <c r="H40" s="1230">
        <f>SUMIF(120:120,G40,121:121)-SUMIF(120:120,C40,121:121)+100</f>
        <v>100</v>
      </c>
      <c r="I40" s="1223"/>
      <c r="J40" s="1230">
        <f>SUMIF(120:120,I40,121:121)-SUMIF(120:120,C40,121:121)+100</f>
        <v>100</v>
      </c>
      <c r="K40" s="1375"/>
      <c r="L40" s="1359"/>
      <c r="M40" s="1371"/>
      <c r="N40" s="1371"/>
      <c r="O40" s="1372"/>
      <c r="P40" s="1373"/>
      <c r="Q40" s="749">
        <f t="shared" si="14"/>
        <v>111</v>
      </c>
      <c r="R40" s="1413" t="s">
        <v>1490</v>
      </c>
      <c r="S40" s="1414">
        <f t="shared" si="10"/>
        <v>100</v>
      </c>
      <c r="T40" s="1413" t="s">
        <v>1490</v>
      </c>
      <c r="U40" s="1414">
        <f t="shared" si="11"/>
        <v>100</v>
      </c>
      <c r="V40" s="1413" t="s">
        <v>1490</v>
      </c>
      <c r="W40" s="1414">
        <f t="shared" si="12"/>
        <v>100</v>
      </c>
      <c r="X40" s="1415"/>
      <c r="Y40" s="1373"/>
      <c r="Z40" s="1428">
        <f t="shared" si="13"/>
        <v>111</v>
      </c>
      <c r="AA40" s="1427">
        <f t="shared" si="3"/>
        <v>1</v>
      </c>
      <c r="AB40" s="1427">
        <f t="shared" si="4"/>
        <v>1</v>
      </c>
      <c r="AC40" s="1427">
        <f t="shared" si="5"/>
        <v>1</v>
      </c>
    </row>
    <row r="41" ht="14.4" spans="1:29">
      <c r="A41" s="1275" t="s">
        <v>1624</v>
      </c>
      <c r="B41" s="1276" t="s">
        <v>1677</v>
      </c>
      <c r="C41" s="1277" t="s">
        <v>124</v>
      </c>
      <c r="D41" s="1278"/>
      <c r="E41" s="1279"/>
      <c r="F41" s="1280"/>
      <c r="G41" s="1281"/>
      <c r="H41" s="1282"/>
      <c r="I41" s="1279"/>
      <c r="J41" s="1282"/>
      <c r="K41" s="1376"/>
      <c r="L41" s="1377"/>
      <c r="M41" s="1345"/>
      <c r="N41" s="1345"/>
      <c r="O41" s="1292"/>
      <c r="P41" s="749" t="str">
        <f>A41</f>
        <v>成交单价</v>
      </c>
      <c r="Q41" s="749"/>
      <c r="R41" s="1385">
        <f>E41</f>
        <v>0</v>
      </c>
      <c r="S41" s="1385"/>
      <c r="T41" s="1385">
        <f>G41</f>
        <v>0</v>
      </c>
      <c r="U41" s="1385"/>
      <c r="V41" s="1385">
        <f>I41</f>
        <v>0</v>
      </c>
      <c r="W41" s="1385"/>
      <c r="X41" s="1333"/>
      <c r="Y41" s="1429"/>
      <c r="Z41" s="1333"/>
      <c r="AA41" s="1333"/>
      <c r="AB41" s="1333"/>
      <c r="AC41" s="1333"/>
    </row>
    <row r="42" ht="15.15" spans="1:29">
      <c r="A42" s="1283" t="s">
        <v>1522</v>
      </c>
      <c r="B42" s="1284"/>
      <c r="C42" s="1285" t="e">
        <f>R43</f>
        <v>#DIV/0!</v>
      </c>
      <c r="D42" s="1286" t="s">
        <v>1523</v>
      </c>
      <c r="E42" s="1285" t="e">
        <f>R42</f>
        <v>#DIV/0!</v>
      </c>
      <c r="F42" s="1287"/>
      <c r="G42" s="1288" t="e">
        <f>T42</f>
        <v>#DIV/0!</v>
      </c>
      <c r="H42" s="1287"/>
      <c r="I42" s="1285" t="e">
        <f>V42</f>
        <v>#DIV/0!</v>
      </c>
      <c r="J42" s="1287"/>
      <c r="K42" s="1378">
        <f>F42+H42+J42</f>
        <v>0</v>
      </c>
      <c r="L42" s="1377"/>
      <c r="M42" s="1345"/>
      <c r="N42" s="1345"/>
      <c r="O42" s="1292"/>
      <c r="P42" s="749" t="str">
        <f>A42</f>
        <v>比较价值（元/平方米）</v>
      </c>
      <c r="Q42" s="749"/>
      <c r="R42" s="1416" t="e">
        <f>ROUND(PRODUCT(R41,AA7:AA40),0)</f>
        <v>#DIV/0!</v>
      </c>
      <c r="S42" s="1416"/>
      <c r="T42" s="1416" t="e">
        <f>ROUND(PRODUCT(T41,AB7:AB40),0)</f>
        <v>#DIV/0!</v>
      </c>
      <c r="U42" s="1416"/>
      <c r="V42" s="1416" t="e">
        <f>ROUND(PRODUCT(V41,AC7:AC40),0)</f>
        <v>#DIV/0!</v>
      </c>
      <c r="W42" s="1416"/>
      <c r="X42" s="1333"/>
      <c r="Y42" s="1333"/>
      <c r="Z42" s="1333"/>
      <c r="AA42" s="1333"/>
      <c r="AB42" s="1333"/>
      <c r="AC42" s="1333"/>
    </row>
    <row r="43" ht="15.15" spans="1:29">
      <c r="A43" s="1289" t="s">
        <v>1524</v>
      </c>
      <c r="B43" s="1290"/>
      <c r="C43" s="1291" t="e">
        <f>R43</f>
        <v>#DIV/0!</v>
      </c>
      <c r="D43" s="1291"/>
      <c r="E43" s="1291"/>
      <c r="F43" s="1291"/>
      <c r="G43" s="1291"/>
      <c r="H43" s="1291"/>
      <c r="I43" s="1291"/>
      <c r="J43" s="1291"/>
      <c r="K43" s="1379"/>
      <c r="L43" s="1377"/>
      <c r="M43" s="1345"/>
      <c r="N43" s="1345"/>
      <c r="O43" s="1292"/>
      <c r="P43" s="1380" t="str">
        <f>A43</f>
        <v>估价对象XX用房的比较价值（楼面单价，元/平方米）</v>
      </c>
      <c r="Q43" s="1417"/>
      <c r="R43" s="1418" t="e">
        <f>ROUND(IF(D42="简单平均",AVERAGE(R42:W42),R42*F42+T42*H42+V42*J42),0)</f>
        <v>#DIV/0!</v>
      </c>
      <c r="S43" s="1418"/>
      <c r="T43" s="1418"/>
      <c r="U43" s="1418"/>
      <c r="V43" s="1418"/>
      <c r="W43" s="1418"/>
      <c r="X43" s="1333"/>
      <c r="Y43" s="1333"/>
      <c r="Z43" s="1333"/>
      <c r="AA43" s="1333"/>
      <c r="AB43" s="1333"/>
      <c r="AC43" s="1333"/>
    </row>
    <row r="44" spans="1:31">
      <c r="A44" s="1292"/>
      <c r="B44" s="1292"/>
      <c r="C44" s="1292"/>
      <c r="D44" s="1292"/>
      <c r="E44" s="1292"/>
      <c r="F44" s="1292"/>
      <c r="G44" s="1293"/>
      <c r="H44" s="1292"/>
      <c r="I44" s="1292"/>
      <c r="J44" s="1292"/>
      <c r="K44" s="1381"/>
      <c r="L44" s="1382"/>
      <c r="M44" s="1345"/>
      <c r="N44" s="1345"/>
      <c r="O44" s="1292"/>
      <c r="P44" s="1292"/>
      <c r="Q44" s="1292"/>
      <c r="R44" s="1292"/>
      <c r="S44" s="1292"/>
      <c r="T44" s="1292"/>
      <c r="U44" s="1292"/>
      <c r="V44" s="1292"/>
      <c r="W44" s="1292"/>
      <c r="X44" s="1292"/>
      <c r="Y44" s="1292"/>
      <c r="Z44" s="1292"/>
      <c r="AA44" s="1292"/>
      <c r="AB44" s="1292"/>
      <c r="AC44" s="1292"/>
      <c r="AD44" s="1292"/>
      <c r="AE44" s="1292"/>
    </row>
    <row r="45" spans="1:31">
      <c r="A45" s="1292"/>
      <c r="B45" s="1292"/>
      <c r="C45" s="1292"/>
      <c r="D45" s="1292"/>
      <c r="E45" s="1292"/>
      <c r="F45" s="1292"/>
      <c r="G45" s="1292"/>
      <c r="H45" s="1292"/>
      <c r="I45" s="1292"/>
      <c r="J45" s="1292"/>
      <c r="K45" s="1381"/>
      <c r="L45" s="1382"/>
      <c r="M45" s="1345"/>
      <c r="N45" s="1345"/>
      <c r="O45" s="1292"/>
      <c r="P45" s="1292"/>
      <c r="Q45" s="1292"/>
      <c r="R45" s="1292"/>
      <c r="S45" s="1292"/>
      <c r="T45" s="1292"/>
      <c r="U45" s="1292"/>
      <c r="V45" s="1292"/>
      <c r="W45" s="1292"/>
      <c r="X45" s="1292"/>
      <c r="Y45" s="1292"/>
      <c r="Z45" s="1292"/>
      <c r="AA45" s="1292"/>
      <c r="AB45" s="1292"/>
      <c r="AC45" s="1292"/>
      <c r="AD45" s="1292"/>
      <c r="AE45" s="1292"/>
    </row>
    <row r="46" ht="13.5" customHeight="1" spans="1:31">
      <c r="A46" s="1292"/>
      <c r="B46" s="1292"/>
      <c r="C46" s="1294" t="s">
        <v>1525</v>
      </c>
      <c r="D46" s="793"/>
      <c r="E46" s="1295" t="e">
        <f>IF(E41&lt;E42,E42/E41-1,E41/E42-1)</f>
        <v>#DIV/0!</v>
      </c>
      <c r="F46" s="1296" t="e">
        <f>IF(OR(E46&gt;=0.3,E46&lt;=-0.3),"超过30%","")</f>
        <v>#DIV/0!</v>
      </c>
      <c r="G46" s="1295" t="e">
        <f>IF(G41&lt;G42,G42/G41-1,G41/G42-1)</f>
        <v>#DIV/0!</v>
      </c>
      <c r="H46" s="1296" t="e">
        <f>IF(OR(G46&gt;=0.3,G46&lt;=-0.3),"超过30%","")</f>
        <v>#DIV/0!</v>
      </c>
      <c r="I46" s="1295" t="e">
        <f>IF(I41&lt;I42,I42/I41-1,I41/I42-1)</f>
        <v>#DIV/0!</v>
      </c>
      <c r="J46" s="1296" t="e">
        <f>IF(OR(I46&gt;=0.3,I46&lt;=-0.3),"超过30%","")</f>
        <v>#DIV/0!</v>
      </c>
      <c r="K46" s="1381"/>
      <c r="L46" s="1382"/>
      <c r="M46" s="1345"/>
      <c r="N46" s="1345"/>
      <c r="O46" s="1292"/>
      <c r="P46" s="1292"/>
      <c r="Q46" s="1292"/>
      <c r="R46" s="1292"/>
      <c r="S46" s="1292"/>
      <c r="T46" s="1292"/>
      <c r="U46" s="1292"/>
      <c r="V46" s="1292"/>
      <c r="W46" s="1292"/>
      <c r="X46" s="1292"/>
      <c r="Y46" s="1292"/>
      <c r="Z46" s="1292"/>
      <c r="AA46" s="1292"/>
      <c r="AB46" s="1292"/>
      <c r="AC46" s="1292"/>
      <c r="AD46" s="1292"/>
      <c r="AE46" s="1292"/>
    </row>
    <row r="47" ht="13.5" customHeight="1" spans="1:31">
      <c r="A47" s="1292"/>
      <c r="B47" s="1292"/>
      <c r="C47" s="1294" t="s">
        <v>1526</v>
      </c>
      <c r="D47" s="792"/>
      <c r="E47" s="1295" t="e">
        <f>IF(E42&lt;G42,G42/E42-1,E42/G42-1)</f>
        <v>#DIV/0!</v>
      </c>
      <c r="F47" s="1296" t="e">
        <f>IF(OR(E47&gt;=0.2,E47&lt;=-0.2),"超过20%","")</f>
        <v>#DIV/0!</v>
      </c>
      <c r="G47" s="1295" t="e">
        <f>IF(G42&lt;I42,I42/G42-1,G42/I42-1)</f>
        <v>#DIV/0!</v>
      </c>
      <c r="H47" s="1296" t="e">
        <f>IF(OR(G47&gt;=0.2,G47&lt;=-0.2),"超过20%","")</f>
        <v>#DIV/0!</v>
      </c>
      <c r="I47" s="1295" t="e">
        <f>IF(I42&lt;E42,E42/I42-1,I42/E42-1)</f>
        <v>#DIV/0!</v>
      </c>
      <c r="J47" s="1296" t="e">
        <f>IF(OR(I47&gt;=0.2,I47&lt;=-0.2),"超过20%","")</f>
        <v>#DIV/0!</v>
      </c>
      <c r="K47" s="1381"/>
      <c r="L47" s="1382"/>
      <c r="M47" s="1292"/>
      <c r="N47" s="1292"/>
      <c r="O47" s="1292"/>
      <c r="P47" s="1292"/>
      <c r="Q47" s="1292"/>
      <c r="R47" s="1292"/>
      <c r="S47" s="1292"/>
      <c r="T47" s="1292"/>
      <c r="U47" s="1292"/>
      <c r="V47" s="1292"/>
      <c r="W47" s="1292"/>
      <c r="X47" s="1292"/>
      <c r="Y47" s="1292"/>
      <c r="Z47" s="1292"/>
      <c r="AA47" s="1292"/>
      <c r="AB47" s="1292"/>
      <c r="AC47" s="1292"/>
      <c r="AD47" s="1292"/>
      <c r="AE47" s="1292"/>
    </row>
    <row r="48" s="1167" customFormat="1" ht="13.5" customHeight="1" spans="1:31">
      <c r="A48" s="1297"/>
      <c r="B48" s="1297"/>
      <c r="C48" s="1294" t="s">
        <v>1527</v>
      </c>
      <c r="D48" s="792"/>
      <c r="E48" s="1295" t="e">
        <f>IF(E41&lt;G41,G41/E41-1,E41/G41-1)</f>
        <v>#DIV/0!</v>
      </c>
      <c r="F48" s="1296" t="e">
        <f>IF(OR(E48&gt;=0.3,E48&lt;=-0.3),"超过30%","")</f>
        <v>#DIV/0!</v>
      </c>
      <c r="G48" s="1295" t="e">
        <f>IF(G41&lt;I41,I41/G41-1,G41/I41-1)</f>
        <v>#DIV/0!</v>
      </c>
      <c r="H48" s="1296" t="e">
        <f>IF(OR(G48&gt;=0.3,G48&lt;=-0.3),"超过30%","")</f>
        <v>#DIV/0!</v>
      </c>
      <c r="I48" s="1295" t="e">
        <f>IF(I41&lt;E41,E41/I41-1,I41/E41-1)</f>
        <v>#DIV/0!</v>
      </c>
      <c r="J48" s="1296" t="e">
        <f>IF(OR(I48&gt;=0.3,I48&lt;=-0.3),"超过30%","")</f>
        <v>#DIV/0!</v>
      </c>
      <c r="K48" s="1383"/>
      <c r="L48" s="1384"/>
      <c r="M48" s="1297"/>
      <c r="N48" s="1297"/>
      <c r="O48" s="1297"/>
      <c r="P48" s="1297"/>
      <c r="Q48" s="1297"/>
      <c r="R48" s="1297"/>
      <c r="S48" s="1297"/>
      <c r="T48" s="1297"/>
      <c r="U48" s="1297"/>
      <c r="V48" s="1297"/>
      <c r="W48" s="1297"/>
      <c r="X48" s="1297"/>
      <c r="Y48" s="1297"/>
      <c r="Z48" s="1297"/>
      <c r="AA48" s="1297"/>
      <c r="AB48" s="1297"/>
      <c r="AC48" s="1297"/>
      <c r="AD48" s="1297"/>
      <c r="AE48" s="1297"/>
    </row>
    <row r="49" s="1167" customFormat="1" ht="14.55" spans="1:31">
      <c r="A49" s="1297"/>
      <c r="B49" s="1298"/>
      <c r="C49" s="1299"/>
      <c r="D49" s="1300"/>
      <c r="E49" s="1300"/>
      <c r="F49" s="1300"/>
      <c r="G49" s="1300"/>
      <c r="H49" s="1300"/>
      <c r="I49" s="1300"/>
      <c r="J49" s="1300"/>
      <c r="K49" s="1383"/>
      <c r="L49" s="1384"/>
      <c r="M49" s="1297"/>
      <c r="N49" s="1297"/>
      <c r="O49" s="1297"/>
      <c r="P49" s="1297"/>
      <c r="Q49" s="1297"/>
      <c r="R49" s="1297"/>
      <c r="S49" s="1297"/>
      <c r="T49" s="1297"/>
      <c r="U49" s="1297"/>
      <c r="V49" s="1297"/>
      <c r="W49" s="1297"/>
      <c r="X49" s="1297"/>
      <c r="Y49" s="1297"/>
      <c r="Z49" s="1297"/>
      <c r="AA49" s="1297"/>
      <c r="AB49" s="1297"/>
      <c r="AC49" s="1297"/>
      <c r="AD49" s="1297"/>
      <c r="AE49" s="1297"/>
    </row>
    <row r="50" ht="28.8" spans="1:31">
      <c r="A50" s="1301" t="s">
        <v>1645</v>
      </c>
      <c r="B50" s="1302" t="s">
        <v>1646</v>
      </c>
      <c r="C50" s="1303" t="s">
        <v>1647</v>
      </c>
      <c r="D50" s="1304" t="s">
        <v>1648</v>
      </c>
      <c r="E50" s="1305" t="s">
        <v>1649</v>
      </c>
      <c r="F50" s="1306" t="s">
        <v>1650</v>
      </c>
      <c r="G50" s="1185" t="s">
        <v>1651</v>
      </c>
      <c r="H50" s="744"/>
      <c r="I50" s="1385" t="s">
        <v>1678</v>
      </c>
      <c r="J50" s="1385">
        <f>项目基本情况!F35</f>
        <v>0</v>
      </c>
      <c r="K50" s="1386" t="s">
        <v>1653</v>
      </c>
      <c r="L50" s="1382"/>
      <c r="M50" s="1292"/>
      <c r="N50" s="1292"/>
      <c r="O50" s="1292"/>
      <c r="P50" s="1292"/>
      <c r="Q50" s="1292"/>
      <c r="R50" s="1292"/>
      <c r="S50" s="1292"/>
      <c r="T50" s="1292"/>
      <c r="U50" s="1292"/>
      <c r="V50" s="1292"/>
      <c r="W50" s="1292"/>
      <c r="X50" s="1292"/>
      <c r="Y50" s="1292"/>
      <c r="Z50" s="1292"/>
      <c r="AA50" s="1292"/>
      <c r="AB50" s="1292"/>
      <c r="AC50" s="1292"/>
      <c r="AD50" s="1292"/>
      <c r="AE50" s="1292"/>
    </row>
    <row r="51" s="1168" customFormat="1" spans="1:31">
      <c r="A51" s="1307" t="s">
        <v>1654</v>
      </c>
      <c r="B51" s="1308" t="e">
        <f>C43</f>
        <v>#DIV/0!</v>
      </c>
      <c r="C51" s="1309">
        <v>1</v>
      </c>
      <c r="D51" s="1310">
        <v>1</v>
      </c>
      <c r="E51" s="1309">
        <f>'数据-汇总表'!E8+'数据-汇总表'!E9</f>
        <v>10109.15</v>
      </c>
      <c r="F51" s="1311" t="e">
        <f t="shared" ref="F51:F60" si="15">ROUND(B51*E51/10000,0)</f>
        <v>#DIV/0!</v>
      </c>
      <c r="G51" s="1312"/>
      <c r="H51" s="749"/>
      <c r="I51" s="779">
        <v>1</v>
      </c>
      <c r="J51" s="779">
        <v>1</v>
      </c>
      <c r="K51" s="1297"/>
      <c r="L51" s="1387"/>
      <c r="M51" s="1387"/>
      <c r="N51" s="1387"/>
      <c r="O51" s="1387"/>
      <c r="P51" s="1387"/>
      <c r="Q51" s="1387"/>
      <c r="R51" s="1387"/>
      <c r="S51" s="1387"/>
      <c r="T51" s="1387"/>
      <c r="U51" s="1387"/>
      <c r="V51" s="1387"/>
      <c r="W51" s="1387"/>
      <c r="X51" s="1387"/>
      <c r="Y51" s="1387"/>
      <c r="Z51" s="1387"/>
      <c r="AA51" s="1387"/>
      <c r="AB51" s="1387"/>
      <c r="AC51" s="1387"/>
      <c r="AD51" s="1387"/>
      <c r="AE51" s="1387"/>
    </row>
    <row r="52" s="1168" customFormat="1" spans="1:31">
      <c r="A52" s="1313" t="s">
        <v>1655</v>
      </c>
      <c r="B52" s="411" t="e">
        <f>ROUND($C$43*C52*D52,0)</f>
        <v>#DIV/0!</v>
      </c>
      <c r="C52" s="663">
        <f t="shared" ref="C52:C60" si="16">IF($C$50="北京市系数",I52,J52)</f>
        <v>0</v>
      </c>
      <c r="D52" s="1314">
        <v>0.25</v>
      </c>
      <c r="E52" s="1315"/>
      <c r="F52" s="1311" t="e">
        <f t="shared" si="15"/>
        <v>#DIV/0!</v>
      </c>
      <c r="G52" s="1316" t="s">
        <v>1656</v>
      </c>
      <c r="H52" s="1317">
        <f>项目基本情况!B37</f>
        <v>0</v>
      </c>
      <c r="I52" s="779">
        <f>SUMIF(修正!A57:A68,H52,修正!B57:B68)</f>
        <v>0</v>
      </c>
      <c r="J52" s="1388"/>
      <c r="K52" s="1292"/>
      <c r="L52" s="1387"/>
      <c r="M52" s="1387"/>
      <c r="N52" s="1387"/>
      <c r="O52" s="1387"/>
      <c r="P52" s="1387"/>
      <c r="Q52" s="1387"/>
      <c r="R52" s="1387"/>
      <c r="S52" s="1387"/>
      <c r="T52" s="1387"/>
      <c r="U52" s="1387"/>
      <c r="V52" s="1387"/>
      <c r="W52" s="1387"/>
      <c r="X52" s="1387"/>
      <c r="Y52" s="1387"/>
      <c r="Z52" s="1387"/>
      <c r="AA52" s="1387"/>
      <c r="AB52" s="1387"/>
      <c r="AC52" s="1387"/>
      <c r="AD52" s="1387"/>
      <c r="AE52" s="1387"/>
    </row>
    <row r="53" s="1168" customFormat="1" spans="1:31">
      <c r="A53" s="1313" t="s">
        <v>1657</v>
      </c>
      <c r="B53" s="411" t="e">
        <f t="shared" ref="B53:B60" si="17">ROUND($C$43*C53*D53,0)</f>
        <v>#DIV/0!</v>
      </c>
      <c r="C53" s="663">
        <f t="shared" si="16"/>
        <v>0</v>
      </c>
      <c r="D53" s="1314">
        <v>0.25</v>
      </c>
      <c r="E53" s="1315"/>
      <c r="F53" s="1311" t="e">
        <f t="shared" si="15"/>
        <v>#DIV/0!</v>
      </c>
      <c r="G53" s="1318"/>
      <c r="H53" s="1317">
        <f>项目基本情况!B37</f>
        <v>0</v>
      </c>
      <c r="I53" s="779">
        <f>SUMIF(修正!A57:A68,H53,修正!C57:C68)</f>
        <v>0</v>
      </c>
      <c r="J53" s="1388"/>
      <c r="K53" s="1297"/>
      <c r="L53" s="1387"/>
      <c r="M53" s="1387"/>
      <c r="N53" s="1387"/>
      <c r="O53" s="1387"/>
      <c r="P53" s="1387"/>
      <c r="Q53" s="1387"/>
      <c r="R53" s="1387"/>
      <c r="S53" s="1387"/>
      <c r="T53" s="1387"/>
      <c r="U53" s="1387"/>
      <c r="V53" s="1387"/>
      <c r="W53" s="1387"/>
      <c r="X53" s="1387"/>
      <c r="Y53" s="1387"/>
      <c r="Z53" s="1387"/>
      <c r="AA53" s="1387"/>
      <c r="AB53" s="1387"/>
      <c r="AC53" s="1387"/>
      <c r="AD53" s="1387"/>
      <c r="AE53" s="1387"/>
    </row>
    <row r="54" s="1168" customFormat="1" spans="1:31">
      <c r="A54" s="1313" t="s">
        <v>1658</v>
      </c>
      <c r="B54" s="411" t="e">
        <f t="shared" si="17"/>
        <v>#DIV/0!</v>
      </c>
      <c r="C54" s="663">
        <f t="shared" si="16"/>
        <v>0</v>
      </c>
      <c r="D54" s="1314">
        <v>0.25</v>
      </c>
      <c r="E54" s="1315"/>
      <c r="F54" s="1311" t="e">
        <f t="shared" si="15"/>
        <v>#DIV/0!</v>
      </c>
      <c r="G54" s="1318"/>
      <c r="H54" s="1317">
        <f>项目基本情况!B37</f>
        <v>0</v>
      </c>
      <c r="I54" s="779">
        <f>SUMIF(修正!A57:A68,H54,修正!D57:D68)</f>
        <v>0</v>
      </c>
      <c r="J54" s="1388"/>
      <c r="K54" s="1292"/>
      <c r="L54" s="1387"/>
      <c r="M54" s="1387"/>
      <c r="N54" s="1387"/>
      <c r="O54" s="1387"/>
      <c r="P54" s="1387"/>
      <c r="Q54" s="1387"/>
      <c r="R54" s="1387"/>
      <c r="S54" s="1387"/>
      <c r="T54" s="1387"/>
      <c r="U54" s="1387"/>
      <c r="V54" s="1387"/>
      <c r="W54" s="1387"/>
      <c r="X54" s="1387"/>
      <c r="Y54" s="1387"/>
      <c r="Z54" s="1387"/>
      <c r="AA54" s="1387"/>
      <c r="AB54" s="1387"/>
      <c r="AC54" s="1387"/>
      <c r="AD54" s="1387"/>
      <c r="AE54" s="1387"/>
    </row>
    <row r="55" s="1168" customFormat="1" hidden="1" spans="1:31">
      <c r="A55" s="1313"/>
      <c r="B55" s="411"/>
      <c r="C55" s="663"/>
      <c r="D55" s="1314"/>
      <c r="E55" s="1315"/>
      <c r="F55" s="1311"/>
      <c r="G55" s="1319"/>
      <c r="H55" s="1317"/>
      <c r="I55" s="779"/>
      <c r="J55" s="1388"/>
      <c r="K55" s="1297"/>
      <c r="L55" s="1387"/>
      <c r="M55" s="1387"/>
      <c r="N55" s="1387"/>
      <c r="O55" s="1387"/>
      <c r="P55" s="1387"/>
      <c r="Q55" s="1387"/>
      <c r="R55" s="1387"/>
      <c r="S55" s="1387"/>
      <c r="T55" s="1387"/>
      <c r="U55" s="1387"/>
      <c r="V55" s="1387"/>
      <c r="W55" s="1387"/>
      <c r="X55" s="1387"/>
      <c r="Y55" s="1387"/>
      <c r="Z55" s="1387"/>
      <c r="AA55" s="1387"/>
      <c r="AB55" s="1387"/>
      <c r="AC55" s="1387"/>
      <c r="AD55" s="1387"/>
      <c r="AE55" s="1387"/>
    </row>
    <row r="56" s="1168" customFormat="1" spans="1:31">
      <c r="A56" s="1313" t="s">
        <v>1659</v>
      </c>
      <c r="B56" s="411" t="e">
        <f t="shared" si="17"/>
        <v>#DIV/0!</v>
      </c>
      <c r="C56" s="663">
        <f t="shared" si="16"/>
        <v>0.25</v>
      </c>
      <c r="D56" s="1314">
        <v>0.25</v>
      </c>
      <c r="E56" s="410">
        <f>'数据-汇总表'!E11</f>
        <v>0</v>
      </c>
      <c r="F56" s="1311" t="e">
        <f t="shared" si="15"/>
        <v>#DIV/0!</v>
      </c>
      <c r="G56" s="1320" t="s">
        <v>1660</v>
      </c>
      <c r="H56" s="1317" t="str">
        <f>项目基本情况!C37</f>
        <v>五级</v>
      </c>
      <c r="I56" s="779">
        <f>SUMIF(修正!A57:A68,H56,修正!E57:E68)</f>
        <v>0.25</v>
      </c>
      <c r="J56" s="1388"/>
      <c r="K56" s="1292"/>
      <c r="L56" s="1387"/>
      <c r="M56" s="1387"/>
      <c r="N56" s="1387"/>
      <c r="O56" s="1387"/>
      <c r="P56" s="1387"/>
      <c r="Q56" s="1387"/>
      <c r="R56" s="1387"/>
      <c r="S56" s="1387"/>
      <c r="T56" s="1387"/>
      <c r="U56" s="1387"/>
      <c r="V56" s="1387"/>
      <c r="W56" s="1387"/>
      <c r="X56" s="1387"/>
      <c r="Y56" s="1387"/>
      <c r="Z56" s="1387"/>
      <c r="AA56" s="1387"/>
      <c r="AB56" s="1387"/>
      <c r="AC56" s="1387"/>
      <c r="AD56" s="1387"/>
      <c r="AE56" s="1387"/>
    </row>
    <row r="57" s="1168" customFormat="1" spans="1:31">
      <c r="A57" s="1313" t="s">
        <v>1661</v>
      </c>
      <c r="B57" s="411" t="e">
        <f t="shared" si="17"/>
        <v>#DIV/0!</v>
      </c>
      <c r="C57" s="663">
        <f t="shared" si="16"/>
        <v>0.25</v>
      </c>
      <c r="D57" s="1314">
        <v>0.25</v>
      </c>
      <c r="E57" s="410">
        <f>'数据-汇总表'!E12</f>
        <v>0</v>
      </c>
      <c r="F57" s="1311" t="e">
        <f t="shared" si="15"/>
        <v>#DIV/0!</v>
      </c>
      <c r="G57" s="1321" t="s">
        <v>1662</v>
      </c>
      <c r="H57" s="1317" t="str">
        <f>IF(G57="商业",项目基本情况!B37,IF(G57="办公",项目基本情况!C37,IF(G57="住宅",项目基本情况!D37,项目基本情况!E37)))</f>
        <v>五级</v>
      </c>
      <c r="I57" s="779">
        <f>SUMIF(修正!A57:A68,H57,修正!F57:F68)</f>
        <v>0.25</v>
      </c>
      <c r="J57" s="1388"/>
      <c r="K57" s="1297"/>
      <c r="L57" s="1387"/>
      <c r="M57" s="1387"/>
      <c r="N57" s="1387"/>
      <c r="O57" s="1387"/>
      <c r="P57" s="1387"/>
      <c r="Q57" s="1387"/>
      <c r="R57" s="1387"/>
      <c r="S57" s="1387"/>
      <c r="T57" s="1387"/>
      <c r="U57" s="1387"/>
      <c r="V57" s="1387"/>
      <c r="W57" s="1387"/>
      <c r="X57" s="1387"/>
      <c r="Y57" s="1387"/>
      <c r="Z57" s="1387"/>
      <c r="AA57" s="1387"/>
      <c r="AB57" s="1387"/>
      <c r="AC57" s="1387"/>
      <c r="AD57" s="1387"/>
      <c r="AE57" s="1387"/>
    </row>
    <row r="58" s="1168" customFormat="1" spans="1:31">
      <c r="A58" s="1313" t="s">
        <v>1663</v>
      </c>
      <c r="B58" s="411" t="e">
        <f t="shared" si="17"/>
        <v>#DIV/0!</v>
      </c>
      <c r="C58" s="663">
        <f t="shared" si="16"/>
        <v>0</v>
      </c>
      <c r="D58" s="1314">
        <v>0.25</v>
      </c>
      <c r="E58" s="410">
        <f>'数据-汇总表'!E13</f>
        <v>0</v>
      </c>
      <c r="F58" s="1311" t="e">
        <f t="shared" si="15"/>
        <v>#DIV/0!</v>
      </c>
      <c r="G58" s="1321" t="s">
        <v>1664</v>
      </c>
      <c r="H58" s="1317">
        <f>IF(G58="商业",项目基本情况!B37,IF(G58="办公",项目基本情况!C37,IF(G58="住宅",项目基本情况!D37,项目基本情况!E37)))</f>
        <v>0</v>
      </c>
      <c r="I58" s="779">
        <f>SUMIF(修正!A57:A68,H58,修正!G57:G68)</f>
        <v>0</v>
      </c>
      <c r="J58" s="1388"/>
      <c r="K58" s="1292"/>
      <c r="L58" s="1387"/>
      <c r="M58" s="1387"/>
      <c r="N58" s="1387"/>
      <c r="O58" s="1387"/>
      <c r="P58" s="1387"/>
      <c r="Q58" s="1387"/>
      <c r="R58" s="1387"/>
      <c r="S58" s="1387"/>
      <c r="T58" s="1387"/>
      <c r="U58" s="1387"/>
      <c r="V58" s="1387"/>
      <c r="W58" s="1387"/>
      <c r="X58" s="1387"/>
      <c r="Y58" s="1387"/>
      <c r="Z58" s="1387"/>
      <c r="AA58" s="1387"/>
      <c r="AB58" s="1387"/>
      <c r="AC58" s="1387"/>
      <c r="AD58" s="1387"/>
      <c r="AE58" s="1387"/>
    </row>
    <row r="59" s="1168" customFormat="1" spans="1:31">
      <c r="A59" s="1313" t="s">
        <v>1665</v>
      </c>
      <c r="B59" s="411" t="e">
        <f t="shared" si="17"/>
        <v>#DIV/0!</v>
      </c>
      <c r="C59" s="663">
        <f t="shared" si="16"/>
        <v>0</v>
      </c>
      <c r="D59" s="1314">
        <v>0.25</v>
      </c>
      <c r="E59" s="410">
        <f>'数据-汇总表'!E14</f>
        <v>0</v>
      </c>
      <c r="F59" s="1311" t="e">
        <f t="shared" si="15"/>
        <v>#DIV/0!</v>
      </c>
      <c r="G59" s="1320" t="s">
        <v>1656</v>
      </c>
      <c r="H59" s="1317">
        <f>项目基本情况!B37</f>
        <v>0</v>
      </c>
      <c r="I59" s="779">
        <f>SUMIF(修正!A57:A68,H59,修正!G57:G68)</f>
        <v>0</v>
      </c>
      <c r="J59" s="1388"/>
      <c r="K59" s="1297"/>
      <c r="L59" s="1387"/>
      <c r="M59" s="1387"/>
      <c r="N59" s="1387"/>
      <c r="O59" s="1387"/>
      <c r="P59" s="1387"/>
      <c r="Q59" s="1387"/>
      <c r="R59" s="1387"/>
      <c r="S59" s="1387"/>
      <c r="T59" s="1387"/>
      <c r="U59" s="1387"/>
      <c r="V59" s="1387"/>
      <c r="W59" s="1387"/>
      <c r="X59" s="1387"/>
      <c r="Y59" s="1387"/>
      <c r="Z59" s="1387"/>
      <c r="AA59" s="1387"/>
      <c r="AB59" s="1387"/>
      <c r="AC59" s="1387"/>
      <c r="AD59" s="1387"/>
      <c r="AE59" s="1387"/>
    </row>
    <row r="60" s="1168" customFormat="1" ht="14.55" spans="1:31">
      <c r="A60" s="1313" t="s">
        <v>1666</v>
      </c>
      <c r="B60" s="411" t="e">
        <f t="shared" si="17"/>
        <v>#DIV/0!</v>
      </c>
      <c r="C60" s="663">
        <f t="shared" si="16"/>
        <v>0.15</v>
      </c>
      <c r="D60" s="1314">
        <v>0.25</v>
      </c>
      <c r="E60" s="410">
        <f>'数据-汇总表'!E15</f>
        <v>0</v>
      </c>
      <c r="F60" s="1311" t="e">
        <f t="shared" si="15"/>
        <v>#DIV/0!</v>
      </c>
      <c r="G60" s="1322" t="s">
        <v>1660</v>
      </c>
      <c r="H60" s="1323" t="str">
        <f>项目基本情况!C37</f>
        <v>五级</v>
      </c>
      <c r="I60" s="779">
        <f>SUMIF(修正!A57:A68,H60,修正!G57:G68)</f>
        <v>0.15</v>
      </c>
      <c r="J60" s="1388"/>
      <c r="K60" s="1292"/>
      <c r="L60" s="1387"/>
      <c r="M60" s="1387"/>
      <c r="N60" s="1387"/>
      <c r="O60" s="1387"/>
      <c r="P60" s="1387"/>
      <c r="Q60" s="1387"/>
      <c r="R60" s="1387"/>
      <c r="S60" s="1387"/>
      <c r="T60" s="1387"/>
      <c r="U60" s="1387"/>
      <c r="V60" s="1387"/>
      <c r="W60" s="1387"/>
      <c r="X60" s="1387"/>
      <c r="Y60" s="1387"/>
      <c r="Z60" s="1387"/>
      <c r="AA60" s="1387"/>
      <c r="AB60" s="1387"/>
      <c r="AC60" s="1387"/>
      <c r="AD60" s="1387"/>
      <c r="AE60" s="1387"/>
    </row>
    <row r="61" s="1168" customFormat="1" ht="14.55" spans="1:31">
      <c r="A61" s="1324" t="s">
        <v>1667</v>
      </c>
      <c r="B61" s="1325" t="s">
        <v>1668</v>
      </c>
      <c r="C61" s="1325" t="s">
        <v>1668</v>
      </c>
      <c r="D61" s="1325" t="s">
        <v>1668</v>
      </c>
      <c r="E61" s="1325">
        <f>IF(B41="楼面地价",SUM(E51:E60),'数据-汇总表'!D3)</f>
        <v>3208.2</v>
      </c>
      <c r="F61" s="1326" t="e">
        <f>IF(B41="楼面地价",SUM(F51:F60),ROUND(C43*E61/10000,0))</f>
        <v>#DIV/0!</v>
      </c>
      <c r="G61" s="1327"/>
      <c r="H61" s="1327"/>
      <c r="I61" s="1327"/>
      <c r="J61" s="1327"/>
      <c r="K61" s="1381"/>
      <c r="L61" s="1387"/>
      <c r="M61" s="1387"/>
      <c r="N61" s="1387"/>
      <c r="O61" s="1387"/>
      <c r="P61" s="1387"/>
      <c r="Q61" s="1387"/>
      <c r="R61" s="1387"/>
      <c r="S61" s="1387"/>
      <c r="T61" s="1387"/>
      <c r="U61" s="1387"/>
      <c r="V61" s="1387"/>
      <c r="W61" s="1387"/>
      <c r="X61" s="1387"/>
      <c r="Y61" s="1387"/>
      <c r="Z61" s="1387"/>
      <c r="AA61" s="1387"/>
      <c r="AB61" s="1387"/>
      <c r="AC61" s="1387"/>
      <c r="AD61" s="1387"/>
      <c r="AE61" s="1387"/>
    </row>
    <row r="62" spans="1:31">
      <c r="A62" s="1328"/>
      <c r="B62" s="1329"/>
      <c r="C62" s="1330"/>
      <c r="D62" s="1328"/>
      <c r="E62" s="1328"/>
      <c r="F62" s="1328"/>
      <c r="G62" s="1328"/>
      <c r="H62" s="1328"/>
      <c r="I62" s="1328"/>
      <c r="J62" s="1328"/>
      <c r="K62" s="1389"/>
      <c r="L62" s="1390"/>
      <c r="M62" s="1328"/>
      <c r="N62" s="1328"/>
      <c r="O62" s="1328"/>
      <c r="P62" s="1292"/>
      <c r="Q62" s="1292"/>
      <c r="R62" s="1292"/>
      <c r="S62" s="1292"/>
      <c r="T62" s="1292"/>
      <c r="U62" s="1292"/>
      <c r="V62" s="1292"/>
      <c r="W62" s="1292"/>
      <c r="X62" s="1292"/>
      <c r="Y62" s="1292"/>
      <c r="Z62" s="1292"/>
      <c r="AA62" s="1292"/>
      <c r="AB62" s="1292"/>
      <c r="AC62" s="1292"/>
      <c r="AD62" s="1292"/>
      <c r="AE62" s="1292"/>
    </row>
    <row r="63" spans="1:31">
      <c r="A63" s="1328"/>
      <c r="B63" s="1329"/>
      <c r="C63" s="1331" t="str">
        <f>YEAR(C7)&amp;"-"&amp;MONTH(C7)&amp;"-1"</f>
        <v>2023-4-1</v>
      </c>
      <c r="D63" s="1331">
        <f>EDATE(C63,-3)</f>
        <v>44927</v>
      </c>
      <c r="E63" s="1331">
        <f>EDATE(D63,-3)</f>
        <v>44835</v>
      </c>
      <c r="F63" s="1331">
        <f t="shared" ref="F63:O63" si="18">EDATE(E63,-3)</f>
        <v>44743</v>
      </c>
      <c r="G63" s="1331">
        <f t="shared" si="18"/>
        <v>44652</v>
      </c>
      <c r="H63" s="1331">
        <f t="shared" si="18"/>
        <v>44562</v>
      </c>
      <c r="I63" s="1331">
        <f t="shared" si="18"/>
        <v>44470</v>
      </c>
      <c r="J63" s="1331">
        <f t="shared" si="18"/>
        <v>44378</v>
      </c>
      <c r="K63" s="1331">
        <f t="shared" si="18"/>
        <v>44287</v>
      </c>
      <c r="L63" s="1331">
        <f t="shared" si="18"/>
        <v>44197</v>
      </c>
      <c r="M63" s="1331">
        <f t="shared" si="18"/>
        <v>44105</v>
      </c>
      <c r="N63" s="1331">
        <f t="shared" si="18"/>
        <v>44013</v>
      </c>
      <c r="O63" s="1331">
        <f t="shared" si="18"/>
        <v>43922</v>
      </c>
      <c r="P63" s="1292"/>
      <c r="Q63" s="1292"/>
      <c r="R63" s="1292"/>
      <c r="S63" s="1292"/>
      <c r="T63" s="1292"/>
      <c r="U63" s="1292"/>
      <c r="V63" s="1292"/>
      <c r="W63" s="1292"/>
      <c r="X63" s="1292"/>
      <c r="Y63" s="1292"/>
      <c r="Z63" s="1292"/>
      <c r="AA63" s="1292"/>
      <c r="AB63" s="1292"/>
      <c r="AC63" s="1292"/>
      <c r="AD63" s="1292"/>
      <c r="AE63" s="1292"/>
    </row>
    <row r="64" ht="21.15" spans="1:31">
      <c r="A64" s="1332" t="s">
        <v>1528</v>
      </c>
      <c r="B64" s="1333"/>
      <c r="C64" s="1334"/>
      <c r="D64" s="1334"/>
      <c r="E64" s="1334"/>
      <c r="F64" s="1335"/>
      <c r="G64" s="1335"/>
      <c r="H64" s="1334"/>
      <c r="I64" s="1334"/>
      <c r="J64" s="1334"/>
      <c r="K64" s="1391"/>
      <c r="L64" s="1392"/>
      <c r="M64" s="1334"/>
      <c r="N64" s="1334"/>
      <c r="O64" s="1393"/>
      <c r="P64" s="1394"/>
      <c r="Q64" s="1419"/>
      <c r="R64" s="1292"/>
      <c r="S64" s="1292"/>
      <c r="T64" s="1292"/>
      <c r="U64" s="1292"/>
      <c r="V64" s="1292"/>
      <c r="W64" s="1292"/>
      <c r="X64" s="1292"/>
      <c r="Y64" s="1292"/>
      <c r="Z64" s="1292"/>
      <c r="AA64" s="1292"/>
      <c r="AB64" s="1292"/>
      <c r="AC64" s="1292"/>
      <c r="AD64" s="1292"/>
      <c r="AE64" s="1292"/>
    </row>
    <row r="65" s="1169" customFormat="1" ht="14.4" spans="1:31">
      <c r="A65" s="1430" t="s">
        <v>1669</v>
      </c>
      <c r="B65" s="1431"/>
      <c r="C65" s="1432" t="str">
        <f>YEAR(C63)&amp;"-"&amp;ROUNDUP(MONTH(C63)/3,0)</f>
        <v>2023-2</v>
      </c>
      <c r="D65" s="1432" t="str">
        <f t="shared" ref="D65:O65" si="19">YEAR(D63)&amp;"-"&amp;ROUNDUP(MONTH(D63)/3,0)</f>
        <v>2023-1</v>
      </c>
      <c r="E65" s="1432" t="str">
        <f t="shared" si="19"/>
        <v>2022-4</v>
      </c>
      <c r="F65" s="1432" t="str">
        <f t="shared" si="19"/>
        <v>2022-3</v>
      </c>
      <c r="G65" s="1432" t="str">
        <f t="shared" si="19"/>
        <v>2022-2</v>
      </c>
      <c r="H65" s="1432" t="str">
        <f t="shared" si="19"/>
        <v>2022-1</v>
      </c>
      <c r="I65" s="1432" t="str">
        <f t="shared" si="19"/>
        <v>2021-4</v>
      </c>
      <c r="J65" s="1432" t="str">
        <f t="shared" si="19"/>
        <v>2021-3</v>
      </c>
      <c r="K65" s="1432" t="str">
        <f t="shared" si="19"/>
        <v>2021-2</v>
      </c>
      <c r="L65" s="1432" t="str">
        <f t="shared" si="19"/>
        <v>2021-1</v>
      </c>
      <c r="M65" s="1432" t="str">
        <f t="shared" si="19"/>
        <v>2020-4</v>
      </c>
      <c r="N65" s="1432" t="str">
        <f t="shared" si="19"/>
        <v>2020-3</v>
      </c>
      <c r="O65" s="1432" t="str">
        <f t="shared" si="19"/>
        <v>2020-2</v>
      </c>
      <c r="P65" s="1484"/>
      <c r="Q65" s="1540"/>
      <c r="R65" s="1540"/>
      <c r="S65" s="1540"/>
      <c r="T65" s="1540"/>
      <c r="U65" s="1540"/>
      <c r="V65" s="1540"/>
      <c r="W65" s="1540"/>
      <c r="X65" s="1540"/>
      <c r="Y65" s="1540"/>
      <c r="Z65" s="1540"/>
      <c r="AA65" s="1540"/>
      <c r="AB65" s="1540"/>
      <c r="AC65" s="1540"/>
      <c r="AD65" s="1540"/>
      <c r="AE65" s="1540"/>
    </row>
    <row r="66" s="1164" customFormat="1" ht="30.75" customHeight="1" spans="1:31">
      <c r="A66" s="1433" t="s">
        <v>1679</v>
      </c>
      <c r="B66" s="1434" t="str">
        <f>"北京市平均增长率"&amp;TEXT(基准地价修正!P28,"0.00%")</f>
        <v>北京市平均增长率0.00%</v>
      </c>
      <c r="C66" s="928">
        <v>100</v>
      </c>
      <c r="D66" s="1435"/>
      <c r="E66" s="1435"/>
      <c r="F66" s="1435"/>
      <c r="G66" s="1435"/>
      <c r="H66" s="1435"/>
      <c r="I66" s="1435"/>
      <c r="J66" s="1435"/>
      <c r="K66" s="1435"/>
      <c r="L66" s="1435"/>
      <c r="M66" s="1485"/>
      <c r="N66" s="1485"/>
      <c r="O66" s="1486"/>
      <c r="P66" s="1419"/>
      <c r="Q66" s="1541"/>
      <c r="R66" s="1541"/>
      <c r="S66" s="1541"/>
      <c r="T66" s="1541"/>
      <c r="U66" s="1541"/>
      <c r="V66" s="1541"/>
      <c r="W66" s="1541"/>
      <c r="X66" s="1541"/>
      <c r="Y66" s="1541"/>
      <c r="Z66" s="1541"/>
      <c r="AA66" s="1541"/>
      <c r="AB66" s="1541"/>
      <c r="AC66" s="1541"/>
      <c r="AD66" s="1541"/>
      <c r="AE66" s="1541"/>
    </row>
    <row r="67" s="1164" customFormat="1" ht="15.15" spans="1:31">
      <c r="A67" s="1436" t="s">
        <v>1529</v>
      </c>
      <c r="B67" s="1437"/>
      <c r="C67" s="1438"/>
      <c r="D67" s="1439"/>
      <c r="E67" s="1439"/>
      <c r="F67" s="1439"/>
      <c r="G67" s="1439"/>
      <c r="H67" s="1439"/>
      <c r="I67" s="1439"/>
      <c r="J67" s="1439"/>
      <c r="K67" s="1439"/>
      <c r="L67" s="1439"/>
      <c r="M67" s="1487"/>
      <c r="N67" s="1487"/>
      <c r="O67" s="1488"/>
      <c r="P67" s="1419"/>
      <c r="Q67" s="1419"/>
      <c r="R67" s="1541"/>
      <c r="S67" s="1541"/>
      <c r="T67" s="1541"/>
      <c r="U67" s="1541"/>
      <c r="V67" s="1541"/>
      <c r="W67" s="1541"/>
      <c r="X67" s="1541"/>
      <c r="Y67" s="1541"/>
      <c r="Z67" s="1541"/>
      <c r="AA67" s="1541"/>
      <c r="AB67" s="1541"/>
      <c r="AC67" s="1541"/>
      <c r="AD67" s="1541"/>
      <c r="AE67" s="1541"/>
    </row>
    <row r="68" s="1164" customFormat="1" ht="14.4" spans="1:31">
      <c r="A68" s="1440" t="s">
        <v>1491</v>
      </c>
      <c r="B68" s="1441"/>
      <c r="C68" s="1442" t="s">
        <v>1530</v>
      </c>
      <c r="D68" s="1443"/>
      <c r="E68" s="1443"/>
      <c r="F68" s="1443"/>
      <c r="G68" s="1443"/>
      <c r="H68" s="1443"/>
      <c r="I68" s="1443"/>
      <c r="J68" s="1443"/>
      <c r="K68" s="1443"/>
      <c r="L68" s="1489"/>
      <c r="M68" s="1490"/>
      <c r="N68" s="1491"/>
      <c r="O68" s="1491"/>
      <c r="P68" s="1492"/>
      <c r="Q68" s="1419"/>
      <c r="R68" s="1541"/>
      <c r="S68" s="1541"/>
      <c r="T68" s="1541"/>
      <c r="U68" s="1541"/>
      <c r="V68" s="1541"/>
      <c r="W68" s="1541"/>
      <c r="X68" s="1541"/>
      <c r="Y68" s="1541"/>
      <c r="Z68" s="1541"/>
      <c r="AA68" s="1541"/>
      <c r="AB68" s="1541"/>
      <c r="AC68" s="1541"/>
      <c r="AD68" s="1541"/>
      <c r="AE68" s="1541"/>
    </row>
    <row r="69" s="1164" customFormat="1" ht="14.55" spans="1:31">
      <c r="A69" s="1440"/>
      <c r="B69" s="1441"/>
      <c r="C69" s="1444">
        <v>100</v>
      </c>
      <c r="D69" s="1445"/>
      <c r="E69" s="1445"/>
      <c r="F69" s="1445"/>
      <c r="G69" s="1445"/>
      <c r="H69" s="1445"/>
      <c r="I69" s="1445"/>
      <c r="J69" s="1445"/>
      <c r="K69" s="1445"/>
      <c r="L69" s="1445"/>
      <c r="M69" s="1493"/>
      <c r="N69" s="1491"/>
      <c r="O69" s="1491"/>
      <c r="P69" s="1419"/>
      <c r="Q69" s="1419"/>
      <c r="R69" s="1541"/>
      <c r="S69" s="1541"/>
      <c r="T69" s="1541"/>
      <c r="U69" s="1541"/>
      <c r="V69" s="1541"/>
      <c r="W69" s="1541"/>
      <c r="X69" s="1541"/>
      <c r="Y69" s="1541"/>
      <c r="Z69" s="1541"/>
      <c r="AA69" s="1541"/>
      <c r="AB69" s="1541"/>
      <c r="AC69" s="1541"/>
      <c r="AD69" s="1541"/>
      <c r="AE69" s="1541"/>
    </row>
    <row r="70" ht="14.4" spans="1:31">
      <c r="A70" s="1446" t="s">
        <v>1531</v>
      </c>
      <c r="B70" s="1447" t="s">
        <v>1494</v>
      </c>
      <c r="C70" s="1374"/>
      <c r="D70" s="1374"/>
      <c r="E70" s="1374"/>
      <c r="F70" s="1374"/>
      <c r="G70" s="1374"/>
      <c r="H70" s="1374"/>
      <c r="I70" s="1374"/>
      <c r="J70" s="1374"/>
      <c r="K70" s="1494"/>
      <c r="L70" s="1495"/>
      <c r="M70" s="1496"/>
      <c r="N70" s="1497"/>
      <c r="O70" s="1497"/>
      <c r="P70" s="1498"/>
      <c r="Q70" s="1419"/>
      <c r="R70" s="1292"/>
      <c r="S70" s="1292"/>
      <c r="T70" s="1292"/>
      <c r="U70" s="1292"/>
      <c r="V70" s="1292"/>
      <c r="W70" s="1292"/>
      <c r="X70" s="1292"/>
      <c r="Y70" s="1292"/>
      <c r="Z70" s="1292"/>
      <c r="AA70" s="1292"/>
      <c r="AB70" s="1292"/>
      <c r="AC70" s="1292"/>
      <c r="AD70" s="1292"/>
      <c r="AE70" s="1292"/>
    </row>
    <row r="71" ht="14.55" spans="1:31">
      <c r="A71" s="1448"/>
      <c r="B71" s="1449"/>
      <c r="C71" s="1450"/>
      <c r="D71" s="1450"/>
      <c r="E71" s="1450"/>
      <c r="F71" s="1450"/>
      <c r="G71" s="1450"/>
      <c r="H71" s="1450"/>
      <c r="I71" s="1450"/>
      <c r="J71" s="1450"/>
      <c r="K71" s="1450"/>
      <c r="L71" s="1450"/>
      <c r="M71" s="1499"/>
      <c r="N71" s="1500"/>
      <c r="O71" s="1500"/>
      <c r="P71" s="1498"/>
      <c r="Q71" s="1419"/>
      <c r="R71" s="1292"/>
      <c r="S71" s="1292"/>
      <c r="T71" s="1292"/>
      <c r="U71" s="1292"/>
      <c r="V71" s="1292"/>
      <c r="W71" s="1292"/>
      <c r="X71" s="1292"/>
      <c r="Y71" s="1292"/>
      <c r="Z71" s="1292"/>
      <c r="AA71" s="1292"/>
      <c r="AB71" s="1292"/>
      <c r="AC71" s="1292"/>
      <c r="AD71" s="1292"/>
      <c r="AE71" s="1292"/>
    </row>
    <row r="72" ht="29.55" spans="1:31">
      <c r="A72" s="1448"/>
      <c r="B72" s="1451" t="s">
        <v>1497</v>
      </c>
      <c r="C72" s="1452"/>
      <c r="D72" s="1452"/>
      <c r="E72" s="1452"/>
      <c r="F72" s="1452"/>
      <c r="G72" s="1452"/>
      <c r="H72" s="1452"/>
      <c r="I72" s="1452"/>
      <c r="J72" s="1452"/>
      <c r="K72" s="1501"/>
      <c r="L72" s="1502"/>
      <c r="M72" s="1503"/>
      <c r="N72" s="1497"/>
      <c r="O72" s="1497"/>
      <c r="P72" s="1498"/>
      <c r="Q72" s="1419"/>
      <c r="R72" s="1292"/>
      <c r="S72" s="1292"/>
      <c r="T72" s="1292"/>
      <c r="U72" s="1292"/>
      <c r="V72" s="1292"/>
      <c r="W72" s="1292"/>
      <c r="X72" s="1292"/>
      <c r="Y72" s="1292"/>
      <c r="Z72" s="1292"/>
      <c r="AA72" s="1292"/>
      <c r="AB72" s="1292"/>
      <c r="AC72" s="1292"/>
      <c r="AD72" s="1292"/>
      <c r="AE72" s="1292"/>
    </row>
    <row r="73" ht="14.55" spans="1:31">
      <c r="A73" s="1448"/>
      <c r="B73" s="1453"/>
      <c r="C73" s="1454"/>
      <c r="D73" s="1454"/>
      <c r="E73" s="1454"/>
      <c r="F73" s="1454"/>
      <c r="G73" s="1454"/>
      <c r="H73" s="1454"/>
      <c r="I73" s="1454"/>
      <c r="J73" s="1454"/>
      <c r="K73" s="1454"/>
      <c r="L73" s="1454"/>
      <c r="M73" s="1504"/>
      <c r="N73" s="1500"/>
      <c r="O73" s="1500"/>
      <c r="P73" s="1498"/>
      <c r="Q73" s="1419"/>
      <c r="R73" s="1292"/>
      <c r="S73" s="1292"/>
      <c r="T73" s="1292"/>
      <c r="U73" s="1292"/>
      <c r="V73" s="1292"/>
      <c r="W73" s="1292"/>
      <c r="X73" s="1292"/>
      <c r="Y73" s="1292"/>
      <c r="Z73" s="1292"/>
      <c r="AA73" s="1292"/>
      <c r="AB73" s="1292"/>
      <c r="AC73" s="1292"/>
      <c r="AD73" s="1292"/>
      <c r="AE73" s="1292"/>
    </row>
    <row r="74" ht="15.15" spans="1:31">
      <c r="A74" s="1448"/>
      <c r="B74" s="1455" t="s">
        <v>1498</v>
      </c>
      <c r="C74" s="1456" t="str">
        <f>C75&amp;"（含）"&amp;"-"&amp;D75</f>
        <v>（含）-</v>
      </c>
      <c r="D74" s="1456" t="str">
        <f t="shared" ref="D74:L74" si="20">D75&amp;"（含）"&amp;"-"&amp;E75</f>
        <v>（含）-</v>
      </c>
      <c r="E74" s="1456" t="str">
        <f t="shared" si="20"/>
        <v>（含）-</v>
      </c>
      <c r="F74" s="1456" t="str">
        <f t="shared" si="20"/>
        <v>（含）-</v>
      </c>
      <c r="G74" s="1456" t="str">
        <f t="shared" si="20"/>
        <v>（含）-</v>
      </c>
      <c r="H74" s="1456" t="str">
        <f t="shared" si="20"/>
        <v>（含）-</v>
      </c>
      <c r="I74" s="1456" t="str">
        <f t="shared" si="20"/>
        <v>（含）-</v>
      </c>
      <c r="J74" s="1456" t="str">
        <f t="shared" si="20"/>
        <v>（含）-</v>
      </c>
      <c r="K74" s="1456" t="str">
        <f t="shared" si="20"/>
        <v>（含）-</v>
      </c>
      <c r="L74" s="1456" t="str">
        <f t="shared" si="20"/>
        <v>（含）-</v>
      </c>
      <c r="M74" s="1238" t="str">
        <f>M75&amp;"（含）"&amp;"-"&amp;P75</f>
        <v>（含）-</v>
      </c>
      <c r="N74" s="1500"/>
      <c r="O74" s="1500"/>
      <c r="P74" s="1498"/>
      <c r="Q74" s="1419"/>
      <c r="R74" s="1292"/>
      <c r="S74" s="1292"/>
      <c r="T74" s="1292"/>
      <c r="U74" s="1292"/>
      <c r="V74" s="1292"/>
      <c r="W74" s="1292"/>
      <c r="X74" s="1292"/>
      <c r="Y74" s="1292"/>
      <c r="Z74" s="1292"/>
      <c r="AA74" s="1292"/>
      <c r="AB74" s="1292"/>
      <c r="AC74" s="1292"/>
      <c r="AD74" s="1292"/>
      <c r="AE74" s="1292"/>
    </row>
    <row r="75" spans="1:31">
      <c r="A75" s="1448"/>
      <c r="B75" s="1457"/>
      <c r="C75" s="1223"/>
      <c r="D75" s="1223"/>
      <c r="E75" s="1223"/>
      <c r="F75" s="1223"/>
      <c r="G75" s="1223"/>
      <c r="H75" s="1223"/>
      <c r="I75" s="1223"/>
      <c r="J75" s="1223"/>
      <c r="K75" s="1505"/>
      <c r="L75" s="1506"/>
      <c r="M75" s="1507"/>
      <c r="N75" s="1497"/>
      <c r="O75" s="1497"/>
      <c r="P75" s="1498"/>
      <c r="Q75" s="1419"/>
      <c r="R75" s="1292"/>
      <c r="S75" s="1292"/>
      <c r="T75" s="1292"/>
      <c r="U75" s="1292"/>
      <c r="V75" s="1292"/>
      <c r="W75" s="1292"/>
      <c r="X75" s="1292"/>
      <c r="Y75" s="1292"/>
      <c r="Z75" s="1292"/>
      <c r="AA75" s="1292"/>
      <c r="AB75" s="1292"/>
      <c r="AC75" s="1292"/>
      <c r="AD75" s="1292"/>
      <c r="AE75" s="1292"/>
    </row>
    <row r="76" ht="14.55" spans="1:31">
      <c r="A76" s="1448"/>
      <c r="B76" s="1449"/>
      <c r="C76" s="1454">
        <v>100</v>
      </c>
      <c r="D76" s="1454">
        <f>IF($B$41="单位面积地价",C76+$K11,C76-$K11)</f>
        <v>100</v>
      </c>
      <c r="E76" s="1454">
        <f t="shared" ref="E76:M76" si="21">IF($B$41="单位面积地价",D76+$K11,D76-$K11)</f>
        <v>100</v>
      </c>
      <c r="F76" s="1454">
        <f t="shared" si="21"/>
        <v>100</v>
      </c>
      <c r="G76" s="1454">
        <f t="shared" si="21"/>
        <v>100</v>
      </c>
      <c r="H76" s="1454">
        <f t="shared" si="21"/>
        <v>100</v>
      </c>
      <c r="I76" s="1454">
        <f t="shared" si="21"/>
        <v>100</v>
      </c>
      <c r="J76" s="1454">
        <f t="shared" si="21"/>
        <v>100</v>
      </c>
      <c r="K76" s="1454">
        <f t="shared" si="21"/>
        <v>100</v>
      </c>
      <c r="L76" s="1454">
        <f t="shared" si="21"/>
        <v>100</v>
      </c>
      <c r="M76" s="1454">
        <f t="shared" si="21"/>
        <v>100</v>
      </c>
      <c r="N76" s="1500"/>
      <c r="O76" s="1500"/>
      <c r="P76" s="1498"/>
      <c r="Q76" s="1419"/>
      <c r="R76" s="1292"/>
      <c r="S76" s="1292"/>
      <c r="T76" s="1292"/>
      <c r="U76" s="1292"/>
      <c r="V76" s="1292"/>
      <c r="W76" s="1292"/>
      <c r="X76" s="1292"/>
      <c r="Y76" s="1292"/>
      <c r="Z76" s="1292"/>
      <c r="AA76" s="1292"/>
      <c r="AB76" s="1292"/>
      <c r="AC76" s="1292"/>
      <c r="AD76" s="1292"/>
      <c r="AE76" s="1292"/>
    </row>
    <row r="77" s="1166" customFormat="1" ht="14.55" spans="1:31">
      <c r="A77" s="1458"/>
      <c r="B77" s="1451">
        <f>B12</f>
        <v>111</v>
      </c>
      <c r="C77" s="1459"/>
      <c r="D77" s="1459"/>
      <c r="E77" s="1459"/>
      <c r="F77" s="1459"/>
      <c r="G77" s="1459"/>
      <c r="H77" s="1460"/>
      <c r="I77" s="1460"/>
      <c r="J77" s="1460"/>
      <c r="K77" s="1460"/>
      <c r="L77" s="1508"/>
      <c r="M77" s="1509"/>
      <c r="N77" s="1510"/>
      <c r="O77" s="1510"/>
      <c r="P77" s="1511"/>
      <c r="Q77" s="1542"/>
      <c r="R77" s="1543"/>
      <c r="S77" s="1543"/>
      <c r="T77" s="1543"/>
      <c r="U77" s="1543"/>
      <c r="V77" s="1543"/>
      <c r="W77" s="1543"/>
      <c r="X77" s="1543"/>
      <c r="Y77" s="1543"/>
      <c r="Z77" s="1543"/>
      <c r="AA77" s="1543"/>
      <c r="AB77" s="1543"/>
      <c r="AC77" s="1543"/>
      <c r="AD77" s="1543"/>
      <c r="AE77" s="1543"/>
    </row>
    <row r="78" s="1166" customFormat="1" ht="14.55" spans="1:31">
      <c r="A78" s="1458"/>
      <c r="B78" s="1453"/>
      <c r="C78" s="1461"/>
      <c r="D78" s="1450"/>
      <c r="E78" s="1450"/>
      <c r="F78" s="1450"/>
      <c r="G78" s="1450"/>
      <c r="H78" s="1450"/>
      <c r="I78" s="1450"/>
      <c r="J78" s="1450"/>
      <c r="K78" s="1450"/>
      <c r="L78" s="1450"/>
      <c r="M78" s="1499"/>
      <c r="N78" s="1500"/>
      <c r="O78" s="1500"/>
      <c r="P78" s="1511"/>
      <c r="Q78" s="1542"/>
      <c r="R78" s="1543"/>
      <c r="S78" s="1543"/>
      <c r="T78" s="1543"/>
      <c r="U78" s="1543"/>
      <c r="V78" s="1543"/>
      <c r="W78" s="1543"/>
      <c r="X78" s="1543"/>
      <c r="Y78" s="1543"/>
      <c r="Z78" s="1543"/>
      <c r="AA78" s="1543"/>
      <c r="AB78" s="1543"/>
      <c r="AC78" s="1543"/>
      <c r="AD78" s="1543"/>
      <c r="AE78" s="1543"/>
    </row>
    <row r="79" s="1166" customFormat="1" ht="14.55" spans="1:31">
      <c r="A79" s="1458"/>
      <c r="B79" s="1451">
        <f>B13</f>
        <v>111</v>
      </c>
      <c r="C79" s="1459"/>
      <c r="D79" s="1459"/>
      <c r="E79" s="1459"/>
      <c r="F79" s="1459"/>
      <c r="G79" s="1459"/>
      <c r="H79" s="1460"/>
      <c r="I79" s="1460"/>
      <c r="J79" s="1460"/>
      <c r="K79" s="1460"/>
      <c r="L79" s="1508"/>
      <c r="M79" s="1509"/>
      <c r="N79" s="1510"/>
      <c r="O79" s="1510"/>
      <c r="P79" s="1371"/>
      <c r="Q79" s="1544"/>
      <c r="R79" s="1543"/>
      <c r="S79" s="1543"/>
      <c r="T79" s="1543"/>
      <c r="U79" s="1543"/>
      <c r="V79" s="1543"/>
      <c r="W79" s="1543"/>
      <c r="X79" s="1543"/>
      <c r="Y79" s="1543"/>
      <c r="Z79" s="1543"/>
      <c r="AA79" s="1543"/>
      <c r="AB79" s="1543"/>
      <c r="AC79" s="1543"/>
      <c r="AD79" s="1543"/>
      <c r="AE79" s="1543"/>
    </row>
    <row r="80" s="1166" customFormat="1" ht="14.55" spans="1:31">
      <c r="A80" s="1458"/>
      <c r="B80" s="1453"/>
      <c r="C80" s="1461"/>
      <c r="D80" s="1461"/>
      <c r="E80" s="1461"/>
      <c r="F80" s="1461"/>
      <c r="G80" s="1461"/>
      <c r="H80" s="1462"/>
      <c r="I80" s="1462"/>
      <c r="J80" s="1462"/>
      <c r="K80" s="1462"/>
      <c r="L80" s="1462"/>
      <c r="M80" s="1512"/>
      <c r="N80" s="1510"/>
      <c r="O80" s="1510"/>
      <c r="P80" s="1511"/>
      <c r="Q80" s="1542"/>
      <c r="R80" s="1543"/>
      <c r="S80" s="1543"/>
      <c r="T80" s="1543"/>
      <c r="U80" s="1543"/>
      <c r="V80" s="1543"/>
      <c r="W80" s="1543"/>
      <c r="X80" s="1543"/>
      <c r="Y80" s="1543"/>
      <c r="Z80" s="1543"/>
      <c r="AA80" s="1543"/>
      <c r="AB80" s="1543"/>
      <c r="AC80" s="1543"/>
      <c r="AD80" s="1543"/>
      <c r="AE80" s="1543"/>
    </row>
    <row r="81" s="1166" customFormat="1" ht="14.55" spans="1:31">
      <c r="A81" s="1458"/>
      <c r="B81" s="1455">
        <f>B14</f>
        <v>111</v>
      </c>
      <c r="C81" s="1443"/>
      <c r="D81" s="1443"/>
      <c r="E81" s="1443"/>
      <c r="F81" s="1443"/>
      <c r="G81" s="1443"/>
      <c r="H81" s="1463"/>
      <c r="I81" s="1463"/>
      <c r="J81" s="1463"/>
      <c r="K81" s="1463"/>
      <c r="L81" s="1513"/>
      <c r="M81" s="1514"/>
      <c r="N81" s="1510"/>
      <c r="O81" s="1510"/>
      <c r="P81" s="1515"/>
      <c r="Q81" s="1542"/>
      <c r="R81" s="1543"/>
      <c r="S81" s="1543"/>
      <c r="T81" s="1543"/>
      <c r="U81" s="1543"/>
      <c r="V81" s="1543"/>
      <c r="W81" s="1543"/>
      <c r="X81" s="1543"/>
      <c r="Y81" s="1543"/>
      <c r="Z81" s="1543"/>
      <c r="AA81" s="1543"/>
      <c r="AB81" s="1543"/>
      <c r="AC81" s="1543"/>
      <c r="AD81" s="1543"/>
      <c r="AE81" s="1543"/>
    </row>
    <row r="82" s="1166" customFormat="1" ht="14.55" spans="1:31">
      <c r="A82" s="1464"/>
      <c r="B82" s="1465"/>
      <c r="C82" s="1466"/>
      <c r="D82" s="1466"/>
      <c r="E82" s="1466"/>
      <c r="F82" s="1466"/>
      <c r="G82" s="1466"/>
      <c r="H82" s="1467"/>
      <c r="I82" s="1467"/>
      <c r="J82" s="1467"/>
      <c r="K82" s="1467"/>
      <c r="L82" s="1467"/>
      <c r="M82" s="1516"/>
      <c r="N82" s="1510"/>
      <c r="O82" s="1510"/>
      <c r="P82" s="1511"/>
      <c r="Q82" s="1542"/>
      <c r="R82" s="1543"/>
      <c r="S82" s="1543"/>
      <c r="T82" s="1543"/>
      <c r="U82" s="1543"/>
      <c r="V82" s="1543"/>
      <c r="W82" s="1543"/>
      <c r="X82" s="1543"/>
      <c r="Y82" s="1543"/>
      <c r="Z82" s="1543"/>
      <c r="AA82" s="1543"/>
      <c r="AB82" s="1543"/>
      <c r="AC82" s="1543"/>
      <c r="AD82" s="1543"/>
      <c r="AE82" s="1543"/>
    </row>
    <row r="83" ht="14.4" spans="1:31">
      <c r="A83" s="1446" t="s">
        <v>1499</v>
      </c>
      <c r="B83" s="1447" t="s">
        <v>1611</v>
      </c>
      <c r="C83" s="1468" t="s">
        <v>1532</v>
      </c>
      <c r="D83" s="1468" t="s">
        <v>1533</v>
      </c>
      <c r="E83" s="1468" t="s">
        <v>1534</v>
      </c>
      <c r="F83" s="1468" t="s">
        <v>1535</v>
      </c>
      <c r="G83" s="1468" t="s">
        <v>1536</v>
      </c>
      <c r="H83" s="1469"/>
      <c r="I83" s="1469"/>
      <c r="J83" s="1469"/>
      <c r="K83" s="1517"/>
      <c r="L83" s="1518"/>
      <c r="M83" s="1519"/>
      <c r="N83" s="1497"/>
      <c r="O83" s="1497"/>
      <c r="P83" s="1520"/>
      <c r="Q83" s="1419"/>
      <c r="R83" s="1292"/>
      <c r="S83" s="1292"/>
      <c r="T83" s="1292"/>
      <c r="U83" s="1292"/>
      <c r="V83" s="1292"/>
      <c r="W83" s="1292"/>
      <c r="X83" s="1292"/>
      <c r="Y83" s="1292"/>
      <c r="Z83" s="1292"/>
      <c r="AA83" s="1292"/>
      <c r="AB83" s="1292"/>
      <c r="AC83" s="1292"/>
      <c r="AD83" s="1292"/>
      <c r="AE83" s="1292"/>
    </row>
    <row r="84" ht="14.55" spans="1:31">
      <c r="A84" s="1448"/>
      <c r="B84" s="1453"/>
      <c r="C84" s="1454">
        <v>100</v>
      </c>
      <c r="D84" s="1454">
        <f>C84-$K15</f>
        <v>100</v>
      </c>
      <c r="E84" s="1454">
        <f>D84-$K15</f>
        <v>100</v>
      </c>
      <c r="F84" s="1454">
        <f>E84-$K15</f>
        <v>100</v>
      </c>
      <c r="G84" s="1454">
        <f>F84-$K15</f>
        <v>100</v>
      </c>
      <c r="H84" s="1454"/>
      <c r="I84" s="1454"/>
      <c r="J84" s="1454"/>
      <c r="K84" s="1454"/>
      <c r="L84" s="1454"/>
      <c r="M84" s="1504"/>
      <c r="N84" s="1500"/>
      <c r="O84" s="1500"/>
      <c r="P84" s="1498"/>
      <c r="Q84" s="1419"/>
      <c r="R84" s="1292"/>
      <c r="S84" s="1292"/>
      <c r="T84" s="1292"/>
      <c r="U84" s="1292"/>
      <c r="V84" s="1292"/>
      <c r="W84" s="1292"/>
      <c r="X84" s="1292"/>
      <c r="Y84" s="1292"/>
      <c r="Z84" s="1292"/>
      <c r="AA84" s="1292"/>
      <c r="AB84" s="1292"/>
      <c r="AC84" s="1292"/>
      <c r="AD84" s="1292"/>
      <c r="AE84" s="1292"/>
    </row>
    <row r="85" ht="15.15" spans="1:31">
      <c r="A85" s="1448"/>
      <c r="B85" s="1451" t="s">
        <v>1502</v>
      </c>
      <c r="C85" s="1470" t="s">
        <v>1532</v>
      </c>
      <c r="D85" s="1470" t="s">
        <v>1533</v>
      </c>
      <c r="E85" s="1470" t="s">
        <v>1534</v>
      </c>
      <c r="F85" s="1470" t="s">
        <v>1535</v>
      </c>
      <c r="G85" s="1470" t="s">
        <v>1536</v>
      </c>
      <c r="H85" s="1452"/>
      <c r="I85" s="1452"/>
      <c r="J85" s="1452"/>
      <c r="K85" s="1501"/>
      <c r="L85" s="1502"/>
      <c r="M85" s="1503"/>
      <c r="N85" s="1497"/>
      <c r="O85" s="1497"/>
      <c r="P85" s="1498"/>
      <c r="Q85" s="1419"/>
      <c r="R85" s="1292"/>
      <c r="S85" s="1292"/>
      <c r="T85" s="1292"/>
      <c r="U85" s="1292"/>
      <c r="V85" s="1292"/>
      <c r="W85" s="1292"/>
      <c r="X85" s="1292"/>
      <c r="Y85" s="1292"/>
      <c r="Z85" s="1292"/>
      <c r="AA85" s="1292"/>
      <c r="AB85" s="1292"/>
      <c r="AC85" s="1292"/>
      <c r="AD85" s="1292"/>
      <c r="AE85" s="1292"/>
    </row>
    <row r="86" ht="14.55" spans="1:31">
      <c r="A86" s="1448"/>
      <c r="B86" s="1453"/>
      <c r="C86" s="1454">
        <v>100</v>
      </c>
      <c r="D86" s="1454">
        <f>C86-$K17</f>
        <v>100</v>
      </c>
      <c r="E86" s="1454">
        <f>D86-$K17</f>
        <v>100</v>
      </c>
      <c r="F86" s="1454">
        <f>E86-$K17</f>
        <v>100</v>
      </c>
      <c r="G86" s="1454">
        <f>F86-$K17</f>
        <v>100</v>
      </c>
      <c r="H86" s="1454"/>
      <c r="I86" s="1454"/>
      <c r="J86" s="1454"/>
      <c r="K86" s="1454"/>
      <c r="L86" s="1454"/>
      <c r="M86" s="1504"/>
      <c r="N86" s="1500"/>
      <c r="O86" s="1500"/>
      <c r="P86" s="1498"/>
      <c r="Q86" s="1419"/>
      <c r="R86" s="1292"/>
      <c r="S86" s="1292"/>
      <c r="T86" s="1292"/>
      <c r="U86" s="1292"/>
      <c r="V86" s="1292"/>
      <c r="W86" s="1292"/>
      <c r="X86" s="1292"/>
      <c r="Y86" s="1292"/>
      <c r="Z86" s="1292"/>
      <c r="AA86" s="1292"/>
      <c r="AB86" s="1292"/>
      <c r="AC86" s="1292"/>
      <c r="AD86" s="1292"/>
      <c r="AE86" s="1292"/>
    </row>
    <row r="87" s="1164" customFormat="1" ht="29.55" spans="1:31">
      <c r="A87" s="1471"/>
      <c r="B87" s="1451" t="s">
        <v>1635</v>
      </c>
      <c r="C87" s="1468" t="s">
        <v>1532</v>
      </c>
      <c r="D87" s="1468" t="s">
        <v>1533</v>
      </c>
      <c r="E87" s="1468" t="s">
        <v>1534</v>
      </c>
      <c r="F87" s="1468" t="s">
        <v>1535</v>
      </c>
      <c r="G87" s="1468" t="s">
        <v>1536</v>
      </c>
      <c r="H87" s="1470"/>
      <c r="I87" s="1470"/>
      <c r="J87" s="1470"/>
      <c r="K87" s="1470"/>
      <c r="L87" s="1521"/>
      <c r="M87" s="1522"/>
      <c r="N87" s="1491"/>
      <c r="O87" s="1491"/>
      <c r="P87" s="1498"/>
      <c r="Q87" s="1419"/>
      <c r="R87" s="1541"/>
      <c r="S87" s="1541"/>
      <c r="T87" s="1541"/>
      <c r="U87" s="1541"/>
      <c r="V87" s="1541"/>
      <c r="W87" s="1541"/>
      <c r="X87" s="1541"/>
      <c r="Y87" s="1541"/>
      <c r="Z87" s="1541"/>
      <c r="AA87" s="1541"/>
      <c r="AB87" s="1541"/>
      <c r="AC87" s="1541"/>
      <c r="AD87" s="1541"/>
      <c r="AE87" s="1541"/>
    </row>
    <row r="88" s="1164" customFormat="1" ht="14.55" spans="1:31">
      <c r="A88" s="1471"/>
      <c r="B88" s="1453"/>
      <c r="C88" s="1472">
        <v>100</v>
      </c>
      <c r="D88" s="1454">
        <f>C88-$K19</f>
        <v>100</v>
      </c>
      <c r="E88" s="1454">
        <f>D88-$K19</f>
        <v>100</v>
      </c>
      <c r="F88" s="1454">
        <f>E88-$K19</f>
        <v>100</v>
      </c>
      <c r="G88" s="1454">
        <f>F88-$K19</f>
        <v>100</v>
      </c>
      <c r="H88" s="1454"/>
      <c r="I88" s="1454"/>
      <c r="J88" s="1454"/>
      <c r="K88" s="1454"/>
      <c r="L88" s="1454"/>
      <c r="M88" s="1504"/>
      <c r="N88" s="1500"/>
      <c r="O88" s="1500"/>
      <c r="P88" s="1498"/>
      <c r="Q88" s="1419"/>
      <c r="R88" s="1541"/>
      <c r="S88" s="1541"/>
      <c r="T88" s="1541"/>
      <c r="U88" s="1541"/>
      <c r="V88" s="1541"/>
      <c r="W88" s="1541"/>
      <c r="X88" s="1541"/>
      <c r="Y88" s="1541"/>
      <c r="Z88" s="1541"/>
      <c r="AA88" s="1541"/>
      <c r="AB88" s="1541"/>
      <c r="AC88" s="1541"/>
      <c r="AD88" s="1541"/>
      <c r="AE88" s="1541"/>
    </row>
    <row r="89" s="1164" customFormat="1" ht="29.55" spans="1:31">
      <c r="A89" s="1471"/>
      <c r="B89" s="1451" t="s">
        <v>1636</v>
      </c>
      <c r="C89" s="1468" t="s">
        <v>1532</v>
      </c>
      <c r="D89" s="1468" t="s">
        <v>1533</v>
      </c>
      <c r="E89" s="1468" t="s">
        <v>1534</v>
      </c>
      <c r="F89" s="1468" t="s">
        <v>1535</v>
      </c>
      <c r="G89" s="1468" t="s">
        <v>1536</v>
      </c>
      <c r="H89" s="1470"/>
      <c r="I89" s="1470"/>
      <c r="J89" s="1470"/>
      <c r="K89" s="1470"/>
      <c r="L89" s="1470"/>
      <c r="M89" s="1522"/>
      <c r="N89" s="1491"/>
      <c r="O89" s="1491"/>
      <c r="P89" s="1498"/>
      <c r="Q89" s="1419"/>
      <c r="R89" s="1541"/>
      <c r="S89" s="1541"/>
      <c r="T89" s="1541"/>
      <c r="U89" s="1541"/>
      <c r="V89" s="1541"/>
      <c r="W89" s="1541"/>
      <c r="X89" s="1541"/>
      <c r="Y89" s="1541"/>
      <c r="Z89" s="1541"/>
      <c r="AA89" s="1541"/>
      <c r="AB89" s="1541"/>
      <c r="AC89" s="1541"/>
      <c r="AD89" s="1541"/>
      <c r="AE89" s="1541"/>
    </row>
    <row r="90" s="1164" customFormat="1" ht="14.55" spans="1:31">
      <c r="A90" s="1471"/>
      <c r="B90" s="1453"/>
      <c r="C90" s="1454">
        <v>100</v>
      </c>
      <c r="D90" s="1454">
        <f>C90-$K21</f>
        <v>100</v>
      </c>
      <c r="E90" s="1454">
        <f>D90-$K21</f>
        <v>100</v>
      </c>
      <c r="F90" s="1454">
        <f>E90-$K21</f>
        <v>100</v>
      </c>
      <c r="G90" s="1454">
        <f>F90-$K21</f>
        <v>100</v>
      </c>
      <c r="H90" s="1454"/>
      <c r="I90" s="1454"/>
      <c r="J90" s="1454"/>
      <c r="K90" s="1454"/>
      <c r="L90" s="1454"/>
      <c r="M90" s="1504"/>
      <c r="N90" s="1500"/>
      <c r="O90" s="1500"/>
      <c r="P90" s="1498"/>
      <c r="Q90" s="1419"/>
      <c r="R90" s="1541"/>
      <c r="S90" s="1541"/>
      <c r="T90" s="1541"/>
      <c r="U90" s="1541"/>
      <c r="V90" s="1541"/>
      <c r="W90" s="1541"/>
      <c r="X90" s="1541"/>
      <c r="Y90" s="1541"/>
      <c r="Z90" s="1541"/>
      <c r="AA90" s="1541"/>
      <c r="AB90" s="1541"/>
      <c r="AC90" s="1541"/>
      <c r="AD90" s="1541"/>
      <c r="AE90" s="1541"/>
    </row>
    <row r="91" s="1166" customFormat="1" ht="15.15" spans="1:31">
      <c r="A91" s="1458"/>
      <c r="B91" s="1451" t="s">
        <v>1503</v>
      </c>
      <c r="C91" s="1468" t="s">
        <v>1532</v>
      </c>
      <c r="D91" s="1468" t="s">
        <v>1533</v>
      </c>
      <c r="E91" s="1468" t="s">
        <v>1534</v>
      </c>
      <c r="F91" s="1468" t="s">
        <v>1535</v>
      </c>
      <c r="G91" s="1468" t="s">
        <v>1536</v>
      </c>
      <c r="H91" s="1473"/>
      <c r="I91" s="1473"/>
      <c r="J91" s="1473"/>
      <c r="K91" s="1473"/>
      <c r="L91" s="1523"/>
      <c r="M91" s="1524"/>
      <c r="N91" s="1510"/>
      <c r="O91" s="1510"/>
      <c r="P91" s="1511"/>
      <c r="Q91" s="1542"/>
      <c r="R91" s="1543"/>
      <c r="S91" s="1543"/>
      <c r="T91" s="1543"/>
      <c r="U91" s="1543"/>
      <c r="V91" s="1543"/>
      <c r="W91" s="1543"/>
      <c r="X91" s="1543"/>
      <c r="Y91" s="1543"/>
      <c r="Z91" s="1543"/>
      <c r="AA91" s="1543"/>
      <c r="AB91" s="1543"/>
      <c r="AC91" s="1543"/>
      <c r="AD91" s="1543"/>
      <c r="AE91" s="1543"/>
    </row>
    <row r="92" s="1166" customFormat="1" ht="14.55" spans="1:31">
      <c r="A92" s="1458"/>
      <c r="B92" s="1453"/>
      <c r="C92" s="1454">
        <v>100</v>
      </c>
      <c r="D92" s="1454">
        <f>C92-$K23</f>
        <v>100</v>
      </c>
      <c r="E92" s="1454">
        <f>D92-$K23</f>
        <v>100</v>
      </c>
      <c r="F92" s="1454">
        <f>E92-$K23</f>
        <v>100</v>
      </c>
      <c r="G92" s="1454">
        <f>F92-$K23</f>
        <v>100</v>
      </c>
      <c r="H92" s="1474"/>
      <c r="I92" s="1474"/>
      <c r="J92" s="1474"/>
      <c r="K92" s="1474"/>
      <c r="L92" s="1474"/>
      <c r="M92" s="1525"/>
      <c r="N92" s="1510"/>
      <c r="O92" s="1510"/>
      <c r="P92" s="1511"/>
      <c r="Q92" s="1542"/>
      <c r="R92" s="1543"/>
      <c r="S92" s="1543"/>
      <c r="T92" s="1543"/>
      <c r="U92" s="1543"/>
      <c r="V92" s="1543"/>
      <c r="W92" s="1543"/>
      <c r="X92" s="1543"/>
      <c r="Y92" s="1543"/>
      <c r="Z92" s="1543"/>
      <c r="AA92" s="1543"/>
      <c r="AB92" s="1543"/>
      <c r="AC92" s="1543"/>
      <c r="AD92" s="1543"/>
      <c r="AE92" s="1543"/>
    </row>
    <row r="93" s="1166" customFormat="1" ht="15.15" spans="1:31">
      <c r="A93" s="1458"/>
      <c r="B93" s="1455" t="s">
        <v>1504</v>
      </c>
      <c r="C93" s="1475" t="s">
        <v>1537</v>
      </c>
      <c r="D93" s="1475" t="s">
        <v>1538</v>
      </c>
      <c r="E93" s="1475" t="s">
        <v>1539</v>
      </c>
      <c r="F93" s="1475" t="s">
        <v>1540</v>
      </c>
      <c r="G93" s="1475" t="s">
        <v>1541</v>
      </c>
      <c r="H93" s="1473"/>
      <c r="I93" s="1473"/>
      <c r="J93" s="1473"/>
      <c r="K93" s="1473"/>
      <c r="L93" s="1473"/>
      <c r="M93" s="1524"/>
      <c r="N93" s="1510"/>
      <c r="O93" s="1510"/>
      <c r="P93" s="1511"/>
      <c r="Q93" s="1542"/>
      <c r="R93" s="1543"/>
      <c r="S93" s="1543"/>
      <c r="T93" s="1543"/>
      <c r="U93" s="1543"/>
      <c r="V93" s="1543"/>
      <c r="W93" s="1543"/>
      <c r="X93" s="1543"/>
      <c r="Y93" s="1543"/>
      <c r="Z93" s="1543"/>
      <c r="AA93" s="1543"/>
      <c r="AB93" s="1543"/>
      <c r="AC93" s="1543"/>
      <c r="AD93" s="1543"/>
      <c r="AE93" s="1543"/>
    </row>
    <row r="94" s="1166" customFormat="1" ht="14.55" spans="1:31">
      <c r="A94" s="1458"/>
      <c r="B94" s="1455"/>
      <c r="C94" s="1454">
        <v>100</v>
      </c>
      <c r="D94" s="1454">
        <f>C94-$K25</f>
        <v>100</v>
      </c>
      <c r="E94" s="1454">
        <f>D94-$K25</f>
        <v>100</v>
      </c>
      <c r="F94" s="1454">
        <f>E94-$K25</f>
        <v>100</v>
      </c>
      <c r="G94" s="1454">
        <f>F94-$K25</f>
        <v>100</v>
      </c>
      <c r="H94" s="1457"/>
      <c r="I94" s="1457"/>
      <c r="J94" s="1457"/>
      <c r="K94" s="1457"/>
      <c r="L94" s="1457"/>
      <c r="M94" s="1526"/>
      <c r="N94" s="1510"/>
      <c r="O94" s="1510"/>
      <c r="P94" s="1511"/>
      <c r="Q94" s="1542"/>
      <c r="R94" s="1543"/>
      <c r="S94" s="1543"/>
      <c r="T94" s="1543"/>
      <c r="U94" s="1543"/>
      <c r="V94" s="1543"/>
      <c r="W94" s="1543"/>
      <c r="X94" s="1543"/>
      <c r="Y94" s="1543"/>
      <c r="Z94" s="1543"/>
      <c r="AA94" s="1543"/>
      <c r="AB94" s="1543"/>
      <c r="AC94" s="1543"/>
      <c r="AD94" s="1543"/>
      <c r="AE94" s="1543"/>
    </row>
    <row r="95" ht="15.15" spans="1:31">
      <c r="A95" s="1448"/>
      <c r="B95" s="1451" t="str">
        <f>B27</f>
        <v>临街状况</v>
      </c>
      <c r="C95" s="1452" t="s">
        <v>1671</v>
      </c>
      <c r="D95" s="1452" t="s">
        <v>1672</v>
      </c>
      <c r="E95" s="1452" t="s">
        <v>1673</v>
      </c>
      <c r="F95" s="1452" t="s">
        <v>1674</v>
      </c>
      <c r="G95" s="1452"/>
      <c r="H95" s="1452"/>
      <c r="I95" s="1452"/>
      <c r="J95" s="1452"/>
      <c r="K95" s="1501"/>
      <c r="L95" s="1502"/>
      <c r="M95" s="1503"/>
      <c r="N95" s="1497"/>
      <c r="O95" s="1497"/>
      <c r="P95" s="1498"/>
      <c r="Q95" s="1419"/>
      <c r="R95" s="1292"/>
      <c r="S95" s="1292"/>
      <c r="T95" s="1292"/>
      <c r="U95" s="1292"/>
      <c r="V95" s="1292"/>
      <c r="W95" s="1292"/>
      <c r="X95" s="1292"/>
      <c r="Y95" s="1292"/>
      <c r="Z95" s="1292"/>
      <c r="AA95" s="1292"/>
      <c r="AB95" s="1292"/>
      <c r="AC95" s="1292"/>
      <c r="AD95" s="1292"/>
      <c r="AE95" s="1292"/>
    </row>
    <row r="96" ht="14.55" spans="1:31">
      <c r="A96" s="1448"/>
      <c r="B96" s="1453"/>
      <c r="C96" s="1454">
        <v>100</v>
      </c>
      <c r="D96" s="1454">
        <f t="shared" ref="D96:M96" si="22">C96-$K27</f>
        <v>100</v>
      </c>
      <c r="E96" s="1454">
        <f t="shared" si="22"/>
        <v>100</v>
      </c>
      <c r="F96" s="1454">
        <f t="shared" si="22"/>
        <v>100</v>
      </c>
      <c r="G96" s="1454">
        <f t="shared" si="22"/>
        <v>100</v>
      </c>
      <c r="H96" s="1454">
        <f t="shared" si="22"/>
        <v>100</v>
      </c>
      <c r="I96" s="1454">
        <f t="shared" si="22"/>
        <v>100</v>
      </c>
      <c r="J96" s="1454">
        <f t="shared" si="22"/>
        <v>100</v>
      </c>
      <c r="K96" s="1454">
        <f t="shared" si="22"/>
        <v>100</v>
      </c>
      <c r="L96" s="1454">
        <f t="shared" si="22"/>
        <v>100</v>
      </c>
      <c r="M96" s="1454">
        <f t="shared" si="22"/>
        <v>100</v>
      </c>
      <c r="N96" s="1500"/>
      <c r="O96" s="1500"/>
      <c r="P96" s="1498"/>
      <c r="Q96" s="1419"/>
      <c r="R96" s="1292"/>
      <c r="S96" s="1292"/>
      <c r="T96" s="1292"/>
      <c r="U96" s="1292"/>
      <c r="V96" s="1292"/>
      <c r="W96" s="1292"/>
      <c r="X96" s="1292"/>
      <c r="Y96" s="1292"/>
      <c r="Z96" s="1292"/>
      <c r="AA96" s="1292"/>
      <c r="AB96" s="1292"/>
      <c r="AC96" s="1292"/>
      <c r="AD96" s="1292"/>
      <c r="AE96" s="1292"/>
    </row>
    <row r="97" ht="29.55" spans="1:31">
      <c r="A97" s="1448"/>
      <c r="B97" s="1451" t="s">
        <v>1586</v>
      </c>
      <c r="C97" s="1459"/>
      <c r="D97" s="1459"/>
      <c r="E97" s="1459"/>
      <c r="F97" s="1459"/>
      <c r="G97" s="1459"/>
      <c r="H97" s="1476"/>
      <c r="I97" s="1476"/>
      <c r="J97" s="1476"/>
      <c r="K97" s="1527"/>
      <c r="L97" s="1528"/>
      <c r="M97" s="1529"/>
      <c r="N97" s="1497"/>
      <c r="O97" s="1497"/>
      <c r="P97" s="1498"/>
      <c r="Q97" s="1419"/>
      <c r="R97" s="1292"/>
      <c r="S97" s="1292"/>
      <c r="T97" s="1292"/>
      <c r="U97" s="1292"/>
      <c r="V97" s="1292"/>
      <c r="W97" s="1292"/>
      <c r="X97" s="1292"/>
      <c r="Y97" s="1292"/>
      <c r="Z97" s="1292"/>
      <c r="AA97" s="1292"/>
      <c r="AB97" s="1292"/>
      <c r="AC97" s="1292"/>
      <c r="AD97" s="1292"/>
      <c r="AE97" s="1292"/>
    </row>
    <row r="98" ht="14.55" spans="1:31">
      <c r="A98" s="1448"/>
      <c r="B98" s="1453"/>
      <c r="C98" s="1454">
        <v>100</v>
      </c>
      <c r="D98" s="1454">
        <f t="shared" ref="D98:M98" si="23">C98-$K28</f>
        <v>100</v>
      </c>
      <c r="E98" s="1454">
        <f t="shared" si="23"/>
        <v>100</v>
      </c>
      <c r="F98" s="1454">
        <f t="shared" si="23"/>
        <v>100</v>
      </c>
      <c r="G98" s="1454">
        <f t="shared" si="23"/>
        <v>100</v>
      </c>
      <c r="H98" s="1454">
        <f t="shared" si="23"/>
        <v>100</v>
      </c>
      <c r="I98" s="1454">
        <f t="shared" si="23"/>
        <v>100</v>
      </c>
      <c r="J98" s="1454">
        <f t="shared" si="23"/>
        <v>100</v>
      </c>
      <c r="K98" s="1454">
        <f t="shared" si="23"/>
        <v>100</v>
      </c>
      <c r="L98" s="1454">
        <f t="shared" si="23"/>
        <v>100</v>
      </c>
      <c r="M98" s="1454">
        <f t="shared" si="23"/>
        <v>100</v>
      </c>
      <c r="N98" s="1500"/>
      <c r="O98" s="1500"/>
      <c r="P98" s="1498"/>
      <c r="Q98" s="1419"/>
      <c r="R98" s="1292"/>
      <c r="S98" s="1292"/>
      <c r="T98" s="1292"/>
      <c r="U98" s="1292"/>
      <c r="V98" s="1292"/>
      <c r="W98" s="1292"/>
      <c r="X98" s="1292"/>
      <c r="Y98" s="1292"/>
      <c r="Z98" s="1292"/>
      <c r="AA98" s="1292"/>
      <c r="AB98" s="1292"/>
      <c r="AC98" s="1292"/>
      <c r="AD98" s="1292"/>
      <c r="AE98" s="1292"/>
    </row>
    <row r="99" ht="15.15" spans="1:31">
      <c r="A99" s="1448"/>
      <c r="B99" s="1451" t="s">
        <v>1637</v>
      </c>
      <c r="C99" s="1476"/>
      <c r="D99" s="1476"/>
      <c r="E99" s="1476"/>
      <c r="F99" s="1476"/>
      <c r="G99" s="1476"/>
      <c r="H99" s="1476"/>
      <c r="I99" s="1476"/>
      <c r="J99" s="1476"/>
      <c r="K99" s="1527"/>
      <c r="L99" s="1528"/>
      <c r="M99" s="1529"/>
      <c r="N99" s="1497"/>
      <c r="O99" s="1497"/>
      <c r="P99" s="1498"/>
      <c r="Q99" s="1419"/>
      <c r="R99" s="1292"/>
      <c r="S99" s="1292"/>
      <c r="T99" s="1292"/>
      <c r="U99" s="1292"/>
      <c r="V99" s="1292"/>
      <c r="W99" s="1292"/>
      <c r="X99" s="1292"/>
      <c r="Y99" s="1292"/>
      <c r="Z99" s="1292"/>
      <c r="AA99" s="1292"/>
      <c r="AB99" s="1292"/>
      <c r="AC99" s="1292"/>
      <c r="AD99" s="1292"/>
      <c r="AE99" s="1292"/>
    </row>
    <row r="100" ht="14.55" spans="1:31">
      <c r="A100" s="1448"/>
      <c r="B100" s="1453"/>
      <c r="C100" s="1454">
        <v>100</v>
      </c>
      <c r="D100" s="1454">
        <f t="shared" ref="D100:M100" si="24">C100-$K30</f>
        <v>100</v>
      </c>
      <c r="E100" s="1454">
        <f t="shared" si="24"/>
        <v>100</v>
      </c>
      <c r="F100" s="1454">
        <f t="shared" si="24"/>
        <v>100</v>
      </c>
      <c r="G100" s="1454">
        <f t="shared" si="24"/>
        <v>100</v>
      </c>
      <c r="H100" s="1454">
        <f t="shared" si="24"/>
        <v>100</v>
      </c>
      <c r="I100" s="1454">
        <f t="shared" si="24"/>
        <v>100</v>
      </c>
      <c r="J100" s="1454">
        <f t="shared" si="24"/>
        <v>100</v>
      </c>
      <c r="K100" s="1454">
        <f t="shared" si="24"/>
        <v>100</v>
      </c>
      <c r="L100" s="1454">
        <f t="shared" si="24"/>
        <v>100</v>
      </c>
      <c r="M100" s="1454">
        <f t="shared" si="24"/>
        <v>100</v>
      </c>
      <c r="N100" s="1500"/>
      <c r="O100" s="1500"/>
      <c r="P100" s="1498"/>
      <c r="Q100" s="1419"/>
      <c r="R100" s="1292"/>
      <c r="S100" s="1292"/>
      <c r="T100" s="1292"/>
      <c r="U100" s="1292"/>
      <c r="V100" s="1292"/>
      <c r="W100" s="1292"/>
      <c r="X100" s="1292"/>
      <c r="Y100" s="1292"/>
      <c r="Z100" s="1292"/>
      <c r="AA100" s="1292"/>
      <c r="AB100" s="1292"/>
      <c r="AC100" s="1292"/>
      <c r="AD100" s="1292"/>
      <c r="AE100" s="1292"/>
    </row>
    <row r="101" ht="14.55" spans="1:31">
      <c r="A101" s="1448"/>
      <c r="B101" s="1455">
        <f>B31</f>
        <v>111</v>
      </c>
      <c r="C101" s="1459"/>
      <c r="D101" s="1459"/>
      <c r="E101" s="1459"/>
      <c r="F101" s="1459"/>
      <c r="G101" s="1477"/>
      <c r="H101" s="1477"/>
      <c r="I101" s="1477"/>
      <c r="J101" s="1477"/>
      <c r="K101" s="1530"/>
      <c r="L101" s="1531"/>
      <c r="M101" s="1532"/>
      <c r="N101" s="1497"/>
      <c r="O101" s="1497"/>
      <c r="P101" s="1498"/>
      <c r="Q101" s="1419"/>
      <c r="R101" s="1292"/>
      <c r="S101" s="1292"/>
      <c r="T101" s="1292"/>
      <c r="U101" s="1292"/>
      <c r="V101" s="1292"/>
      <c r="W101" s="1292"/>
      <c r="X101" s="1292"/>
      <c r="Y101" s="1292"/>
      <c r="Z101" s="1292"/>
      <c r="AA101" s="1292"/>
      <c r="AB101" s="1292"/>
      <c r="AC101" s="1292"/>
      <c r="AD101" s="1292"/>
      <c r="AE101" s="1292"/>
    </row>
    <row r="102" ht="14.55" spans="1:31">
      <c r="A102" s="1448"/>
      <c r="B102" s="1465"/>
      <c r="C102" s="1461"/>
      <c r="D102" s="1450"/>
      <c r="E102" s="1450"/>
      <c r="F102" s="1450"/>
      <c r="G102" s="1478"/>
      <c r="H102" s="1478"/>
      <c r="I102" s="1478"/>
      <c r="J102" s="1478"/>
      <c r="K102" s="1478"/>
      <c r="L102" s="1478"/>
      <c r="M102" s="1533"/>
      <c r="N102" s="1500"/>
      <c r="O102" s="1500"/>
      <c r="P102" s="1498"/>
      <c r="Q102" s="1419"/>
      <c r="R102" s="1292"/>
      <c r="S102" s="1292"/>
      <c r="T102" s="1292"/>
      <c r="U102" s="1292"/>
      <c r="V102" s="1292"/>
      <c r="W102" s="1292"/>
      <c r="X102" s="1292"/>
      <c r="Y102" s="1292"/>
      <c r="Z102" s="1292"/>
      <c r="AA102" s="1292"/>
      <c r="AB102" s="1292"/>
      <c r="AC102" s="1292"/>
      <c r="AD102" s="1292"/>
      <c r="AE102" s="1292"/>
    </row>
    <row r="103" ht="14.55" spans="1:31">
      <c r="A103" s="1258"/>
      <c r="B103" s="1451">
        <f>B32</f>
        <v>111</v>
      </c>
      <c r="C103" s="1459"/>
      <c r="D103" s="1459"/>
      <c r="E103" s="1459"/>
      <c r="F103" s="1459"/>
      <c r="G103" s="1476"/>
      <c r="H103" s="1476"/>
      <c r="I103" s="1476"/>
      <c r="J103" s="1476"/>
      <c r="K103" s="1527"/>
      <c r="L103" s="1528"/>
      <c r="M103" s="1529"/>
      <c r="N103" s="1497"/>
      <c r="O103" s="1497"/>
      <c r="P103" s="1498"/>
      <c r="Q103" s="1419"/>
      <c r="R103" s="1292"/>
      <c r="S103" s="1292"/>
      <c r="T103" s="1292"/>
      <c r="U103" s="1292"/>
      <c r="V103" s="1292"/>
      <c r="W103" s="1292"/>
      <c r="X103" s="1292"/>
      <c r="Y103" s="1292"/>
      <c r="Z103" s="1292"/>
      <c r="AA103" s="1292"/>
      <c r="AB103" s="1292"/>
      <c r="AC103" s="1292"/>
      <c r="AD103" s="1292"/>
      <c r="AE103" s="1292"/>
    </row>
    <row r="104" ht="14.55" spans="1:31">
      <c r="A104" s="1448"/>
      <c r="B104" s="1453"/>
      <c r="C104" s="1461"/>
      <c r="D104" s="1461"/>
      <c r="E104" s="1461"/>
      <c r="F104" s="1461"/>
      <c r="G104" s="1450"/>
      <c r="H104" s="1450"/>
      <c r="I104" s="1450"/>
      <c r="J104" s="1450"/>
      <c r="K104" s="1450"/>
      <c r="L104" s="1450"/>
      <c r="M104" s="1499"/>
      <c r="N104" s="1500"/>
      <c r="O104" s="1500"/>
      <c r="P104" s="1498"/>
      <c r="Q104" s="1419"/>
      <c r="R104" s="1292"/>
      <c r="S104" s="1292"/>
      <c r="T104" s="1292"/>
      <c r="U104" s="1292"/>
      <c r="V104" s="1292"/>
      <c r="W104" s="1292"/>
      <c r="X104" s="1292"/>
      <c r="Y104" s="1292"/>
      <c r="Z104" s="1292"/>
      <c r="AA104" s="1292"/>
      <c r="AB104" s="1292"/>
      <c r="AC104" s="1292"/>
      <c r="AD104" s="1292"/>
      <c r="AE104" s="1292"/>
    </row>
    <row r="105" s="1166" customFormat="1" ht="14.55" spans="1:31">
      <c r="A105" s="1479"/>
      <c r="B105" s="1480">
        <f>B33</f>
        <v>111</v>
      </c>
      <c r="C105" s="1443"/>
      <c r="D105" s="1443"/>
      <c r="E105" s="1443"/>
      <c r="F105" s="1443"/>
      <c r="G105" s="1435"/>
      <c r="H105" s="1435"/>
      <c r="I105" s="1435"/>
      <c r="J105" s="1534"/>
      <c r="K105" s="1534"/>
      <c r="L105" s="1535"/>
      <c r="M105" s="1536"/>
      <c r="N105" s="1510"/>
      <c r="O105" s="1510"/>
      <c r="P105" s="1511"/>
      <c r="Q105" s="1542"/>
      <c r="R105" s="1543"/>
      <c r="S105" s="1543"/>
      <c r="T105" s="1543"/>
      <c r="U105" s="1543"/>
      <c r="V105" s="1543"/>
      <c r="W105" s="1543"/>
      <c r="X105" s="1543"/>
      <c r="Y105" s="1543"/>
      <c r="Z105" s="1543"/>
      <c r="AA105" s="1543"/>
      <c r="AB105" s="1543"/>
      <c r="AC105" s="1543"/>
      <c r="AD105" s="1543"/>
      <c r="AE105" s="1543"/>
    </row>
    <row r="106" s="1166" customFormat="1" ht="14.55" spans="1:31">
      <c r="A106" s="1458"/>
      <c r="B106" s="1455"/>
      <c r="C106" s="1466"/>
      <c r="D106" s="1466"/>
      <c r="E106" s="1466"/>
      <c r="F106" s="1466"/>
      <c r="G106" s="1481"/>
      <c r="H106" s="1481"/>
      <c r="I106" s="1481"/>
      <c r="J106" s="1481"/>
      <c r="K106" s="1481"/>
      <c r="L106" s="1481"/>
      <c r="M106" s="1537"/>
      <c r="N106" s="1500"/>
      <c r="O106" s="1500"/>
      <c r="P106" s="1511"/>
      <c r="Q106" s="1542"/>
      <c r="R106" s="1543"/>
      <c r="S106" s="1543"/>
      <c r="T106" s="1543"/>
      <c r="U106" s="1543"/>
      <c r="V106" s="1543"/>
      <c r="W106" s="1543"/>
      <c r="X106" s="1543"/>
      <c r="Y106" s="1543"/>
      <c r="Z106" s="1543"/>
      <c r="AA106" s="1543"/>
      <c r="AB106" s="1543"/>
      <c r="AC106" s="1543"/>
      <c r="AD106" s="1543"/>
      <c r="AE106" s="1543"/>
    </row>
    <row r="107" ht="14.4" spans="1:31">
      <c r="A107" s="1446" t="s">
        <v>1508</v>
      </c>
      <c r="B107" s="1447" t="s">
        <v>1638</v>
      </c>
      <c r="C107" s="1469" t="str">
        <f t="shared" ref="C107:L107" si="25">C108&amp;"(含)"&amp;"-"&amp;D108</f>
        <v>(含)-</v>
      </c>
      <c r="D107" s="1469" t="str">
        <f t="shared" si="25"/>
        <v>(含)-</v>
      </c>
      <c r="E107" s="1469" t="str">
        <f t="shared" si="25"/>
        <v>(含)-</v>
      </c>
      <c r="F107" s="1469" t="str">
        <f t="shared" si="25"/>
        <v>(含)-</v>
      </c>
      <c r="G107" s="1469" t="str">
        <f t="shared" si="25"/>
        <v>(含)-</v>
      </c>
      <c r="H107" s="1469" t="str">
        <f t="shared" si="25"/>
        <v>(含)-</v>
      </c>
      <c r="I107" s="1469" t="str">
        <f t="shared" si="25"/>
        <v>(含)-</v>
      </c>
      <c r="J107" s="1469" t="str">
        <f t="shared" si="25"/>
        <v>(含)-</v>
      </c>
      <c r="K107" s="1538" t="str">
        <f t="shared" si="25"/>
        <v>(含)-</v>
      </c>
      <c r="L107" s="1538" t="str">
        <f t="shared" si="25"/>
        <v>(含)-</v>
      </c>
      <c r="M107" s="1539" t="str">
        <f>M108&amp;"(含)"&amp;"-"&amp;P108</f>
        <v>(含)-</v>
      </c>
      <c r="N107" s="1497"/>
      <c r="O107" s="1497"/>
      <c r="P107" s="1498"/>
      <c r="Q107" s="1419"/>
      <c r="R107" s="1292"/>
      <c r="S107" s="1292"/>
      <c r="T107" s="1292"/>
      <c r="U107" s="1292"/>
      <c r="V107" s="1292"/>
      <c r="W107" s="1292"/>
      <c r="X107" s="1292"/>
      <c r="Y107" s="1292"/>
      <c r="Z107" s="1292"/>
      <c r="AA107" s="1292"/>
      <c r="AB107" s="1292"/>
      <c r="AC107" s="1292"/>
      <c r="AD107" s="1292"/>
      <c r="AE107" s="1292"/>
    </row>
    <row r="108" spans="1:31">
      <c r="A108" s="1448"/>
      <c r="B108" s="1455"/>
      <c r="C108" s="1435"/>
      <c r="D108" s="1435"/>
      <c r="E108" s="1435"/>
      <c r="F108" s="1435"/>
      <c r="G108" s="1435"/>
      <c r="H108" s="1435"/>
      <c r="I108" s="1435"/>
      <c r="J108" s="1534"/>
      <c r="K108" s="1534"/>
      <c r="L108" s="1535"/>
      <c r="M108" s="1536"/>
      <c r="N108" s="1497"/>
      <c r="O108" s="1497"/>
      <c r="P108" s="1498"/>
      <c r="Q108" s="1419"/>
      <c r="R108" s="1292"/>
      <c r="S108" s="1292"/>
      <c r="T108" s="1292"/>
      <c r="U108" s="1292"/>
      <c r="V108" s="1292"/>
      <c r="W108" s="1292"/>
      <c r="X108" s="1292"/>
      <c r="Y108" s="1292"/>
      <c r="Z108" s="1292"/>
      <c r="AA108" s="1292"/>
      <c r="AB108" s="1292"/>
      <c r="AC108" s="1292"/>
      <c r="AD108" s="1292"/>
      <c r="AE108" s="1292"/>
    </row>
    <row r="109" ht="14.55" spans="1:31">
      <c r="A109" s="1448"/>
      <c r="B109" s="1453"/>
      <c r="C109" s="1466"/>
      <c r="D109" s="1478"/>
      <c r="E109" s="1478"/>
      <c r="F109" s="1478"/>
      <c r="G109" s="1478"/>
      <c r="H109" s="1478"/>
      <c r="I109" s="1478"/>
      <c r="J109" s="1478"/>
      <c r="K109" s="1478"/>
      <c r="L109" s="1478"/>
      <c r="M109" s="1533"/>
      <c r="N109" s="1500"/>
      <c r="O109" s="1500"/>
      <c r="P109" s="1498"/>
      <c r="Q109" s="1419"/>
      <c r="R109" s="1292"/>
      <c r="S109" s="1292"/>
      <c r="T109" s="1292"/>
      <c r="U109" s="1292"/>
      <c r="V109" s="1292"/>
      <c r="W109" s="1292"/>
      <c r="X109" s="1292"/>
      <c r="Y109" s="1292"/>
      <c r="Z109" s="1292"/>
      <c r="AA109" s="1292"/>
      <c r="AB109" s="1292"/>
      <c r="AC109" s="1292"/>
      <c r="AD109" s="1292"/>
      <c r="AE109" s="1292"/>
    </row>
    <row r="110" ht="15.15" spans="1:31">
      <c r="A110" s="1482"/>
      <c r="B110" s="1451" t="s">
        <v>1639</v>
      </c>
      <c r="C110" s="1476"/>
      <c r="D110" s="1476"/>
      <c r="E110" s="1476"/>
      <c r="F110" s="1476"/>
      <c r="G110" s="1476"/>
      <c r="H110" s="1476"/>
      <c r="I110" s="1476"/>
      <c r="J110" s="1476"/>
      <c r="K110" s="1527"/>
      <c r="L110" s="1528"/>
      <c r="M110" s="1529"/>
      <c r="N110" s="1497"/>
      <c r="O110" s="1497"/>
      <c r="P110" s="1498"/>
      <c r="Q110" s="1419"/>
      <c r="R110" s="1292"/>
      <c r="S110" s="1292"/>
      <c r="T110" s="1292"/>
      <c r="U110" s="1292"/>
      <c r="V110" s="1292"/>
      <c r="W110" s="1292"/>
      <c r="X110" s="1292"/>
      <c r="Y110" s="1292"/>
      <c r="Z110" s="1292"/>
      <c r="AA110" s="1292"/>
      <c r="AB110" s="1292"/>
      <c r="AC110" s="1292"/>
      <c r="AD110" s="1292"/>
      <c r="AE110" s="1292"/>
    </row>
    <row r="111" ht="14.55" spans="1:31">
      <c r="A111" s="1448"/>
      <c r="B111" s="1453"/>
      <c r="C111" s="1454">
        <v>100</v>
      </c>
      <c r="D111" s="1454">
        <f t="shared" ref="D111:M111" si="26">C111-$K35</f>
        <v>100</v>
      </c>
      <c r="E111" s="1454">
        <f t="shared" si="26"/>
        <v>100</v>
      </c>
      <c r="F111" s="1454">
        <f t="shared" si="26"/>
        <v>100</v>
      </c>
      <c r="G111" s="1454">
        <f t="shared" si="26"/>
        <v>100</v>
      </c>
      <c r="H111" s="1454">
        <f t="shared" si="26"/>
        <v>100</v>
      </c>
      <c r="I111" s="1454">
        <f t="shared" si="26"/>
        <v>100</v>
      </c>
      <c r="J111" s="1454">
        <f t="shared" si="26"/>
        <v>100</v>
      </c>
      <c r="K111" s="1454">
        <f t="shared" si="26"/>
        <v>100</v>
      </c>
      <c r="L111" s="1454">
        <f t="shared" si="26"/>
        <v>100</v>
      </c>
      <c r="M111" s="1504">
        <f t="shared" si="26"/>
        <v>100</v>
      </c>
      <c r="N111" s="1500"/>
      <c r="O111" s="1500"/>
      <c r="P111" s="1498"/>
      <c r="Q111" s="1419"/>
      <c r="R111" s="1292"/>
      <c r="S111" s="1292"/>
      <c r="T111" s="1292"/>
      <c r="U111" s="1292"/>
      <c r="V111" s="1292"/>
      <c r="W111" s="1292"/>
      <c r="X111" s="1292"/>
      <c r="Y111" s="1292"/>
      <c r="Z111" s="1292"/>
      <c r="AA111" s="1292"/>
      <c r="AB111" s="1292"/>
      <c r="AC111" s="1292"/>
      <c r="AD111" s="1292"/>
      <c r="AE111" s="1292"/>
    </row>
    <row r="112" s="1166" customFormat="1" ht="15.15" spans="1:31">
      <c r="A112" s="1479"/>
      <c r="B112" s="1451" t="s">
        <v>1641</v>
      </c>
      <c r="C112" s="1459"/>
      <c r="D112" s="1459"/>
      <c r="E112" s="1459"/>
      <c r="F112" s="1459"/>
      <c r="G112" s="1459"/>
      <c r="H112" s="1476"/>
      <c r="I112" s="1476"/>
      <c r="J112" s="1476"/>
      <c r="K112" s="1527"/>
      <c r="L112" s="1528"/>
      <c r="M112" s="1529"/>
      <c r="N112" s="1510"/>
      <c r="O112" s="1510"/>
      <c r="P112" s="1511"/>
      <c r="Q112" s="1542"/>
      <c r="R112" s="1543"/>
      <c r="S112" s="1543"/>
      <c r="T112" s="1543"/>
      <c r="U112" s="1543"/>
      <c r="V112" s="1543"/>
      <c r="W112" s="1543"/>
      <c r="X112" s="1543"/>
      <c r="Y112" s="1543"/>
      <c r="Z112" s="1543"/>
      <c r="AA112" s="1543"/>
      <c r="AB112" s="1543"/>
      <c r="AC112" s="1543"/>
      <c r="AD112" s="1543"/>
      <c r="AE112" s="1543"/>
    </row>
    <row r="113" s="1166" customFormat="1" ht="14.55" spans="1:31">
      <c r="A113" s="1458"/>
      <c r="B113" s="1453"/>
      <c r="C113" s="1454">
        <v>100</v>
      </c>
      <c r="D113" s="1454">
        <f t="shared" ref="D113:M113" si="27">C113-$K36</f>
        <v>100</v>
      </c>
      <c r="E113" s="1454">
        <f t="shared" si="27"/>
        <v>100</v>
      </c>
      <c r="F113" s="1454">
        <f t="shared" si="27"/>
        <v>100</v>
      </c>
      <c r="G113" s="1454">
        <f t="shared" si="27"/>
        <v>100</v>
      </c>
      <c r="H113" s="1454">
        <f t="shared" si="27"/>
        <v>100</v>
      </c>
      <c r="I113" s="1454">
        <f t="shared" si="27"/>
        <v>100</v>
      </c>
      <c r="J113" s="1454">
        <f t="shared" si="27"/>
        <v>100</v>
      </c>
      <c r="K113" s="1454">
        <f t="shared" si="27"/>
        <v>100</v>
      </c>
      <c r="L113" s="1454">
        <f t="shared" si="27"/>
        <v>100</v>
      </c>
      <c r="M113" s="1504">
        <f t="shared" si="27"/>
        <v>100</v>
      </c>
      <c r="N113" s="1510"/>
      <c r="O113" s="1510"/>
      <c r="P113" s="1511"/>
      <c r="Q113" s="1542"/>
      <c r="R113" s="1543"/>
      <c r="S113" s="1543"/>
      <c r="T113" s="1543"/>
      <c r="U113" s="1543"/>
      <c r="V113" s="1543"/>
      <c r="W113" s="1543"/>
      <c r="X113" s="1543"/>
      <c r="Y113" s="1543"/>
      <c r="Z113" s="1543"/>
      <c r="AA113" s="1543"/>
      <c r="AB113" s="1543"/>
      <c r="AC113" s="1543"/>
      <c r="AD113" s="1543"/>
      <c r="AE113" s="1543"/>
    </row>
    <row r="114" ht="15.15" spans="1:31">
      <c r="A114" s="1482"/>
      <c r="B114" s="1451" t="s">
        <v>1642</v>
      </c>
      <c r="C114" s="1459"/>
      <c r="D114" s="1459"/>
      <c r="E114" s="1476"/>
      <c r="F114" s="1476"/>
      <c r="G114" s="1476"/>
      <c r="H114" s="1476"/>
      <c r="I114" s="1476"/>
      <c r="J114" s="1476"/>
      <c r="K114" s="1527"/>
      <c r="L114" s="1528"/>
      <c r="M114" s="1529"/>
      <c r="N114" s="1497"/>
      <c r="O114" s="1497"/>
      <c r="P114" s="1498"/>
      <c r="Q114" s="1419"/>
      <c r="R114" s="1292"/>
      <c r="S114" s="1292"/>
      <c r="T114" s="1292"/>
      <c r="U114" s="1292"/>
      <c r="V114" s="1292"/>
      <c r="W114" s="1292"/>
      <c r="X114" s="1292"/>
      <c r="Y114" s="1292"/>
      <c r="Z114" s="1292"/>
      <c r="AA114" s="1292"/>
      <c r="AB114" s="1292"/>
      <c r="AC114" s="1292"/>
      <c r="AD114" s="1292"/>
      <c r="AE114" s="1292"/>
    </row>
    <row r="115" ht="14.55" spans="1:31">
      <c r="A115" s="1448"/>
      <c r="B115" s="1453"/>
      <c r="C115" s="1454">
        <v>100</v>
      </c>
      <c r="D115" s="1454">
        <f t="shared" ref="D115:M115" si="28">C115-$K37</f>
        <v>100</v>
      </c>
      <c r="E115" s="1454">
        <f t="shared" si="28"/>
        <v>100</v>
      </c>
      <c r="F115" s="1454">
        <f t="shared" si="28"/>
        <v>100</v>
      </c>
      <c r="G115" s="1454">
        <f t="shared" si="28"/>
        <v>100</v>
      </c>
      <c r="H115" s="1454">
        <f t="shared" si="28"/>
        <v>100</v>
      </c>
      <c r="I115" s="1454">
        <f t="shared" si="28"/>
        <v>100</v>
      </c>
      <c r="J115" s="1454">
        <f t="shared" si="28"/>
        <v>100</v>
      </c>
      <c r="K115" s="1454">
        <f t="shared" si="28"/>
        <v>100</v>
      </c>
      <c r="L115" s="1454">
        <f t="shared" si="28"/>
        <v>100</v>
      </c>
      <c r="M115" s="1504">
        <f t="shared" si="28"/>
        <v>100</v>
      </c>
      <c r="N115" s="1500"/>
      <c r="O115" s="1500"/>
      <c r="P115" s="1498"/>
      <c r="Q115" s="1419"/>
      <c r="R115" s="1292"/>
      <c r="S115" s="1292"/>
      <c r="T115" s="1292"/>
      <c r="U115" s="1292"/>
      <c r="V115" s="1292"/>
      <c r="W115" s="1292"/>
      <c r="X115" s="1292"/>
      <c r="Y115" s="1292"/>
      <c r="Z115" s="1292"/>
      <c r="AA115" s="1292"/>
      <c r="AB115" s="1292"/>
      <c r="AC115" s="1292"/>
      <c r="AD115" s="1292"/>
      <c r="AE115" s="1292"/>
    </row>
    <row r="116" ht="14.55" spans="1:31">
      <c r="A116" s="1482"/>
      <c r="B116" s="1451">
        <f>B38</f>
        <v>111</v>
      </c>
      <c r="C116" s="1459"/>
      <c r="D116" s="1459"/>
      <c r="E116" s="1459"/>
      <c r="F116" s="1459"/>
      <c r="G116" s="1459"/>
      <c r="H116" s="1476"/>
      <c r="I116" s="1476"/>
      <c r="J116" s="1476"/>
      <c r="K116" s="1527"/>
      <c r="L116" s="1528"/>
      <c r="M116" s="1529"/>
      <c r="N116" s="1497"/>
      <c r="O116" s="1497"/>
      <c r="P116" s="1498"/>
      <c r="Q116" s="1419"/>
      <c r="R116" s="1292"/>
      <c r="S116" s="1292"/>
      <c r="T116" s="1292"/>
      <c r="U116" s="1292"/>
      <c r="V116" s="1292"/>
      <c r="W116" s="1292"/>
      <c r="X116" s="1292"/>
      <c r="Y116" s="1292"/>
      <c r="Z116" s="1292"/>
      <c r="AA116" s="1292"/>
      <c r="AB116" s="1292"/>
      <c r="AC116" s="1292"/>
      <c r="AD116" s="1292"/>
      <c r="AE116" s="1292"/>
    </row>
    <row r="117" ht="14.55" spans="1:31">
      <c r="A117" s="1448"/>
      <c r="B117" s="1453"/>
      <c r="C117" s="1461"/>
      <c r="D117" s="1450"/>
      <c r="E117" s="1450"/>
      <c r="F117" s="1450"/>
      <c r="G117" s="1450"/>
      <c r="H117" s="1450"/>
      <c r="I117" s="1450"/>
      <c r="J117" s="1450"/>
      <c r="K117" s="1450"/>
      <c r="L117" s="1450"/>
      <c r="M117" s="1499"/>
      <c r="N117" s="1500"/>
      <c r="O117" s="1500"/>
      <c r="P117" s="1498"/>
      <c r="Q117" s="1419"/>
      <c r="R117" s="1292"/>
      <c r="S117" s="1292"/>
      <c r="T117" s="1292"/>
      <c r="U117" s="1292"/>
      <c r="V117" s="1292"/>
      <c r="W117" s="1292"/>
      <c r="X117" s="1292"/>
      <c r="Y117" s="1292"/>
      <c r="Z117" s="1292"/>
      <c r="AA117" s="1292"/>
      <c r="AB117" s="1292"/>
      <c r="AC117" s="1292"/>
      <c r="AD117" s="1292"/>
      <c r="AE117" s="1292"/>
    </row>
    <row r="118" ht="14.55" spans="1:31">
      <c r="A118" s="1482"/>
      <c r="B118" s="1451">
        <f>B39</f>
        <v>111</v>
      </c>
      <c r="C118" s="1459"/>
      <c r="D118" s="1459"/>
      <c r="E118" s="1459"/>
      <c r="F118" s="1459"/>
      <c r="G118" s="1476"/>
      <c r="H118" s="1476"/>
      <c r="I118" s="1476"/>
      <c r="J118" s="1476"/>
      <c r="K118" s="1527"/>
      <c r="L118" s="1528"/>
      <c r="M118" s="1529"/>
      <c r="N118" s="1497"/>
      <c r="O118" s="1497"/>
      <c r="P118" s="1498"/>
      <c r="Q118" s="1419"/>
      <c r="R118" s="1292"/>
      <c r="S118" s="1292"/>
      <c r="T118" s="1292"/>
      <c r="U118" s="1292"/>
      <c r="V118" s="1292"/>
      <c r="W118" s="1292"/>
      <c r="X118" s="1292"/>
      <c r="Y118" s="1292"/>
      <c r="Z118" s="1292"/>
      <c r="AA118" s="1292"/>
      <c r="AB118" s="1292"/>
      <c r="AC118" s="1292"/>
      <c r="AD118" s="1292"/>
      <c r="AE118" s="1292"/>
    </row>
    <row r="119" ht="14.55" spans="1:31">
      <c r="A119" s="1448"/>
      <c r="B119" s="1453"/>
      <c r="C119" s="1461"/>
      <c r="D119" s="1461"/>
      <c r="E119" s="1461"/>
      <c r="F119" s="1461"/>
      <c r="G119" s="1450"/>
      <c r="H119" s="1450"/>
      <c r="I119" s="1450"/>
      <c r="J119" s="1450"/>
      <c r="K119" s="1450"/>
      <c r="L119" s="1450"/>
      <c r="M119" s="1499"/>
      <c r="N119" s="1500"/>
      <c r="O119" s="1500"/>
      <c r="P119" s="1498"/>
      <c r="Q119" s="1419"/>
      <c r="R119" s="1292"/>
      <c r="S119" s="1292"/>
      <c r="T119" s="1292"/>
      <c r="U119" s="1292"/>
      <c r="V119" s="1292"/>
      <c r="W119" s="1292"/>
      <c r="X119" s="1292"/>
      <c r="Y119" s="1292"/>
      <c r="Z119" s="1292"/>
      <c r="AA119" s="1292"/>
      <c r="AB119" s="1292"/>
      <c r="AC119" s="1292"/>
      <c r="AD119" s="1292"/>
      <c r="AE119" s="1292"/>
    </row>
    <row r="120" s="1166" customFormat="1" ht="14.55" spans="1:31">
      <c r="A120" s="1479"/>
      <c r="B120" s="1451">
        <f>B40</f>
        <v>111</v>
      </c>
      <c r="C120" s="1443"/>
      <c r="D120" s="1443"/>
      <c r="E120" s="1443"/>
      <c r="F120" s="1443"/>
      <c r="G120" s="1460"/>
      <c r="H120" s="1460"/>
      <c r="I120" s="1460"/>
      <c r="J120" s="1460"/>
      <c r="K120" s="1460"/>
      <c r="L120" s="1508"/>
      <c r="M120" s="1509"/>
      <c r="N120" s="1510"/>
      <c r="O120" s="1510"/>
      <c r="P120" s="1511"/>
      <c r="Q120" s="1542"/>
      <c r="R120" s="1543"/>
      <c r="S120" s="1543"/>
      <c r="T120" s="1543"/>
      <c r="U120" s="1543"/>
      <c r="V120" s="1543"/>
      <c r="W120" s="1543"/>
      <c r="X120" s="1543"/>
      <c r="Y120" s="1543"/>
      <c r="Z120" s="1543"/>
      <c r="AA120" s="1543"/>
      <c r="AB120" s="1543"/>
      <c r="AC120" s="1543"/>
      <c r="AD120" s="1543"/>
      <c r="AE120" s="1543"/>
    </row>
    <row r="121" s="1166" customFormat="1" ht="14.55" spans="1:31">
      <c r="A121" s="1464"/>
      <c r="B121" s="1483"/>
      <c r="C121" s="1466"/>
      <c r="D121" s="1466"/>
      <c r="E121" s="1466"/>
      <c r="F121" s="1466"/>
      <c r="G121" s="1478"/>
      <c r="H121" s="1478"/>
      <c r="I121" s="1478"/>
      <c r="J121" s="1478"/>
      <c r="K121" s="1478"/>
      <c r="L121" s="1478"/>
      <c r="M121" s="1533"/>
      <c r="N121" s="1510"/>
      <c r="O121" s="1510"/>
      <c r="P121" s="1511"/>
      <c r="Q121" s="1542"/>
      <c r="R121" s="1543"/>
      <c r="S121" s="1543"/>
      <c r="T121" s="1543"/>
      <c r="U121" s="1543"/>
      <c r="V121" s="1543"/>
      <c r="W121" s="1543"/>
      <c r="X121" s="1543"/>
      <c r="Y121" s="1543"/>
      <c r="Z121" s="1543"/>
      <c r="AA121" s="1543"/>
      <c r="AB121" s="1543"/>
      <c r="AC121" s="1543"/>
      <c r="AD121" s="1543"/>
      <c r="AE121" s="1543"/>
    </row>
    <row r="122" spans="14:31">
      <c r="N122" s="1292"/>
      <c r="O122" s="1292"/>
      <c r="P122" s="1292"/>
      <c r="Q122" s="1292"/>
      <c r="R122" s="1292"/>
      <c r="S122" s="1292"/>
      <c r="T122" s="1292"/>
      <c r="U122" s="1292"/>
      <c r="V122" s="1292"/>
      <c r="W122" s="1292"/>
      <c r="X122" s="1292"/>
      <c r="Y122" s="1292"/>
      <c r="Z122" s="1292"/>
      <c r="AA122" s="1292"/>
      <c r="AB122" s="1292"/>
      <c r="AC122" s="1292"/>
      <c r="AD122" s="1292"/>
      <c r="AE122" s="1292"/>
    </row>
    <row r="123" spans="16:31">
      <c r="P123" s="1292"/>
      <c r="Q123" s="1292"/>
      <c r="R123" s="1292"/>
      <c r="S123" s="1292"/>
      <c r="T123" s="1292"/>
      <c r="U123" s="1292"/>
      <c r="V123" s="1292"/>
      <c r="W123" s="1292"/>
      <c r="X123" s="1292"/>
      <c r="Y123" s="1292"/>
      <c r="Z123" s="1292"/>
      <c r="AA123" s="1292"/>
      <c r="AB123" s="1292"/>
      <c r="AC123" s="1292"/>
      <c r="AD123" s="1292"/>
      <c r="AE123" s="129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D52:D60">
      <formula1>"25%,1"</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1039" customWidth="1"/>
    <col min="2" max="2" width="9.22222222222222" style="1040" customWidth="1"/>
    <col min="3" max="3" width="5" style="1040" customWidth="1"/>
    <col min="4" max="4" width="9" style="1040"/>
    <col min="5" max="5" width="5" style="1040" customWidth="1"/>
    <col min="6" max="6" width="9" style="1040"/>
    <col min="7" max="7" width="5" style="1040" customWidth="1"/>
    <col min="8" max="8" width="9" style="1040"/>
    <col min="9" max="9" width="5" style="1040" customWidth="1"/>
    <col min="10" max="10" width="9" style="1040"/>
    <col min="11" max="11" width="5" style="1040" customWidth="1"/>
    <col min="12" max="12" width="9" style="1040"/>
    <col min="13" max="13" width="5" style="1040" customWidth="1"/>
    <col min="14" max="14" width="9" style="1040"/>
    <col min="15" max="15" width="5" style="1040" customWidth="1"/>
    <col min="16" max="16" width="9" style="1040"/>
    <col min="17" max="17" width="5" style="1040" customWidth="1"/>
    <col min="18" max="18" width="9" style="1041"/>
    <col min="19" max="19" width="9" style="1039"/>
    <col min="20" max="45" width="9" style="1042"/>
    <col min="46" max="16384" width="9" style="1039"/>
  </cols>
  <sheetData>
    <row r="1" ht="14.25" customHeight="1" spans="1:20">
      <c r="A1" s="1043"/>
      <c r="B1" s="1044" t="s">
        <v>1680</v>
      </c>
      <c r="C1" s="1045" t="s">
        <v>1681</v>
      </c>
      <c r="D1" s="1046"/>
      <c r="E1" s="1046"/>
      <c r="F1" s="1046"/>
      <c r="G1" s="1046"/>
      <c r="H1" s="1046"/>
      <c r="I1" s="1046"/>
      <c r="J1" s="1046"/>
      <c r="K1" s="1046"/>
      <c r="L1" s="1046"/>
      <c r="M1" s="1046"/>
      <c r="N1" s="1046"/>
      <c r="O1" s="1046"/>
      <c r="P1" s="1046"/>
      <c r="Q1" s="1046"/>
      <c r="R1" s="1046"/>
      <c r="S1" s="1128"/>
      <c r="T1" s="1044" t="s">
        <v>1682</v>
      </c>
    </row>
    <row r="2" s="1034" customFormat="1" spans="1:45">
      <c r="A2" s="1047"/>
      <c r="B2" s="1048" t="s">
        <v>456</v>
      </c>
      <c r="C2" s="1049" t="str">
        <f t="shared" ref="C2:L2" si="0">C3&amp;"(含)"&amp;"-"&amp;D3</f>
        <v>(含)-</v>
      </c>
      <c r="D2" s="1050" t="str">
        <f t="shared" si="0"/>
        <v>(含)-</v>
      </c>
      <c r="E2" s="1050" t="str">
        <f t="shared" si="0"/>
        <v>(含)-</v>
      </c>
      <c r="F2" s="1050" t="str">
        <f t="shared" si="0"/>
        <v>(含)-</v>
      </c>
      <c r="G2" s="1050" t="str">
        <f t="shared" si="0"/>
        <v>(含)-</v>
      </c>
      <c r="H2" s="1050" t="str">
        <f t="shared" si="0"/>
        <v>(含)-</v>
      </c>
      <c r="I2" s="1050" t="str">
        <f t="shared" si="0"/>
        <v>(含)-</v>
      </c>
      <c r="J2" s="1050" t="str">
        <f t="shared" si="0"/>
        <v>(含)-</v>
      </c>
      <c r="K2" s="1050" t="str">
        <f t="shared" si="0"/>
        <v>(含)-</v>
      </c>
      <c r="L2" s="1050" t="str">
        <f t="shared" si="0"/>
        <v>(含)-</v>
      </c>
      <c r="M2" s="1050" t="str">
        <f t="shared" ref="M2" si="1">M3&amp;"(含)"&amp;"-"&amp;N3</f>
        <v>(含)-</v>
      </c>
      <c r="N2" s="1050" t="str">
        <f t="shared" ref="N2" si="2">N3&amp;"(含)"&amp;"-"&amp;O3</f>
        <v>(含)-</v>
      </c>
      <c r="O2" s="1050" t="str">
        <f t="shared" ref="O2" si="3">O3&amp;"(含)"&amp;"-"&amp;P3</f>
        <v>(含)-</v>
      </c>
      <c r="P2" s="1050" t="str">
        <f t="shared" ref="P2" si="4">P3&amp;"(含)"&amp;"-"&amp;Q3</f>
        <v>(含)-</v>
      </c>
      <c r="Q2" s="1050" t="str">
        <f t="shared" ref="Q2" si="5">Q3&amp;"(含)"&amp;"-"&amp;R3</f>
        <v>(含)-</v>
      </c>
      <c r="R2" s="1050" t="str">
        <f t="shared" ref="R2" si="6">R3&amp;"(含)"&amp;"-"&amp;S3</f>
        <v>(含)-</v>
      </c>
      <c r="S2" s="1129" t="str">
        <f>S3&amp;"(含)"&amp;"-"</f>
        <v>(含)-</v>
      </c>
      <c r="T2" s="1130"/>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row>
    <row r="3" s="1035" customFormat="1" spans="1:45">
      <c r="A3" s="1051"/>
      <c r="B3" s="1052"/>
      <c r="C3" s="1053"/>
      <c r="D3" s="1054"/>
      <c r="E3" s="1054"/>
      <c r="F3" s="1055"/>
      <c r="G3" s="1055"/>
      <c r="H3" s="1055"/>
      <c r="I3" s="1055"/>
      <c r="J3" s="1055"/>
      <c r="K3" s="1055"/>
      <c r="L3" s="978"/>
      <c r="M3" s="1107"/>
      <c r="N3" s="1107"/>
      <c r="O3" s="1055"/>
      <c r="P3" s="1055"/>
      <c r="Q3" s="1055"/>
      <c r="R3" s="1055"/>
      <c r="S3" s="1132"/>
      <c r="T3" s="1133"/>
      <c r="U3" s="1134"/>
      <c r="V3" s="1134"/>
      <c r="W3" s="1134"/>
      <c r="X3" s="1134"/>
      <c r="Y3" s="1134"/>
      <c r="Z3" s="1134"/>
      <c r="AA3" s="1134"/>
      <c r="AB3" s="1134"/>
      <c r="AC3" s="1134"/>
      <c r="AD3" s="1134"/>
      <c r="AE3" s="1134"/>
      <c r="AF3" s="1134"/>
      <c r="AG3" s="1134"/>
      <c r="AH3" s="1134"/>
      <c r="AI3" s="1134"/>
      <c r="AJ3" s="1134"/>
      <c r="AK3" s="1134"/>
      <c r="AL3" s="1134"/>
      <c r="AM3" s="1134"/>
      <c r="AN3" s="1134"/>
      <c r="AO3" s="1134"/>
      <c r="AP3" s="1134"/>
      <c r="AQ3" s="1134"/>
      <c r="AR3" s="1134"/>
      <c r="AS3" s="1134"/>
    </row>
    <row r="4" s="1035" customFormat="1" ht="13.95" spans="1:45">
      <c r="A4" s="1056"/>
      <c r="B4" s="1057"/>
      <c r="C4" s="1058"/>
      <c r="D4" s="1059"/>
      <c r="E4" s="1059"/>
      <c r="F4" s="1060"/>
      <c r="G4" s="1060"/>
      <c r="H4" s="1060"/>
      <c r="I4" s="1060"/>
      <c r="J4" s="1060"/>
      <c r="K4" s="1060"/>
      <c r="L4" s="1060"/>
      <c r="M4" s="1108"/>
      <c r="N4" s="1108"/>
      <c r="O4" s="1060"/>
      <c r="P4" s="1060"/>
      <c r="Q4" s="1060"/>
      <c r="R4" s="1060"/>
      <c r="S4" s="1135"/>
      <c r="T4" s="1136"/>
      <c r="U4" s="1134"/>
      <c r="V4" s="1134"/>
      <c r="W4" s="1134"/>
      <c r="X4" s="1134"/>
      <c r="Y4" s="1134"/>
      <c r="Z4" s="1134"/>
      <c r="AA4" s="1134"/>
      <c r="AB4" s="1134"/>
      <c r="AC4" s="1134"/>
      <c r="AD4" s="1134"/>
      <c r="AE4" s="1134"/>
      <c r="AF4" s="1134"/>
      <c r="AG4" s="1134"/>
      <c r="AH4" s="1134"/>
      <c r="AI4" s="1134"/>
      <c r="AJ4" s="1134"/>
      <c r="AK4" s="1134"/>
      <c r="AL4" s="1134"/>
      <c r="AM4" s="1134"/>
      <c r="AN4" s="1134"/>
      <c r="AO4" s="1134"/>
      <c r="AP4" s="1134"/>
      <c r="AQ4" s="1134"/>
      <c r="AR4" s="1134"/>
      <c r="AS4" s="1134"/>
    </row>
    <row r="5" s="1036" customFormat="1" spans="1:45">
      <c r="A5" s="1061"/>
      <c r="B5" s="1062" t="s">
        <v>1683</v>
      </c>
      <c r="C5" s="1063"/>
      <c r="D5" s="1064"/>
      <c r="E5" s="1064"/>
      <c r="F5" s="1065"/>
      <c r="G5" s="1065"/>
      <c r="H5" s="1065"/>
      <c r="I5" s="1065"/>
      <c r="J5" s="1065"/>
      <c r="K5" s="1065"/>
      <c r="L5" s="1109"/>
      <c r="M5" s="1110"/>
      <c r="N5" s="1110"/>
      <c r="O5" s="1065"/>
      <c r="P5" s="1065"/>
      <c r="Q5" s="1065"/>
      <c r="R5" s="1065"/>
      <c r="S5" s="1137"/>
      <c r="T5" s="1138"/>
      <c r="U5" s="1139"/>
      <c r="V5" s="1139"/>
      <c r="W5" s="1139"/>
      <c r="X5" s="1139"/>
      <c r="Y5" s="1139"/>
      <c r="Z5" s="1139"/>
      <c r="AA5" s="1139"/>
      <c r="AB5" s="1139"/>
      <c r="AC5" s="1139"/>
      <c r="AD5" s="1139"/>
      <c r="AE5" s="1139"/>
      <c r="AF5" s="1139"/>
      <c r="AG5" s="1139"/>
      <c r="AH5" s="1139"/>
      <c r="AI5" s="1139"/>
      <c r="AJ5" s="1139"/>
      <c r="AK5" s="1139"/>
      <c r="AL5" s="1139"/>
      <c r="AM5" s="1139"/>
      <c r="AN5" s="1139"/>
      <c r="AO5" s="1139"/>
      <c r="AP5" s="1139"/>
      <c r="AQ5" s="1139"/>
      <c r="AR5" s="1139"/>
      <c r="AS5" s="1139"/>
    </row>
    <row r="6" s="1036" customFormat="1" ht="13.95" spans="1:45">
      <c r="A6" s="1061"/>
      <c r="B6" s="1066"/>
      <c r="C6" s="1067">
        <v>100</v>
      </c>
      <c r="D6" s="1068">
        <f>C6-$T5</f>
        <v>100</v>
      </c>
      <c r="E6" s="1068">
        <f t="shared" ref="E6:S6" si="7">D6-$T5</f>
        <v>100</v>
      </c>
      <c r="F6" s="1069">
        <f t="shared" si="7"/>
        <v>100</v>
      </c>
      <c r="G6" s="1069">
        <f t="shared" si="7"/>
        <v>100</v>
      </c>
      <c r="H6" s="1069">
        <f t="shared" si="7"/>
        <v>100</v>
      </c>
      <c r="I6" s="1069">
        <f t="shared" si="7"/>
        <v>100</v>
      </c>
      <c r="J6" s="1069">
        <f t="shared" si="7"/>
        <v>100</v>
      </c>
      <c r="K6" s="1069">
        <f t="shared" si="7"/>
        <v>100</v>
      </c>
      <c r="L6" s="1069">
        <f t="shared" si="7"/>
        <v>100</v>
      </c>
      <c r="M6" s="1069">
        <f t="shared" si="7"/>
        <v>100</v>
      </c>
      <c r="N6" s="1069">
        <f t="shared" si="7"/>
        <v>100</v>
      </c>
      <c r="O6" s="1069">
        <f t="shared" si="7"/>
        <v>100</v>
      </c>
      <c r="P6" s="1069">
        <f t="shared" si="7"/>
        <v>100</v>
      </c>
      <c r="Q6" s="1069">
        <f t="shared" si="7"/>
        <v>100</v>
      </c>
      <c r="R6" s="1069">
        <f t="shared" si="7"/>
        <v>100</v>
      </c>
      <c r="S6" s="1069">
        <f t="shared" si="7"/>
        <v>100</v>
      </c>
      <c r="T6" s="1140"/>
      <c r="U6" s="1139"/>
      <c r="V6" s="1139"/>
      <c r="W6" s="1139"/>
      <c r="X6" s="1139"/>
      <c r="Y6" s="1139"/>
      <c r="Z6" s="1139"/>
      <c r="AA6" s="1139"/>
      <c r="AB6" s="1139"/>
      <c r="AC6" s="1139"/>
      <c r="AD6" s="1139"/>
      <c r="AE6" s="1139"/>
      <c r="AF6" s="1139"/>
      <c r="AG6" s="1139"/>
      <c r="AH6" s="1139"/>
      <c r="AI6" s="1139"/>
      <c r="AJ6" s="1139"/>
      <c r="AK6" s="1139"/>
      <c r="AL6" s="1139"/>
      <c r="AM6" s="1139"/>
      <c r="AN6" s="1139"/>
      <c r="AO6" s="1139"/>
      <c r="AP6" s="1139"/>
      <c r="AQ6" s="1139"/>
      <c r="AR6" s="1139"/>
      <c r="AS6" s="1139"/>
    </row>
    <row r="7" s="1036" customFormat="1" spans="1:45">
      <c r="A7" s="1061"/>
      <c r="B7" s="1070" t="s">
        <v>1684</v>
      </c>
      <c r="C7" s="1071"/>
      <c r="D7" s="1072"/>
      <c r="E7" s="1072"/>
      <c r="F7" s="1073"/>
      <c r="G7" s="1073"/>
      <c r="H7" s="1073"/>
      <c r="I7" s="1073"/>
      <c r="J7" s="1073"/>
      <c r="K7" s="1073"/>
      <c r="L7" s="1073"/>
      <c r="M7" s="1111"/>
      <c r="N7" s="1112"/>
      <c r="O7" s="1113"/>
      <c r="P7" s="1114"/>
      <c r="Q7" s="1141"/>
      <c r="R7" s="1142"/>
      <c r="S7" s="1143"/>
      <c r="T7" s="1144"/>
      <c r="U7" s="1139"/>
      <c r="V7" s="1139"/>
      <c r="W7" s="1139"/>
      <c r="X7" s="1139"/>
      <c r="Y7" s="1139"/>
      <c r="Z7" s="1139"/>
      <c r="AA7" s="1139"/>
      <c r="AB7" s="1139"/>
      <c r="AC7" s="1139"/>
      <c r="AD7" s="1139"/>
      <c r="AE7" s="1139"/>
      <c r="AF7" s="1139"/>
      <c r="AG7" s="1139"/>
      <c r="AH7" s="1139"/>
      <c r="AI7" s="1139"/>
      <c r="AJ7" s="1139"/>
      <c r="AK7" s="1139"/>
      <c r="AL7" s="1139"/>
      <c r="AM7" s="1139"/>
      <c r="AN7" s="1139"/>
      <c r="AO7" s="1139"/>
      <c r="AP7" s="1139"/>
      <c r="AQ7" s="1139"/>
      <c r="AR7" s="1139"/>
      <c r="AS7" s="1139"/>
    </row>
    <row r="8" s="1036" customFormat="1" ht="13.95" spans="1:45">
      <c r="A8" s="1061"/>
      <c r="B8" s="1066"/>
      <c r="C8" s="1067">
        <v>100</v>
      </c>
      <c r="D8" s="1068">
        <f>C8-$T7</f>
        <v>100</v>
      </c>
      <c r="E8" s="1068">
        <f t="shared" ref="E8:S8" si="8">D8-$T7</f>
        <v>100</v>
      </c>
      <c r="F8" s="1069">
        <f t="shared" si="8"/>
        <v>100</v>
      </c>
      <c r="G8" s="1069">
        <f t="shared" si="8"/>
        <v>100</v>
      </c>
      <c r="H8" s="1069">
        <f t="shared" si="8"/>
        <v>100</v>
      </c>
      <c r="I8" s="1069">
        <f t="shared" si="8"/>
        <v>100</v>
      </c>
      <c r="J8" s="1069">
        <f t="shared" si="8"/>
        <v>100</v>
      </c>
      <c r="K8" s="1069">
        <f t="shared" si="8"/>
        <v>100</v>
      </c>
      <c r="L8" s="1069">
        <f t="shared" si="8"/>
        <v>100</v>
      </c>
      <c r="M8" s="1069">
        <f t="shared" si="8"/>
        <v>100</v>
      </c>
      <c r="N8" s="1069">
        <f t="shared" si="8"/>
        <v>100</v>
      </c>
      <c r="O8" s="1069">
        <f t="shared" si="8"/>
        <v>100</v>
      </c>
      <c r="P8" s="1069">
        <f t="shared" si="8"/>
        <v>100</v>
      </c>
      <c r="Q8" s="1069">
        <f t="shared" si="8"/>
        <v>100</v>
      </c>
      <c r="R8" s="1069">
        <f t="shared" si="8"/>
        <v>100</v>
      </c>
      <c r="S8" s="1069">
        <f t="shared" si="8"/>
        <v>100</v>
      </c>
      <c r="T8" s="1140"/>
      <c r="U8" s="1139"/>
      <c r="V8" s="1139"/>
      <c r="W8" s="1139"/>
      <c r="X8" s="1139"/>
      <c r="Y8" s="1139"/>
      <c r="Z8" s="1139"/>
      <c r="AA8" s="1139"/>
      <c r="AB8" s="1139"/>
      <c r="AC8" s="1139"/>
      <c r="AD8" s="1139"/>
      <c r="AE8" s="1139"/>
      <c r="AF8" s="1139"/>
      <c r="AG8" s="1139"/>
      <c r="AH8" s="1139"/>
      <c r="AI8" s="1139"/>
      <c r="AJ8" s="1139"/>
      <c r="AK8" s="1139"/>
      <c r="AL8" s="1139"/>
      <c r="AM8" s="1139"/>
      <c r="AN8" s="1139"/>
      <c r="AO8" s="1139"/>
      <c r="AP8" s="1139"/>
      <c r="AQ8" s="1139"/>
      <c r="AR8" s="1139"/>
      <c r="AS8" s="1139"/>
    </row>
    <row r="9" s="1036" customFormat="1" spans="1:45">
      <c r="A9" s="1061"/>
      <c r="B9" s="1070" t="s">
        <v>1685</v>
      </c>
      <c r="C9" s="1071"/>
      <c r="D9" s="1072"/>
      <c r="E9" s="1072"/>
      <c r="F9" s="1073"/>
      <c r="G9" s="1073"/>
      <c r="H9" s="1073"/>
      <c r="I9" s="1073"/>
      <c r="J9" s="1073"/>
      <c r="K9" s="1073"/>
      <c r="L9" s="1115"/>
      <c r="M9" s="1111"/>
      <c r="N9" s="1112"/>
      <c r="O9" s="1113"/>
      <c r="P9" s="1114"/>
      <c r="Q9" s="1141"/>
      <c r="R9" s="1142"/>
      <c r="S9" s="1143"/>
      <c r="T9" s="1144"/>
      <c r="U9" s="1139"/>
      <c r="V9" s="1139"/>
      <c r="W9" s="1139"/>
      <c r="X9" s="1139"/>
      <c r="Y9" s="1139"/>
      <c r="Z9" s="1139"/>
      <c r="AA9" s="1139"/>
      <c r="AB9" s="1139"/>
      <c r="AC9" s="1139"/>
      <c r="AD9" s="1139"/>
      <c r="AE9" s="1139"/>
      <c r="AF9" s="1139"/>
      <c r="AG9" s="1139"/>
      <c r="AH9" s="1139"/>
      <c r="AI9" s="1139"/>
      <c r="AJ9" s="1139"/>
      <c r="AK9" s="1139"/>
      <c r="AL9" s="1139"/>
      <c r="AM9" s="1139"/>
      <c r="AN9" s="1139"/>
      <c r="AO9" s="1139"/>
      <c r="AP9" s="1139"/>
      <c r="AQ9" s="1139"/>
      <c r="AR9" s="1139"/>
      <c r="AS9" s="1139"/>
    </row>
    <row r="10" s="1036" customFormat="1" ht="13.95" spans="1:45">
      <c r="A10" s="1061"/>
      <c r="B10" s="1057"/>
      <c r="C10" s="1074">
        <v>100</v>
      </c>
      <c r="D10" s="1075">
        <f>C10-$T9</f>
        <v>100</v>
      </c>
      <c r="E10" s="1075">
        <f t="shared" ref="E10:S10" si="9">D10-$T9</f>
        <v>100</v>
      </c>
      <c r="F10" s="833">
        <f t="shared" si="9"/>
        <v>100</v>
      </c>
      <c r="G10" s="833">
        <f t="shared" si="9"/>
        <v>100</v>
      </c>
      <c r="H10" s="833">
        <f t="shared" si="9"/>
        <v>100</v>
      </c>
      <c r="I10" s="833">
        <f t="shared" si="9"/>
        <v>100</v>
      </c>
      <c r="J10" s="833">
        <f t="shared" si="9"/>
        <v>100</v>
      </c>
      <c r="K10" s="833">
        <f t="shared" si="9"/>
        <v>100</v>
      </c>
      <c r="L10" s="833">
        <f t="shared" si="9"/>
        <v>100</v>
      </c>
      <c r="M10" s="833">
        <f t="shared" si="9"/>
        <v>100</v>
      </c>
      <c r="N10" s="833">
        <f t="shared" si="9"/>
        <v>100</v>
      </c>
      <c r="O10" s="833">
        <f t="shared" si="9"/>
        <v>100</v>
      </c>
      <c r="P10" s="833">
        <f t="shared" si="9"/>
        <v>100</v>
      </c>
      <c r="Q10" s="833">
        <f t="shared" si="9"/>
        <v>100</v>
      </c>
      <c r="R10" s="833">
        <f t="shared" si="9"/>
        <v>100</v>
      </c>
      <c r="S10" s="833">
        <f t="shared" si="9"/>
        <v>100</v>
      </c>
      <c r="T10" s="1136"/>
      <c r="U10" s="1139"/>
      <c r="V10" s="1139"/>
      <c r="W10" s="1139"/>
      <c r="X10" s="1139"/>
      <c r="Y10" s="1139"/>
      <c r="Z10" s="1139"/>
      <c r="AA10" s="1139"/>
      <c r="AB10" s="1139"/>
      <c r="AC10" s="1139"/>
      <c r="AD10" s="1139"/>
      <c r="AE10" s="1139"/>
      <c r="AF10" s="1139"/>
      <c r="AG10" s="1139"/>
      <c r="AH10" s="1139"/>
      <c r="AI10" s="1139"/>
      <c r="AJ10" s="1139"/>
      <c r="AK10" s="1139"/>
      <c r="AL10" s="1139"/>
      <c r="AM10" s="1139"/>
      <c r="AN10" s="1139"/>
      <c r="AO10" s="1139"/>
      <c r="AP10" s="1139"/>
      <c r="AQ10" s="1139"/>
      <c r="AR10" s="1139"/>
      <c r="AS10" s="1139"/>
    </row>
    <row r="11" s="1036" customFormat="1" spans="1:45">
      <c r="A11" s="1061"/>
      <c r="B11" s="1062" t="s">
        <v>1686</v>
      </c>
      <c r="C11" s="1063"/>
      <c r="D11" s="1064"/>
      <c r="E11" s="1064"/>
      <c r="F11" s="1064"/>
      <c r="G11" s="1064"/>
      <c r="H11" s="1064"/>
      <c r="I11" s="1064"/>
      <c r="J11" s="1064"/>
      <c r="K11" s="1064"/>
      <c r="L11" s="1064"/>
      <c r="M11" s="1116"/>
      <c r="N11" s="1117"/>
      <c r="O11" s="1118"/>
      <c r="P11" s="1119"/>
      <c r="Q11" s="1145"/>
      <c r="R11" s="1146"/>
      <c r="S11" s="1147"/>
      <c r="T11" s="1138"/>
      <c r="U11" s="1139"/>
      <c r="V11" s="1139"/>
      <c r="W11" s="1139"/>
      <c r="X11" s="1139"/>
      <c r="Y11" s="1139"/>
      <c r="Z11" s="1139"/>
      <c r="AA11" s="1139"/>
      <c r="AB11" s="1139"/>
      <c r="AC11" s="1139"/>
      <c r="AD11" s="1139"/>
      <c r="AE11" s="1139"/>
      <c r="AF11" s="1139"/>
      <c r="AG11" s="1139"/>
      <c r="AH11" s="1139"/>
      <c r="AI11" s="1139"/>
      <c r="AJ11" s="1139"/>
      <c r="AK11" s="1139"/>
      <c r="AL11" s="1139"/>
      <c r="AM11" s="1139"/>
      <c r="AN11" s="1139"/>
      <c r="AO11" s="1139"/>
      <c r="AP11" s="1139"/>
      <c r="AQ11" s="1139"/>
      <c r="AR11" s="1139"/>
      <c r="AS11" s="1139"/>
    </row>
    <row r="12" s="1036" customFormat="1" ht="13.95" spans="1:45">
      <c r="A12" s="1061"/>
      <c r="B12" s="1066"/>
      <c r="C12" s="1067">
        <v>100</v>
      </c>
      <c r="D12" s="1068">
        <f>C12-$T11</f>
        <v>100</v>
      </c>
      <c r="E12" s="1068">
        <f t="shared" ref="E12:S12" si="10">D12-$T11</f>
        <v>100</v>
      </c>
      <c r="F12" s="1068">
        <f t="shared" si="10"/>
        <v>100</v>
      </c>
      <c r="G12" s="1068">
        <f t="shared" si="10"/>
        <v>100</v>
      </c>
      <c r="H12" s="1068">
        <f t="shared" si="10"/>
        <v>100</v>
      </c>
      <c r="I12" s="1068">
        <f t="shared" si="10"/>
        <v>100</v>
      </c>
      <c r="J12" s="1068">
        <f t="shared" si="10"/>
        <v>100</v>
      </c>
      <c r="K12" s="1068">
        <f t="shared" si="10"/>
        <v>100</v>
      </c>
      <c r="L12" s="1068">
        <f t="shared" si="10"/>
        <v>100</v>
      </c>
      <c r="M12" s="1068">
        <f t="shared" si="10"/>
        <v>100</v>
      </c>
      <c r="N12" s="1068">
        <f t="shared" si="10"/>
        <v>100</v>
      </c>
      <c r="O12" s="1068">
        <f t="shared" si="10"/>
        <v>100</v>
      </c>
      <c r="P12" s="1068">
        <f t="shared" si="10"/>
        <v>100</v>
      </c>
      <c r="Q12" s="1068">
        <f t="shared" si="10"/>
        <v>100</v>
      </c>
      <c r="R12" s="1068">
        <f t="shared" si="10"/>
        <v>100</v>
      </c>
      <c r="S12" s="1068">
        <f t="shared" si="10"/>
        <v>100</v>
      </c>
      <c r="T12" s="1140"/>
      <c r="U12" s="1139"/>
      <c r="V12" s="1139"/>
      <c r="W12" s="1139"/>
      <c r="X12" s="1139"/>
      <c r="Y12" s="1139"/>
      <c r="Z12" s="1139"/>
      <c r="AA12" s="1139"/>
      <c r="AB12" s="1139"/>
      <c r="AC12" s="1139"/>
      <c r="AD12" s="1139"/>
      <c r="AE12" s="1139"/>
      <c r="AF12" s="1139"/>
      <c r="AG12" s="1139"/>
      <c r="AH12" s="1139"/>
      <c r="AI12" s="1139"/>
      <c r="AJ12" s="1139"/>
      <c r="AK12" s="1139"/>
      <c r="AL12" s="1139"/>
      <c r="AM12" s="1139"/>
      <c r="AN12" s="1139"/>
      <c r="AO12" s="1139"/>
      <c r="AP12" s="1139"/>
      <c r="AQ12" s="1139"/>
      <c r="AR12" s="1139"/>
      <c r="AS12" s="1139"/>
    </row>
    <row r="13" s="1036" customFormat="1" spans="1:45">
      <c r="A13" s="1061"/>
      <c r="B13" s="1062" t="s">
        <v>1687</v>
      </c>
      <c r="C13" s="1063"/>
      <c r="D13" s="1064"/>
      <c r="E13" s="1064"/>
      <c r="F13" s="1064"/>
      <c r="G13" s="1064"/>
      <c r="H13" s="1064"/>
      <c r="I13" s="1064"/>
      <c r="J13" s="1064"/>
      <c r="K13" s="1064"/>
      <c r="L13" s="1064"/>
      <c r="M13" s="1116"/>
      <c r="N13" s="1117"/>
      <c r="O13" s="1118"/>
      <c r="P13" s="1119"/>
      <c r="Q13" s="1145"/>
      <c r="R13" s="1146"/>
      <c r="S13" s="1147"/>
      <c r="T13" s="1148"/>
      <c r="U13" s="1139"/>
      <c r="V13" s="1139"/>
      <c r="W13" s="1139"/>
      <c r="X13" s="1139"/>
      <c r="Y13" s="1139"/>
      <c r="Z13" s="1139"/>
      <c r="AA13" s="1139"/>
      <c r="AB13" s="1139"/>
      <c r="AC13" s="1139"/>
      <c r="AD13" s="1139"/>
      <c r="AE13" s="1139"/>
      <c r="AF13" s="1139"/>
      <c r="AG13" s="1139"/>
      <c r="AH13" s="1139"/>
      <c r="AI13" s="1139"/>
      <c r="AJ13" s="1139"/>
      <c r="AK13" s="1139"/>
      <c r="AL13" s="1139"/>
      <c r="AM13" s="1139"/>
      <c r="AN13" s="1139"/>
      <c r="AO13" s="1139"/>
      <c r="AP13" s="1139"/>
      <c r="AQ13" s="1139"/>
      <c r="AR13" s="1139"/>
      <c r="AS13" s="1139"/>
    </row>
    <row r="14" s="1036" customFormat="1" ht="13.95" spans="1:45">
      <c r="A14" s="1061"/>
      <c r="B14" s="1066"/>
      <c r="C14" s="1076"/>
      <c r="D14" s="1077"/>
      <c r="E14" s="1077"/>
      <c r="F14" s="1077"/>
      <c r="G14" s="1077"/>
      <c r="H14" s="1077"/>
      <c r="I14" s="1077"/>
      <c r="J14" s="1077"/>
      <c r="K14" s="1077"/>
      <c r="L14" s="1077"/>
      <c r="M14" s="1120"/>
      <c r="N14" s="1120"/>
      <c r="O14" s="1077"/>
      <c r="P14" s="1077"/>
      <c r="Q14" s="1077"/>
      <c r="R14" s="1077"/>
      <c r="S14" s="1149"/>
      <c r="T14" s="1140"/>
      <c r="U14" s="1139"/>
      <c r="V14" s="1139"/>
      <c r="W14" s="1139"/>
      <c r="X14" s="1139"/>
      <c r="Y14" s="1139"/>
      <c r="Z14" s="1139"/>
      <c r="AA14" s="1139"/>
      <c r="AB14" s="1139"/>
      <c r="AC14" s="1139"/>
      <c r="AD14" s="1139"/>
      <c r="AE14" s="1139"/>
      <c r="AF14" s="1139"/>
      <c r="AG14" s="1139"/>
      <c r="AH14" s="1139"/>
      <c r="AI14" s="1139"/>
      <c r="AJ14" s="1139"/>
      <c r="AK14" s="1139"/>
      <c r="AL14" s="1139"/>
      <c r="AM14" s="1139"/>
      <c r="AN14" s="1139"/>
      <c r="AO14" s="1139"/>
      <c r="AP14" s="1139"/>
      <c r="AQ14" s="1139"/>
      <c r="AR14" s="1139"/>
      <c r="AS14" s="1139"/>
    </row>
    <row r="15" s="1036" customFormat="1" spans="1:45">
      <c r="A15" s="1061"/>
      <c r="B15" s="1062" t="s">
        <v>1688</v>
      </c>
      <c r="C15" s="1063"/>
      <c r="D15" s="1064"/>
      <c r="E15" s="1064"/>
      <c r="F15" s="1064"/>
      <c r="G15" s="1064"/>
      <c r="H15" s="1064"/>
      <c r="I15" s="1064"/>
      <c r="J15" s="1064"/>
      <c r="K15" s="1064"/>
      <c r="L15" s="1064"/>
      <c r="M15" s="1116"/>
      <c r="N15" s="1117"/>
      <c r="O15" s="1118"/>
      <c r="P15" s="1119"/>
      <c r="Q15" s="1145"/>
      <c r="R15" s="1146"/>
      <c r="S15" s="1147"/>
      <c r="T15" s="1148"/>
      <c r="U15" s="1139"/>
      <c r="V15" s="1139"/>
      <c r="W15" s="1139"/>
      <c r="X15" s="1139"/>
      <c r="Y15" s="1139"/>
      <c r="Z15" s="1139"/>
      <c r="AA15" s="1139"/>
      <c r="AB15" s="1139"/>
      <c r="AC15" s="1139"/>
      <c r="AD15" s="1139"/>
      <c r="AE15" s="1139"/>
      <c r="AF15" s="1139"/>
      <c r="AG15" s="1139"/>
      <c r="AH15" s="1139"/>
      <c r="AI15" s="1139"/>
      <c r="AJ15" s="1139"/>
      <c r="AK15" s="1139"/>
      <c r="AL15" s="1139"/>
      <c r="AM15" s="1139"/>
      <c r="AN15" s="1139"/>
      <c r="AO15" s="1139"/>
      <c r="AP15" s="1139"/>
      <c r="AQ15" s="1139"/>
      <c r="AR15" s="1139"/>
      <c r="AS15" s="1139"/>
    </row>
    <row r="16" s="1036" customFormat="1" ht="13.95" spans="1:45">
      <c r="A16" s="1061"/>
      <c r="B16" s="1057"/>
      <c r="C16" s="1058"/>
      <c r="D16" s="1059"/>
      <c r="E16" s="1059"/>
      <c r="F16" s="1059"/>
      <c r="G16" s="1059"/>
      <c r="H16" s="1059"/>
      <c r="I16" s="1059"/>
      <c r="J16" s="1059"/>
      <c r="K16" s="1059"/>
      <c r="L16" s="1059"/>
      <c r="M16" s="1121"/>
      <c r="N16" s="1121"/>
      <c r="O16" s="1059"/>
      <c r="P16" s="1059"/>
      <c r="Q16" s="1059"/>
      <c r="R16" s="1059"/>
      <c r="S16" s="1150"/>
      <c r="T16" s="1136"/>
      <c r="U16" s="1139"/>
      <c r="V16" s="1139"/>
      <c r="W16" s="1139"/>
      <c r="X16" s="1139"/>
      <c r="Y16" s="1139"/>
      <c r="Z16" s="1139"/>
      <c r="AA16" s="1139"/>
      <c r="AB16" s="1139"/>
      <c r="AC16" s="1139"/>
      <c r="AD16" s="1139"/>
      <c r="AE16" s="1139"/>
      <c r="AF16" s="1139"/>
      <c r="AG16" s="1139"/>
      <c r="AH16" s="1139"/>
      <c r="AI16" s="1139"/>
      <c r="AJ16" s="1139"/>
      <c r="AK16" s="1139"/>
      <c r="AL16" s="1139"/>
      <c r="AM16" s="1139"/>
      <c r="AN16" s="1139"/>
      <c r="AO16" s="1139"/>
      <c r="AP16" s="1139"/>
      <c r="AQ16" s="1139"/>
      <c r="AR16" s="1139"/>
      <c r="AS16" s="1139"/>
    </row>
    <row r="17" s="1034" customFormat="1" spans="1:45">
      <c r="A17" s="1078" t="s">
        <v>1689</v>
      </c>
      <c r="B17" s="1079" t="s">
        <v>1690</v>
      </c>
      <c r="C17" s="1080"/>
      <c r="D17" s="1081"/>
      <c r="E17" s="1081"/>
      <c r="F17" s="1081"/>
      <c r="G17" s="1081"/>
      <c r="H17" s="1081"/>
      <c r="I17" s="1081"/>
      <c r="J17" s="1081"/>
      <c r="K17" s="1081"/>
      <c r="L17" s="1122"/>
      <c r="M17" s="1123"/>
      <c r="N17" s="1124"/>
      <c r="O17" s="1125"/>
      <c r="P17" s="1126"/>
      <c r="Q17" s="1151"/>
      <c r="R17" s="1152"/>
      <c r="S17" s="1153"/>
      <c r="T17" s="1153"/>
      <c r="U17" s="1153"/>
      <c r="V17" s="1153"/>
      <c r="W17" s="1153"/>
      <c r="X17" s="1153"/>
      <c r="Y17" s="1153"/>
      <c r="Z17" s="1153"/>
      <c r="AA17" s="1153"/>
      <c r="AB17" s="1153"/>
      <c r="AC17" s="1153"/>
      <c r="AD17" s="1153"/>
      <c r="AE17" s="1153"/>
      <c r="AF17" s="1153"/>
      <c r="AG17" s="1153"/>
      <c r="AH17" s="1153"/>
      <c r="AI17" s="1153"/>
      <c r="AJ17" s="1153"/>
      <c r="AK17" s="1153"/>
      <c r="AL17" s="1153"/>
      <c r="AM17" s="1153"/>
      <c r="AN17" s="1153"/>
      <c r="AO17" s="1153"/>
      <c r="AP17" s="1153"/>
      <c r="AQ17" s="1153"/>
      <c r="AR17" s="1131"/>
      <c r="AS17" s="1131"/>
    </row>
    <row r="18" s="1034" customFormat="1" ht="13.95" spans="1:45">
      <c r="A18" s="1082"/>
      <c r="B18" s="1083"/>
      <c r="C18" s="1084"/>
      <c r="D18" s="1085"/>
      <c r="E18" s="1085"/>
      <c r="F18" s="1085"/>
      <c r="G18" s="1085"/>
      <c r="H18" s="1085"/>
      <c r="I18" s="1085"/>
      <c r="J18" s="1085"/>
      <c r="K18" s="1085"/>
      <c r="L18" s="1085"/>
      <c r="M18" s="1127"/>
      <c r="N18" s="1127"/>
      <c r="O18" s="1085"/>
      <c r="P18" s="1085"/>
      <c r="Q18" s="1085"/>
      <c r="R18" s="1085"/>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1131"/>
      <c r="AS18" s="1131"/>
    </row>
    <row r="19" spans="1:19">
      <c r="A19" s="1086"/>
      <c r="B19" s="1087"/>
      <c r="C19" s="1087"/>
      <c r="D19" s="1088" t="s">
        <v>1691</v>
      </c>
      <c r="E19" s="1089"/>
      <c r="F19" s="1089"/>
      <c r="G19" s="1089"/>
      <c r="H19" s="1090"/>
      <c r="I19" s="1087"/>
      <c r="J19" s="1087"/>
      <c r="K19" s="1087"/>
      <c r="L19" s="1087"/>
      <c r="M19" s="1087"/>
      <c r="N19" s="1087"/>
      <c r="O19" s="1087"/>
      <c r="P19" s="1087"/>
      <c r="Q19" s="1087"/>
      <c r="R19" s="1155"/>
      <c r="S19" s="1086"/>
    </row>
    <row r="20" ht="16.35" spans="1:19">
      <c r="A20" s="1091" t="s">
        <v>1692</v>
      </c>
      <c r="B20" s="1092" t="e">
        <f ca="1">IF(D20="——",S22,S22-F20)</f>
        <v>#REF!</v>
      </c>
      <c r="C20" s="1087"/>
      <c r="D20" s="1093"/>
      <c r="E20" s="1094"/>
      <c r="F20" s="1044" t="e">
        <f ca="1">SUMIF(INDIRECT("'"&amp;H20&amp;"'"&amp;"!A:A"),"承租人权益价值",INDIRECT("'"&amp;H20&amp;"'"&amp;"!c:c"))</f>
        <v>#REF!</v>
      </c>
      <c r="G20" s="1044" t="s">
        <v>805</v>
      </c>
      <c r="H20" s="1095"/>
      <c r="I20" s="1087"/>
      <c r="J20" s="1087"/>
      <c r="K20" s="1087"/>
      <c r="L20" s="1087"/>
      <c r="M20" s="1087"/>
      <c r="N20" s="1087"/>
      <c r="O20" s="1087"/>
      <c r="P20" s="1087"/>
      <c r="Q20" s="1087"/>
      <c r="R20" s="1155"/>
      <c r="S20" s="1086"/>
    </row>
    <row r="21" ht="15.6" spans="1:19">
      <c r="A21" s="1091" t="s">
        <v>1693</v>
      </c>
      <c r="B21" s="1092" t="e">
        <f ca="1">ROUND(B20*10000/B22,0)</f>
        <v>#REF!</v>
      </c>
      <c r="C21" s="1087"/>
      <c r="D21" s="1087"/>
      <c r="E21" s="1087"/>
      <c r="F21" s="1087"/>
      <c r="G21" s="1087"/>
      <c r="H21" s="1087"/>
      <c r="I21" s="1087"/>
      <c r="J21" s="1087"/>
      <c r="K21" s="1087"/>
      <c r="L21" s="1087"/>
      <c r="M21" s="1087"/>
      <c r="N21" s="1087"/>
      <c r="O21" s="1087"/>
      <c r="P21" s="1087"/>
      <c r="Q21" s="1087"/>
      <c r="R21" s="1155"/>
      <c r="S21" s="1086"/>
    </row>
    <row r="22" spans="1:19">
      <c r="A22" s="1096" t="s">
        <v>1694</v>
      </c>
      <c r="B22" s="1097">
        <f>SUM(B24:B10000)</f>
        <v>0</v>
      </c>
      <c r="C22" s="1098" t="s">
        <v>124</v>
      </c>
      <c r="D22" s="1099"/>
      <c r="E22" s="1099"/>
      <c r="F22" s="1099"/>
      <c r="G22" s="1099"/>
      <c r="H22" s="1099"/>
      <c r="I22" s="1099"/>
      <c r="J22" s="1099"/>
      <c r="K22" s="1099"/>
      <c r="L22" s="1099"/>
      <c r="M22" s="1099"/>
      <c r="N22" s="1099"/>
      <c r="O22" s="1099"/>
      <c r="P22" s="1099"/>
      <c r="Q22" s="1156"/>
      <c r="R22" s="1157" t="e">
        <f>ROUND(S22*10000/B22,0)</f>
        <v>#DIV/0!</v>
      </c>
      <c r="S22" s="1097">
        <f>SUM(S24:S10000)</f>
        <v>0</v>
      </c>
    </row>
    <row r="23" s="1037" customFormat="1" ht="24" spans="1:45">
      <c r="A23" s="1100" t="s">
        <v>1695</v>
      </c>
      <c r="B23" s="1100" t="s">
        <v>456</v>
      </c>
      <c r="C23" s="1100" t="s">
        <v>1682</v>
      </c>
      <c r="D23" s="1100" t="str">
        <f>B5</f>
        <v>修正项2</v>
      </c>
      <c r="E23" s="1100" t="s">
        <v>1682</v>
      </c>
      <c r="F23" s="1100" t="str">
        <f>B7</f>
        <v>修正项3</v>
      </c>
      <c r="G23" s="1100" t="s">
        <v>1682</v>
      </c>
      <c r="H23" s="1100" t="str">
        <f>B9</f>
        <v>修正项4</v>
      </c>
      <c r="I23" s="1100" t="s">
        <v>1682</v>
      </c>
      <c r="J23" s="1100" t="str">
        <f>B11</f>
        <v>修正项5</v>
      </c>
      <c r="K23" s="1100" t="s">
        <v>1682</v>
      </c>
      <c r="L23" s="1100" t="str">
        <f>B13</f>
        <v>修正项6</v>
      </c>
      <c r="M23" s="1100" t="s">
        <v>1682</v>
      </c>
      <c r="N23" s="1100" t="str">
        <f>B15</f>
        <v>修正项7</v>
      </c>
      <c r="O23" s="1100" t="s">
        <v>1682</v>
      </c>
      <c r="P23" s="1100" t="str">
        <f>B17</f>
        <v>楼层</v>
      </c>
      <c r="Q23" s="1100" t="s">
        <v>1682</v>
      </c>
      <c r="R23" s="1158" t="s">
        <v>1696</v>
      </c>
      <c r="S23" s="1100" t="s">
        <v>1697</v>
      </c>
      <c r="T23" s="1159"/>
      <c r="U23" s="1159"/>
      <c r="V23" s="1159"/>
      <c r="W23" s="1159"/>
      <c r="X23" s="1159"/>
      <c r="Y23" s="1159"/>
      <c r="Z23" s="1159"/>
      <c r="AA23" s="1159"/>
      <c r="AB23" s="1159"/>
      <c r="AC23" s="1159"/>
      <c r="AD23" s="1159"/>
      <c r="AE23" s="1159"/>
      <c r="AF23" s="1159"/>
      <c r="AG23" s="1159"/>
      <c r="AH23" s="1159"/>
      <c r="AI23" s="1159"/>
      <c r="AJ23" s="1159"/>
      <c r="AK23" s="1159"/>
      <c r="AL23" s="1159"/>
      <c r="AM23" s="1159"/>
      <c r="AN23" s="1159"/>
      <c r="AO23" s="1159"/>
      <c r="AP23" s="1159"/>
      <c r="AQ23" s="1159"/>
      <c r="AR23" s="1159"/>
      <c r="AS23" s="1159"/>
    </row>
    <row r="24" s="1038" customFormat="1" spans="1:45">
      <c r="A24" s="1101" t="s">
        <v>1698</v>
      </c>
      <c r="B24" s="1101"/>
      <c r="C24" s="1102">
        <v>1</v>
      </c>
      <c r="D24" s="1103"/>
      <c r="E24" s="1102">
        <v>1</v>
      </c>
      <c r="F24" s="1103"/>
      <c r="G24" s="1102">
        <v>1</v>
      </c>
      <c r="H24" s="1103"/>
      <c r="I24" s="1102">
        <v>1</v>
      </c>
      <c r="J24" s="1103"/>
      <c r="K24" s="1102">
        <v>1</v>
      </c>
      <c r="L24" s="1103"/>
      <c r="M24" s="1102">
        <v>1</v>
      </c>
      <c r="N24" s="1103"/>
      <c r="O24" s="1102">
        <v>1</v>
      </c>
      <c r="P24" s="1103"/>
      <c r="Q24" s="1102">
        <v>1</v>
      </c>
      <c r="R24" s="1160"/>
      <c r="S24" s="1161">
        <f t="shared" ref="S24:S54" si="11">ROUND(R24*B24/10000,0)</f>
        <v>0</v>
      </c>
      <c r="T24" s="1162"/>
      <c r="U24" s="1162"/>
      <c r="V24" s="1162"/>
      <c r="W24" s="1162"/>
      <c r="X24" s="1162"/>
      <c r="Y24" s="1162"/>
      <c r="Z24" s="1162"/>
      <c r="AA24" s="1162"/>
      <c r="AB24" s="1162"/>
      <c r="AC24" s="1162"/>
      <c r="AD24" s="1162"/>
      <c r="AE24" s="1162"/>
      <c r="AF24" s="1162"/>
      <c r="AG24" s="1162"/>
      <c r="AH24" s="1162"/>
      <c r="AI24" s="1162"/>
      <c r="AJ24" s="1162"/>
      <c r="AK24" s="1162"/>
      <c r="AL24" s="1162"/>
      <c r="AM24" s="1162"/>
      <c r="AN24" s="1162"/>
      <c r="AO24" s="1162"/>
      <c r="AP24" s="1162"/>
      <c r="AQ24" s="1162"/>
      <c r="AR24" s="1162"/>
      <c r="AS24" s="1162"/>
    </row>
    <row r="25" spans="1:19">
      <c r="A25" s="1104"/>
      <c r="B25" s="1105"/>
      <c r="C25" s="1097">
        <f>IF(B25="",1,(LOOKUP(B25,$3:$3,$4:$4)-LOOKUP($B$24,$3:$3,$4:$4)+100)/100)</f>
        <v>1</v>
      </c>
      <c r="D25" s="1106"/>
      <c r="E25" s="1097">
        <f>(SUMIF($5:$5,D25,$6:$6)-SUMIF($5:$5,$D$24,$6:$6)+100)/100</f>
        <v>1</v>
      </c>
      <c r="F25" s="1106"/>
      <c r="G25" s="1097">
        <f>(SUMIF($7:$7,F25,$8:$8)-SUMIF($7:$7,$F$24,$8:$8)+100)/100</f>
        <v>1</v>
      </c>
      <c r="H25" s="1106"/>
      <c r="I25" s="1097">
        <f>(SUMIF($9:$9,H25,$10:$10)-SUMIF($9:$9,$H$24,$10:$10)+100)/100</f>
        <v>1</v>
      </c>
      <c r="J25" s="1106"/>
      <c r="K25" s="1097">
        <f>(SUMIF($11:$11,J25,$12:$12)-SUMIF($11:$11,$J$24,$12:$12)+100)/100</f>
        <v>1</v>
      </c>
      <c r="L25" s="1106"/>
      <c r="M25" s="1097">
        <f>(SUMIF($13:$13,L25,$14:$14)-SUMIF($13:$13,$L$24,$14:$14)+100)/100</f>
        <v>1</v>
      </c>
      <c r="N25" s="1106"/>
      <c r="O25" s="1097">
        <f>(SUMIF($15:$15,N25,$16:$16)-SUMIF($15:$15,$N$24,$16:$16)+100)/100</f>
        <v>1</v>
      </c>
      <c r="P25" s="1106"/>
      <c r="Q25" s="1097">
        <f>(SUMIF($17:$17,P25,$18:$18)-SUMIF($17:$17,$P$24,$18:$18)+100)/100</f>
        <v>1</v>
      </c>
      <c r="R25" s="1157">
        <f>IF(B25="",0,ROUND($R$24*C25*E25*G25*I25*K25*M25*O25*Q25,0))</f>
        <v>0</v>
      </c>
      <c r="S25" s="1096">
        <f t="shared" si="11"/>
        <v>0</v>
      </c>
    </row>
    <row r="26" spans="1:19">
      <c r="A26" s="1104"/>
      <c r="B26" s="1105"/>
      <c r="C26" s="1097">
        <f t="shared" ref="C26:C89" si="12">IF(B26="",1,(LOOKUP(B26,$3:$3,$4:$4)-LOOKUP($B$24,$3:$3,$4:$4)+100)/100)</f>
        <v>1</v>
      </c>
      <c r="D26" s="1106"/>
      <c r="E26" s="1097">
        <f t="shared" ref="E26:E89" si="13">(SUMIF($5:$5,D26,$6:$6)-SUMIF($5:$5,$D$24,$6:$6)+100)/100</f>
        <v>1</v>
      </c>
      <c r="F26" s="1106"/>
      <c r="G26" s="1097">
        <f t="shared" ref="G26:G89" si="14">(SUMIF($7:$7,F26,$8:$8)-SUMIF($7:$7,$F$24,$8:$8)+100)/100</f>
        <v>1</v>
      </c>
      <c r="H26" s="1106"/>
      <c r="I26" s="1097">
        <f t="shared" ref="I26:I89" si="15">(SUMIF($9:$9,H26,$10:$10)-SUMIF($9:$9,$H$24,$10:$10)+100)/100</f>
        <v>1</v>
      </c>
      <c r="J26" s="1106"/>
      <c r="K26" s="1097">
        <f t="shared" ref="K26:K89" si="16">(SUMIF($11:$11,J26,$12:$12)-SUMIF($11:$11,$J$24,$12:$12)+100)/100</f>
        <v>1</v>
      </c>
      <c r="L26" s="1106"/>
      <c r="M26" s="1097">
        <f t="shared" ref="M26:M89" si="17">(SUMIF($13:$13,L26,$14:$14)-SUMIF($13:$13,$L$24,$14:$14)+100)/100</f>
        <v>1</v>
      </c>
      <c r="N26" s="1106"/>
      <c r="O26" s="1097">
        <f t="shared" ref="O26:O89" si="18">(SUMIF($15:$15,N26,$16:$16)-SUMIF($15:$15,$N$24,$16:$16)+100)/100</f>
        <v>1</v>
      </c>
      <c r="P26" s="1106"/>
      <c r="Q26" s="1097">
        <f t="shared" ref="Q26:Q89" si="19">(SUMIF($17:$17,P26,$18:$18)-SUMIF($17:$17,$P$24,$18:$18)+100)/100</f>
        <v>1</v>
      </c>
      <c r="R26" s="1157">
        <f t="shared" ref="R26:R89" si="20">IF(B26="",0,ROUND($R$24*C26*E26*G26*I26*K26*M26*O26*Q26,0))</f>
        <v>0</v>
      </c>
      <c r="S26" s="1096">
        <f t="shared" si="11"/>
        <v>0</v>
      </c>
    </row>
    <row r="27" spans="1:19">
      <c r="A27" s="1104"/>
      <c r="B27" s="1105"/>
      <c r="C27" s="1097">
        <f t="shared" si="12"/>
        <v>1</v>
      </c>
      <c r="D27" s="1106"/>
      <c r="E27" s="1097">
        <f t="shared" si="13"/>
        <v>1</v>
      </c>
      <c r="F27" s="1106"/>
      <c r="G27" s="1097">
        <f t="shared" si="14"/>
        <v>1</v>
      </c>
      <c r="H27" s="1106"/>
      <c r="I27" s="1097">
        <f t="shared" si="15"/>
        <v>1</v>
      </c>
      <c r="J27" s="1106"/>
      <c r="K27" s="1097">
        <f t="shared" si="16"/>
        <v>1</v>
      </c>
      <c r="L27" s="1106"/>
      <c r="M27" s="1097">
        <f t="shared" si="17"/>
        <v>1</v>
      </c>
      <c r="N27" s="1106"/>
      <c r="O27" s="1097">
        <f t="shared" si="18"/>
        <v>1</v>
      </c>
      <c r="P27" s="1106"/>
      <c r="Q27" s="1097">
        <f t="shared" si="19"/>
        <v>1</v>
      </c>
      <c r="R27" s="1157">
        <f t="shared" si="20"/>
        <v>0</v>
      </c>
      <c r="S27" s="1096">
        <f t="shared" si="11"/>
        <v>0</v>
      </c>
    </row>
    <row r="28" spans="1:19">
      <c r="A28" s="1104"/>
      <c r="B28" s="1105"/>
      <c r="C28" s="1097">
        <f t="shared" si="12"/>
        <v>1</v>
      </c>
      <c r="D28" s="1106"/>
      <c r="E28" s="1097">
        <f t="shared" si="13"/>
        <v>1</v>
      </c>
      <c r="F28" s="1106"/>
      <c r="G28" s="1097">
        <f t="shared" si="14"/>
        <v>1</v>
      </c>
      <c r="H28" s="1106"/>
      <c r="I28" s="1097">
        <f t="shared" si="15"/>
        <v>1</v>
      </c>
      <c r="J28" s="1106"/>
      <c r="K28" s="1097">
        <f t="shared" si="16"/>
        <v>1</v>
      </c>
      <c r="L28" s="1106"/>
      <c r="M28" s="1097">
        <f t="shared" si="17"/>
        <v>1</v>
      </c>
      <c r="N28" s="1106"/>
      <c r="O28" s="1097">
        <f t="shared" si="18"/>
        <v>1</v>
      </c>
      <c r="P28" s="1106"/>
      <c r="Q28" s="1097">
        <f t="shared" si="19"/>
        <v>1</v>
      </c>
      <c r="R28" s="1157">
        <f t="shared" si="20"/>
        <v>0</v>
      </c>
      <c r="S28" s="1096">
        <f t="shared" si="11"/>
        <v>0</v>
      </c>
    </row>
    <row r="29" spans="1:19">
      <c r="A29" s="1104"/>
      <c r="B29" s="1105"/>
      <c r="C29" s="1097">
        <f t="shared" si="12"/>
        <v>1</v>
      </c>
      <c r="D29" s="1106"/>
      <c r="E29" s="1097">
        <f t="shared" si="13"/>
        <v>1</v>
      </c>
      <c r="F29" s="1106"/>
      <c r="G29" s="1097">
        <f t="shared" si="14"/>
        <v>1</v>
      </c>
      <c r="H29" s="1106"/>
      <c r="I29" s="1097">
        <f t="shared" si="15"/>
        <v>1</v>
      </c>
      <c r="J29" s="1106"/>
      <c r="K29" s="1097">
        <f t="shared" si="16"/>
        <v>1</v>
      </c>
      <c r="L29" s="1106"/>
      <c r="M29" s="1097">
        <f t="shared" si="17"/>
        <v>1</v>
      </c>
      <c r="N29" s="1106"/>
      <c r="O29" s="1097">
        <f t="shared" si="18"/>
        <v>1</v>
      </c>
      <c r="P29" s="1106"/>
      <c r="Q29" s="1097">
        <f t="shared" si="19"/>
        <v>1</v>
      </c>
      <c r="R29" s="1157">
        <f t="shared" si="20"/>
        <v>0</v>
      </c>
      <c r="S29" s="1096">
        <f t="shared" si="11"/>
        <v>0</v>
      </c>
    </row>
    <row r="30" spans="1:19">
      <c r="A30" s="1104"/>
      <c r="B30" s="1105"/>
      <c r="C30" s="1097">
        <f t="shared" si="12"/>
        <v>1</v>
      </c>
      <c r="D30" s="1106"/>
      <c r="E30" s="1097">
        <f t="shared" si="13"/>
        <v>1</v>
      </c>
      <c r="F30" s="1106"/>
      <c r="G30" s="1097">
        <f t="shared" si="14"/>
        <v>1</v>
      </c>
      <c r="H30" s="1106"/>
      <c r="I30" s="1097">
        <f t="shared" si="15"/>
        <v>1</v>
      </c>
      <c r="J30" s="1106"/>
      <c r="K30" s="1097">
        <f t="shared" si="16"/>
        <v>1</v>
      </c>
      <c r="L30" s="1106"/>
      <c r="M30" s="1097">
        <f t="shared" si="17"/>
        <v>1</v>
      </c>
      <c r="N30" s="1106"/>
      <c r="O30" s="1097">
        <f t="shared" si="18"/>
        <v>1</v>
      </c>
      <c r="P30" s="1106"/>
      <c r="Q30" s="1097">
        <f t="shared" si="19"/>
        <v>1</v>
      </c>
      <c r="R30" s="1157">
        <f t="shared" si="20"/>
        <v>0</v>
      </c>
      <c r="S30" s="1096">
        <f t="shared" si="11"/>
        <v>0</v>
      </c>
    </row>
    <row r="31" spans="1:19">
      <c r="A31" s="1104"/>
      <c r="B31" s="1105"/>
      <c r="C31" s="1097">
        <f t="shared" si="12"/>
        <v>1</v>
      </c>
      <c r="D31" s="1106"/>
      <c r="E31" s="1097">
        <f t="shared" si="13"/>
        <v>1</v>
      </c>
      <c r="F31" s="1106"/>
      <c r="G31" s="1097">
        <f t="shared" si="14"/>
        <v>1</v>
      </c>
      <c r="H31" s="1106"/>
      <c r="I31" s="1097">
        <f t="shared" si="15"/>
        <v>1</v>
      </c>
      <c r="J31" s="1106"/>
      <c r="K31" s="1097">
        <f t="shared" si="16"/>
        <v>1</v>
      </c>
      <c r="L31" s="1106"/>
      <c r="M31" s="1097">
        <f t="shared" si="17"/>
        <v>1</v>
      </c>
      <c r="N31" s="1106"/>
      <c r="O31" s="1097">
        <f t="shared" si="18"/>
        <v>1</v>
      </c>
      <c r="P31" s="1106"/>
      <c r="Q31" s="1097">
        <f t="shared" si="19"/>
        <v>1</v>
      </c>
      <c r="R31" s="1157">
        <f t="shared" si="20"/>
        <v>0</v>
      </c>
      <c r="S31" s="1096">
        <f t="shared" si="11"/>
        <v>0</v>
      </c>
    </row>
    <row r="32" spans="1:19">
      <c r="A32" s="1104"/>
      <c r="B32" s="1105"/>
      <c r="C32" s="1097">
        <f t="shared" si="12"/>
        <v>1</v>
      </c>
      <c r="D32" s="1106"/>
      <c r="E32" s="1097">
        <f t="shared" si="13"/>
        <v>1</v>
      </c>
      <c r="F32" s="1106"/>
      <c r="G32" s="1097">
        <f t="shared" si="14"/>
        <v>1</v>
      </c>
      <c r="H32" s="1106"/>
      <c r="I32" s="1097">
        <f t="shared" si="15"/>
        <v>1</v>
      </c>
      <c r="J32" s="1106"/>
      <c r="K32" s="1097">
        <f t="shared" si="16"/>
        <v>1</v>
      </c>
      <c r="L32" s="1106"/>
      <c r="M32" s="1097">
        <f t="shared" si="17"/>
        <v>1</v>
      </c>
      <c r="N32" s="1106"/>
      <c r="O32" s="1097">
        <f t="shared" si="18"/>
        <v>1</v>
      </c>
      <c r="P32" s="1106"/>
      <c r="Q32" s="1097">
        <f t="shared" si="19"/>
        <v>1</v>
      </c>
      <c r="R32" s="1157">
        <f t="shared" si="20"/>
        <v>0</v>
      </c>
      <c r="S32" s="1096">
        <f t="shared" si="11"/>
        <v>0</v>
      </c>
    </row>
    <row r="33" spans="1:19">
      <c r="A33" s="1104"/>
      <c r="B33" s="1105"/>
      <c r="C33" s="1097">
        <f t="shared" si="12"/>
        <v>1</v>
      </c>
      <c r="D33" s="1106"/>
      <c r="E33" s="1097">
        <f t="shared" si="13"/>
        <v>1</v>
      </c>
      <c r="F33" s="1106"/>
      <c r="G33" s="1097">
        <f t="shared" si="14"/>
        <v>1</v>
      </c>
      <c r="H33" s="1106"/>
      <c r="I33" s="1097">
        <f t="shared" si="15"/>
        <v>1</v>
      </c>
      <c r="J33" s="1106"/>
      <c r="K33" s="1097">
        <f t="shared" si="16"/>
        <v>1</v>
      </c>
      <c r="L33" s="1106"/>
      <c r="M33" s="1097">
        <f t="shared" si="17"/>
        <v>1</v>
      </c>
      <c r="N33" s="1106"/>
      <c r="O33" s="1097">
        <f t="shared" si="18"/>
        <v>1</v>
      </c>
      <c r="P33" s="1106"/>
      <c r="Q33" s="1097">
        <f t="shared" si="19"/>
        <v>1</v>
      </c>
      <c r="R33" s="1157">
        <f t="shared" si="20"/>
        <v>0</v>
      </c>
      <c r="S33" s="1096">
        <f t="shared" si="11"/>
        <v>0</v>
      </c>
    </row>
    <row r="34" spans="1:19">
      <c r="A34" s="1104"/>
      <c r="B34" s="1105"/>
      <c r="C34" s="1097">
        <f t="shared" si="12"/>
        <v>1</v>
      </c>
      <c r="D34" s="1106"/>
      <c r="E34" s="1097">
        <f t="shared" si="13"/>
        <v>1</v>
      </c>
      <c r="F34" s="1106"/>
      <c r="G34" s="1097">
        <f t="shared" si="14"/>
        <v>1</v>
      </c>
      <c r="H34" s="1106"/>
      <c r="I34" s="1097">
        <f t="shared" si="15"/>
        <v>1</v>
      </c>
      <c r="J34" s="1106"/>
      <c r="K34" s="1097">
        <f t="shared" si="16"/>
        <v>1</v>
      </c>
      <c r="L34" s="1106"/>
      <c r="M34" s="1097">
        <f t="shared" si="17"/>
        <v>1</v>
      </c>
      <c r="N34" s="1106"/>
      <c r="O34" s="1097">
        <f t="shared" si="18"/>
        <v>1</v>
      </c>
      <c r="P34" s="1106"/>
      <c r="Q34" s="1097">
        <f t="shared" si="19"/>
        <v>1</v>
      </c>
      <c r="R34" s="1157">
        <f t="shared" si="20"/>
        <v>0</v>
      </c>
      <c r="S34" s="1096">
        <f t="shared" si="11"/>
        <v>0</v>
      </c>
    </row>
    <row r="35" spans="1:19">
      <c r="A35" s="1104"/>
      <c r="B35" s="1105"/>
      <c r="C35" s="1097">
        <f t="shared" si="12"/>
        <v>1</v>
      </c>
      <c r="D35" s="1106"/>
      <c r="E35" s="1097">
        <f t="shared" si="13"/>
        <v>1</v>
      </c>
      <c r="F35" s="1106"/>
      <c r="G35" s="1097">
        <f t="shared" si="14"/>
        <v>1</v>
      </c>
      <c r="H35" s="1106"/>
      <c r="I35" s="1097">
        <f t="shared" si="15"/>
        <v>1</v>
      </c>
      <c r="J35" s="1106"/>
      <c r="K35" s="1097">
        <f t="shared" si="16"/>
        <v>1</v>
      </c>
      <c r="L35" s="1106"/>
      <c r="M35" s="1097">
        <f t="shared" si="17"/>
        <v>1</v>
      </c>
      <c r="N35" s="1106"/>
      <c r="O35" s="1097">
        <f t="shared" si="18"/>
        <v>1</v>
      </c>
      <c r="P35" s="1106"/>
      <c r="Q35" s="1097">
        <f t="shared" si="19"/>
        <v>1</v>
      </c>
      <c r="R35" s="1157">
        <f t="shared" si="20"/>
        <v>0</v>
      </c>
      <c r="S35" s="1096">
        <f t="shared" si="11"/>
        <v>0</v>
      </c>
    </row>
    <row r="36" spans="1:19">
      <c r="A36" s="1104"/>
      <c r="B36" s="1105"/>
      <c r="C36" s="1097">
        <f t="shared" si="12"/>
        <v>1</v>
      </c>
      <c r="D36" s="1106"/>
      <c r="E36" s="1097">
        <f t="shared" si="13"/>
        <v>1</v>
      </c>
      <c r="F36" s="1106"/>
      <c r="G36" s="1097">
        <f t="shared" si="14"/>
        <v>1</v>
      </c>
      <c r="H36" s="1106"/>
      <c r="I36" s="1097">
        <f t="shared" si="15"/>
        <v>1</v>
      </c>
      <c r="J36" s="1106"/>
      <c r="K36" s="1097">
        <f t="shared" si="16"/>
        <v>1</v>
      </c>
      <c r="L36" s="1106"/>
      <c r="M36" s="1097">
        <f t="shared" si="17"/>
        <v>1</v>
      </c>
      <c r="N36" s="1106"/>
      <c r="O36" s="1097">
        <f t="shared" si="18"/>
        <v>1</v>
      </c>
      <c r="P36" s="1106"/>
      <c r="Q36" s="1097">
        <f t="shared" si="19"/>
        <v>1</v>
      </c>
      <c r="R36" s="1157">
        <f t="shared" si="20"/>
        <v>0</v>
      </c>
      <c r="S36" s="1096">
        <f t="shared" si="11"/>
        <v>0</v>
      </c>
    </row>
    <row r="37" spans="1:19">
      <c r="A37" s="1104"/>
      <c r="B37" s="1105"/>
      <c r="C37" s="1097">
        <f t="shared" si="12"/>
        <v>1</v>
      </c>
      <c r="D37" s="1106"/>
      <c r="E37" s="1097">
        <f t="shared" si="13"/>
        <v>1</v>
      </c>
      <c r="F37" s="1106"/>
      <c r="G37" s="1097">
        <f t="shared" si="14"/>
        <v>1</v>
      </c>
      <c r="H37" s="1106"/>
      <c r="I37" s="1097">
        <f t="shared" si="15"/>
        <v>1</v>
      </c>
      <c r="J37" s="1106"/>
      <c r="K37" s="1097">
        <f t="shared" si="16"/>
        <v>1</v>
      </c>
      <c r="L37" s="1106"/>
      <c r="M37" s="1097">
        <f t="shared" si="17"/>
        <v>1</v>
      </c>
      <c r="N37" s="1106"/>
      <c r="O37" s="1097">
        <f t="shared" si="18"/>
        <v>1</v>
      </c>
      <c r="P37" s="1106"/>
      <c r="Q37" s="1097">
        <f t="shared" si="19"/>
        <v>1</v>
      </c>
      <c r="R37" s="1157">
        <f t="shared" si="20"/>
        <v>0</v>
      </c>
      <c r="S37" s="1096">
        <f t="shared" si="11"/>
        <v>0</v>
      </c>
    </row>
    <row r="38" spans="1:19">
      <c r="A38" s="1104"/>
      <c r="B38" s="1105"/>
      <c r="C38" s="1097">
        <f t="shared" si="12"/>
        <v>1</v>
      </c>
      <c r="D38" s="1106"/>
      <c r="E38" s="1097">
        <f t="shared" si="13"/>
        <v>1</v>
      </c>
      <c r="F38" s="1106"/>
      <c r="G38" s="1097">
        <f t="shared" si="14"/>
        <v>1</v>
      </c>
      <c r="H38" s="1106"/>
      <c r="I38" s="1097">
        <f t="shared" si="15"/>
        <v>1</v>
      </c>
      <c r="J38" s="1106"/>
      <c r="K38" s="1097">
        <f t="shared" si="16"/>
        <v>1</v>
      </c>
      <c r="L38" s="1106"/>
      <c r="M38" s="1097">
        <f t="shared" si="17"/>
        <v>1</v>
      </c>
      <c r="N38" s="1106"/>
      <c r="O38" s="1097">
        <f t="shared" si="18"/>
        <v>1</v>
      </c>
      <c r="P38" s="1106"/>
      <c r="Q38" s="1097">
        <f t="shared" si="19"/>
        <v>1</v>
      </c>
      <c r="R38" s="1157">
        <f t="shared" si="20"/>
        <v>0</v>
      </c>
      <c r="S38" s="1096">
        <f t="shared" si="11"/>
        <v>0</v>
      </c>
    </row>
    <row r="39" spans="1:19">
      <c r="A39" s="1104"/>
      <c r="B39" s="1105"/>
      <c r="C39" s="1097">
        <f t="shared" si="12"/>
        <v>1</v>
      </c>
      <c r="D39" s="1106"/>
      <c r="E39" s="1097">
        <f t="shared" si="13"/>
        <v>1</v>
      </c>
      <c r="F39" s="1106"/>
      <c r="G39" s="1097">
        <f t="shared" si="14"/>
        <v>1</v>
      </c>
      <c r="H39" s="1106"/>
      <c r="I39" s="1097">
        <f t="shared" si="15"/>
        <v>1</v>
      </c>
      <c r="J39" s="1106"/>
      <c r="K39" s="1097">
        <f t="shared" si="16"/>
        <v>1</v>
      </c>
      <c r="L39" s="1106"/>
      <c r="M39" s="1097">
        <f t="shared" si="17"/>
        <v>1</v>
      </c>
      <c r="N39" s="1106"/>
      <c r="O39" s="1097">
        <f t="shared" si="18"/>
        <v>1</v>
      </c>
      <c r="P39" s="1106"/>
      <c r="Q39" s="1097">
        <f t="shared" si="19"/>
        <v>1</v>
      </c>
      <c r="R39" s="1157">
        <f t="shared" si="20"/>
        <v>0</v>
      </c>
      <c r="S39" s="1096">
        <f t="shared" si="11"/>
        <v>0</v>
      </c>
    </row>
    <row r="40" spans="1:19">
      <c r="A40" s="1104"/>
      <c r="B40" s="1105"/>
      <c r="C40" s="1097">
        <f t="shared" si="12"/>
        <v>1</v>
      </c>
      <c r="D40" s="1106"/>
      <c r="E40" s="1097">
        <f t="shared" si="13"/>
        <v>1</v>
      </c>
      <c r="F40" s="1106"/>
      <c r="G40" s="1097">
        <f t="shared" si="14"/>
        <v>1</v>
      </c>
      <c r="H40" s="1106"/>
      <c r="I40" s="1097">
        <f t="shared" si="15"/>
        <v>1</v>
      </c>
      <c r="J40" s="1106"/>
      <c r="K40" s="1097">
        <f t="shared" si="16"/>
        <v>1</v>
      </c>
      <c r="L40" s="1106"/>
      <c r="M40" s="1097">
        <f t="shared" si="17"/>
        <v>1</v>
      </c>
      <c r="N40" s="1106"/>
      <c r="O40" s="1097">
        <f t="shared" si="18"/>
        <v>1</v>
      </c>
      <c r="P40" s="1106"/>
      <c r="Q40" s="1097">
        <f t="shared" si="19"/>
        <v>1</v>
      </c>
      <c r="R40" s="1157">
        <f t="shared" si="20"/>
        <v>0</v>
      </c>
      <c r="S40" s="1096">
        <f t="shared" si="11"/>
        <v>0</v>
      </c>
    </row>
    <row r="41" spans="1:19">
      <c r="A41" s="1104"/>
      <c r="B41" s="1105"/>
      <c r="C41" s="1097">
        <f t="shared" si="12"/>
        <v>1</v>
      </c>
      <c r="D41" s="1106"/>
      <c r="E41" s="1097">
        <f t="shared" si="13"/>
        <v>1</v>
      </c>
      <c r="F41" s="1106"/>
      <c r="G41" s="1097">
        <f t="shared" si="14"/>
        <v>1</v>
      </c>
      <c r="H41" s="1106"/>
      <c r="I41" s="1097">
        <f t="shared" si="15"/>
        <v>1</v>
      </c>
      <c r="J41" s="1106"/>
      <c r="K41" s="1097">
        <f t="shared" si="16"/>
        <v>1</v>
      </c>
      <c r="L41" s="1106"/>
      <c r="M41" s="1097">
        <f t="shared" si="17"/>
        <v>1</v>
      </c>
      <c r="N41" s="1106"/>
      <c r="O41" s="1097">
        <f t="shared" si="18"/>
        <v>1</v>
      </c>
      <c r="P41" s="1106"/>
      <c r="Q41" s="1097">
        <f t="shared" si="19"/>
        <v>1</v>
      </c>
      <c r="R41" s="1157">
        <f t="shared" si="20"/>
        <v>0</v>
      </c>
      <c r="S41" s="1096">
        <f t="shared" si="11"/>
        <v>0</v>
      </c>
    </row>
    <row r="42" spans="1:19">
      <c r="A42" s="1104"/>
      <c r="B42" s="1105"/>
      <c r="C42" s="1097">
        <f t="shared" si="12"/>
        <v>1</v>
      </c>
      <c r="D42" s="1106"/>
      <c r="E42" s="1097">
        <f t="shared" si="13"/>
        <v>1</v>
      </c>
      <c r="F42" s="1106"/>
      <c r="G42" s="1097">
        <f t="shared" si="14"/>
        <v>1</v>
      </c>
      <c r="H42" s="1106"/>
      <c r="I42" s="1097">
        <f t="shared" si="15"/>
        <v>1</v>
      </c>
      <c r="J42" s="1106"/>
      <c r="K42" s="1097">
        <f t="shared" si="16"/>
        <v>1</v>
      </c>
      <c r="L42" s="1106"/>
      <c r="M42" s="1097">
        <f t="shared" si="17"/>
        <v>1</v>
      </c>
      <c r="N42" s="1106"/>
      <c r="O42" s="1097">
        <f t="shared" si="18"/>
        <v>1</v>
      </c>
      <c r="P42" s="1106"/>
      <c r="Q42" s="1097">
        <f t="shared" si="19"/>
        <v>1</v>
      </c>
      <c r="R42" s="1157">
        <f t="shared" si="20"/>
        <v>0</v>
      </c>
      <c r="S42" s="1096">
        <f t="shared" si="11"/>
        <v>0</v>
      </c>
    </row>
    <row r="43" spans="1:19">
      <c r="A43" s="1104"/>
      <c r="B43" s="1105"/>
      <c r="C43" s="1097">
        <f t="shared" si="12"/>
        <v>1</v>
      </c>
      <c r="D43" s="1106"/>
      <c r="E43" s="1097">
        <f t="shared" si="13"/>
        <v>1</v>
      </c>
      <c r="F43" s="1106"/>
      <c r="G43" s="1097">
        <f t="shared" si="14"/>
        <v>1</v>
      </c>
      <c r="H43" s="1106"/>
      <c r="I43" s="1097">
        <f t="shared" si="15"/>
        <v>1</v>
      </c>
      <c r="J43" s="1106"/>
      <c r="K43" s="1097">
        <f t="shared" si="16"/>
        <v>1</v>
      </c>
      <c r="L43" s="1106"/>
      <c r="M43" s="1097">
        <f t="shared" si="17"/>
        <v>1</v>
      </c>
      <c r="N43" s="1106"/>
      <c r="O43" s="1097">
        <f t="shared" si="18"/>
        <v>1</v>
      </c>
      <c r="P43" s="1106"/>
      <c r="Q43" s="1097">
        <f t="shared" si="19"/>
        <v>1</v>
      </c>
      <c r="R43" s="1157">
        <f t="shared" si="20"/>
        <v>0</v>
      </c>
      <c r="S43" s="1096">
        <f t="shared" si="11"/>
        <v>0</v>
      </c>
    </row>
    <row r="44" spans="1:19">
      <c r="A44" s="1104"/>
      <c r="B44" s="1105"/>
      <c r="C44" s="1097">
        <f t="shared" si="12"/>
        <v>1</v>
      </c>
      <c r="D44" s="1106"/>
      <c r="E44" s="1097">
        <f t="shared" si="13"/>
        <v>1</v>
      </c>
      <c r="F44" s="1106"/>
      <c r="G44" s="1097">
        <f t="shared" si="14"/>
        <v>1</v>
      </c>
      <c r="H44" s="1106"/>
      <c r="I44" s="1097">
        <f t="shared" si="15"/>
        <v>1</v>
      </c>
      <c r="J44" s="1106"/>
      <c r="K44" s="1097">
        <f t="shared" si="16"/>
        <v>1</v>
      </c>
      <c r="L44" s="1106"/>
      <c r="M44" s="1097">
        <f t="shared" si="17"/>
        <v>1</v>
      </c>
      <c r="N44" s="1106"/>
      <c r="O44" s="1097">
        <f t="shared" si="18"/>
        <v>1</v>
      </c>
      <c r="P44" s="1106"/>
      <c r="Q44" s="1097">
        <f t="shared" si="19"/>
        <v>1</v>
      </c>
      <c r="R44" s="1157">
        <f t="shared" si="20"/>
        <v>0</v>
      </c>
      <c r="S44" s="1096">
        <f t="shared" si="11"/>
        <v>0</v>
      </c>
    </row>
    <row r="45" spans="1:19">
      <c r="A45" s="1104"/>
      <c r="B45" s="1105"/>
      <c r="C45" s="1097">
        <f t="shared" si="12"/>
        <v>1</v>
      </c>
      <c r="D45" s="1106"/>
      <c r="E45" s="1097">
        <f t="shared" si="13"/>
        <v>1</v>
      </c>
      <c r="F45" s="1106"/>
      <c r="G45" s="1097">
        <f t="shared" si="14"/>
        <v>1</v>
      </c>
      <c r="H45" s="1106"/>
      <c r="I45" s="1097">
        <f t="shared" si="15"/>
        <v>1</v>
      </c>
      <c r="J45" s="1106"/>
      <c r="K45" s="1097">
        <f t="shared" si="16"/>
        <v>1</v>
      </c>
      <c r="L45" s="1106"/>
      <c r="M45" s="1097">
        <f t="shared" si="17"/>
        <v>1</v>
      </c>
      <c r="N45" s="1106"/>
      <c r="O45" s="1097">
        <f t="shared" si="18"/>
        <v>1</v>
      </c>
      <c r="P45" s="1106"/>
      <c r="Q45" s="1097">
        <f t="shared" si="19"/>
        <v>1</v>
      </c>
      <c r="R45" s="1157">
        <f t="shared" si="20"/>
        <v>0</v>
      </c>
      <c r="S45" s="1096">
        <f t="shared" si="11"/>
        <v>0</v>
      </c>
    </row>
    <row r="46" spans="1:19">
      <c r="A46" s="1104"/>
      <c r="B46" s="1105"/>
      <c r="C46" s="1097">
        <f t="shared" si="12"/>
        <v>1</v>
      </c>
      <c r="D46" s="1106"/>
      <c r="E46" s="1097">
        <f t="shared" si="13"/>
        <v>1</v>
      </c>
      <c r="F46" s="1106"/>
      <c r="G46" s="1097">
        <f t="shared" si="14"/>
        <v>1</v>
      </c>
      <c r="H46" s="1106"/>
      <c r="I46" s="1097">
        <f t="shared" si="15"/>
        <v>1</v>
      </c>
      <c r="J46" s="1106"/>
      <c r="K46" s="1097">
        <f t="shared" si="16"/>
        <v>1</v>
      </c>
      <c r="L46" s="1106"/>
      <c r="M46" s="1097">
        <f t="shared" si="17"/>
        <v>1</v>
      </c>
      <c r="N46" s="1106"/>
      <c r="O46" s="1097">
        <f t="shared" si="18"/>
        <v>1</v>
      </c>
      <c r="P46" s="1106"/>
      <c r="Q46" s="1097">
        <f t="shared" si="19"/>
        <v>1</v>
      </c>
      <c r="R46" s="1157">
        <f t="shared" si="20"/>
        <v>0</v>
      </c>
      <c r="S46" s="1096">
        <f t="shared" si="11"/>
        <v>0</v>
      </c>
    </row>
    <row r="47" spans="1:19">
      <c r="A47" s="1104"/>
      <c r="B47" s="1105"/>
      <c r="C47" s="1097">
        <f t="shared" si="12"/>
        <v>1</v>
      </c>
      <c r="D47" s="1106"/>
      <c r="E47" s="1097">
        <f t="shared" si="13"/>
        <v>1</v>
      </c>
      <c r="F47" s="1106"/>
      <c r="G47" s="1097">
        <f t="shared" si="14"/>
        <v>1</v>
      </c>
      <c r="H47" s="1106"/>
      <c r="I47" s="1097">
        <f t="shared" si="15"/>
        <v>1</v>
      </c>
      <c r="J47" s="1106"/>
      <c r="K47" s="1097">
        <f t="shared" si="16"/>
        <v>1</v>
      </c>
      <c r="L47" s="1106"/>
      <c r="M47" s="1097">
        <f t="shared" si="17"/>
        <v>1</v>
      </c>
      <c r="N47" s="1106"/>
      <c r="O47" s="1097">
        <f t="shared" si="18"/>
        <v>1</v>
      </c>
      <c r="P47" s="1106"/>
      <c r="Q47" s="1097">
        <f t="shared" si="19"/>
        <v>1</v>
      </c>
      <c r="R47" s="1157">
        <f t="shared" si="20"/>
        <v>0</v>
      </c>
      <c r="S47" s="1096">
        <f t="shared" si="11"/>
        <v>0</v>
      </c>
    </row>
    <row r="48" spans="1:19">
      <c r="A48" s="1104"/>
      <c r="B48" s="1105"/>
      <c r="C48" s="1097">
        <f t="shared" si="12"/>
        <v>1</v>
      </c>
      <c r="D48" s="1106"/>
      <c r="E48" s="1097">
        <f t="shared" si="13"/>
        <v>1</v>
      </c>
      <c r="F48" s="1106"/>
      <c r="G48" s="1097">
        <f t="shared" si="14"/>
        <v>1</v>
      </c>
      <c r="H48" s="1106"/>
      <c r="I48" s="1097">
        <f t="shared" si="15"/>
        <v>1</v>
      </c>
      <c r="J48" s="1106"/>
      <c r="K48" s="1097">
        <f t="shared" si="16"/>
        <v>1</v>
      </c>
      <c r="L48" s="1106"/>
      <c r="M48" s="1097">
        <f t="shared" si="17"/>
        <v>1</v>
      </c>
      <c r="N48" s="1106"/>
      <c r="O48" s="1097">
        <f t="shared" si="18"/>
        <v>1</v>
      </c>
      <c r="P48" s="1106"/>
      <c r="Q48" s="1097">
        <f t="shared" si="19"/>
        <v>1</v>
      </c>
      <c r="R48" s="1157">
        <f t="shared" si="20"/>
        <v>0</v>
      </c>
      <c r="S48" s="1096">
        <f t="shared" si="11"/>
        <v>0</v>
      </c>
    </row>
    <row r="49" spans="1:19">
      <c r="A49" s="1104"/>
      <c r="B49" s="1105"/>
      <c r="C49" s="1097">
        <f t="shared" si="12"/>
        <v>1</v>
      </c>
      <c r="D49" s="1106"/>
      <c r="E49" s="1097">
        <f t="shared" si="13"/>
        <v>1</v>
      </c>
      <c r="F49" s="1106"/>
      <c r="G49" s="1097">
        <f t="shared" si="14"/>
        <v>1</v>
      </c>
      <c r="H49" s="1106"/>
      <c r="I49" s="1097">
        <f t="shared" si="15"/>
        <v>1</v>
      </c>
      <c r="J49" s="1106"/>
      <c r="K49" s="1097">
        <f t="shared" si="16"/>
        <v>1</v>
      </c>
      <c r="L49" s="1106"/>
      <c r="M49" s="1097">
        <f t="shared" si="17"/>
        <v>1</v>
      </c>
      <c r="N49" s="1106"/>
      <c r="O49" s="1097">
        <f t="shared" si="18"/>
        <v>1</v>
      </c>
      <c r="P49" s="1106"/>
      <c r="Q49" s="1097">
        <f t="shared" si="19"/>
        <v>1</v>
      </c>
      <c r="R49" s="1157">
        <f t="shared" si="20"/>
        <v>0</v>
      </c>
      <c r="S49" s="1096">
        <f t="shared" si="11"/>
        <v>0</v>
      </c>
    </row>
    <row r="50" spans="1:19">
      <c r="A50" s="1104"/>
      <c r="B50" s="1105"/>
      <c r="C50" s="1097">
        <f t="shared" si="12"/>
        <v>1</v>
      </c>
      <c r="D50" s="1106"/>
      <c r="E50" s="1097">
        <f t="shared" si="13"/>
        <v>1</v>
      </c>
      <c r="F50" s="1106"/>
      <c r="G50" s="1097">
        <f t="shared" si="14"/>
        <v>1</v>
      </c>
      <c r="H50" s="1106"/>
      <c r="I50" s="1097">
        <f t="shared" si="15"/>
        <v>1</v>
      </c>
      <c r="J50" s="1106"/>
      <c r="K50" s="1097">
        <f t="shared" si="16"/>
        <v>1</v>
      </c>
      <c r="L50" s="1106"/>
      <c r="M50" s="1097">
        <f t="shared" si="17"/>
        <v>1</v>
      </c>
      <c r="N50" s="1106"/>
      <c r="O50" s="1097">
        <f t="shared" si="18"/>
        <v>1</v>
      </c>
      <c r="P50" s="1106"/>
      <c r="Q50" s="1097">
        <f t="shared" si="19"/>
        <v>1</v>
      </c>
      <c r="R50" s="1157">
        <f t="shared" si="20"/>
        <v>0</v>
      </c>
      <c r="S50" s="1096">
        <f t="shared" si="11"/>
        <v>0</v>
      </c>
    </row>
    <row r="51" spans="1:19">
      <c r="A51" s="1104"/>
      <c r="B51" s="1105"/>
      <c r="C51" s="1097">
        <f t="shared" si="12"/>
        <v>1</v>
      </c>
      <c r="D51" s="1106"/>
      <c r="E51" s="1097">
        <f t="shared" si="13"/>
        <v>1</v>
      </c>
      <c r="F51" s="1106"/>
      <c r="G51" s="1097">
        <f t="shared" si="14"/>
        <v>1</v>
      </c>
      <c r="H51" s="1106"/>
      <c r="I51" s="1097">
        <f t="shared" si="15"/>
        <v>1</v>
      </c>
      <c r="J51" s="1106"/>
      <c r="K51" s="1097">
        <f t="shared" si="16"/>
        <v>1</v>
      </c>
      <c r="L51" s="1106"/>
      <c r="M51" s="1097">
        <f t="shared" si="17"/>
        <v>1</v>
      </c>
      <c r="N51" s="1106"/>
      <c r="O51" s="1097">
        <f t="shared" si="18"/>
        <v>1</v>
      </c>
      <c r="P51" s="1106"/>
      <c r="Q51" s="1097">
        <f t="shared" si="19"/>
        <v>1</v>
      </c>
      <c r="R51" s="1157">
        <f t="shared" si="20"/>
        <v>0</v>
      </c>
      <c r="S51" s="1096">
        <f t="shared" si="11"/>
        <v>0</v>
      </c>
    </row>
    <row r="52" spans="1:19">
      <c r="A52" s="1104"/>
      <c r="B52" s="1105"/>
      <c r="C52" s="1097">
        <f t="shared" si="12"/>
        <v>1</v>
      </c>
      <c r="D52" s="1106"/>
      <c r="E52" s="1097">
        <f t="shared" si="13"/>
        <v>1</v>
      </c>
      <c r="F52" s="1106"/>
      <c r="G52" s="1097">
        <f t="shared" si="14"/>
        <v>1</v>
      </c>
      <c r="H52" s="1106"/>
      <c r="I52" s="1097">
        <f t="shared" si="15"/>
        <v>1</v>
      </c>
      <c r="J52" s="1106"/>
      <c r="K52" s="1097">
        <f t="shared" si="16"/>
        <v>1</v>
      </c>
      <c r="L52" s="1106"/>
      <c r="M52" s="1097">
        <f t="shared" si="17"/>
        <v>1</v>
      </c>
      <c r="N52" s="1106"/>
      <c r="O52" s="1097">
        <f t="shared" si="18"/>
        <v>1</v>
      </c>
      <c r="P52" s="1106"/>
      <c r="Q52" s="1097">
        <f t="shared" si="19"/>
        <v>1</v>
      </c>
      <c r="R52" s="1157">
        <f t="shared" si="20"/>
        <v>0</v>
      </c>
      <c r="S52" s="1096">
        <f t="shared" si="11"/>
        <v>0</v>
      </c>
    </row>
    <row r="53" spans="1:19">
      <c r="A53" s="1104"/>
      <c r="B53" s="1105"/>
      <c r="C53" s="1097">
        <f t="shared" si="12"/>
        <v>1</v>
      </c>
      <c r="D53" s="1106"/>
      <c r="E53" s="1097">
        <f t="shared" si="13"/>
        <v>1</v>
      </c>
      <c r="F53" s="1106"/>
      <c r="G53" s="1097">
        <f t="shared" si="14"/>
        <v>1</v>
      </c>
      <c r="H53" s="1106"/>
      <c r="I53" s="1097">
        <f t="shared" si="15"/>
        <v>1</v>
      </c>
      <c r="J53" s="1106"/>
      <c r="K53" s="1097">
        <f t="shared" si="16"/>
        <v>1</v>
      </c>
      <c r="L53" s="1106"/>
      <c r="M53" s="1097">
        <f t="shared" si="17"/>
        <v>1</v>
      </c>
      <c r="N53" s="1106"/>
      <c r="O53" s="1097">
        <f t="shared" si="18"/>
        <v>1</v>
      </c>
      <c r="P53" s="1106"/>
      <c r="Q53" s="1097">
        <f t="shared" si="19"/>
        <v>1</v>
      </c>
      <c r="R53" s="1157">
        <f t="shared" si="20"/>
        <v>0</v>
      </c>
      <c r="S53" s="1096">
        <f t="shared" si="11"/>
        <v>0</v>
      </c>
    </row>
    <row r="54" spans="1:19">
      <c r="A54" s="1104"/>
      <c r="B54" s="1105"/>
      <c r="C54" s="1097">
        <f t="shared" si="12"/>
        <v>1</v>
      </c>
      <c r="D54" s="1106"/>
      <c r="E54" s="1097">
        <f t="shared" si="13"/>
        <v>1</v>
      </c>
      <c r="F54" s="1106"/>
      <c r="G54" s="1097">
        <f t="shared" si="14"/>
        <v>1</v>
      </c>
      <c r="H54" s="1106"/>
      <c r="I54" s="1097">
        <f t="shared" si="15"/>
        <v>1</v>
      </c>
      <c r="J54" s="1106"/>
      <c r="K54" s="1097">
        <f t="shared" si="16"/>
        <v>1</v>
      </c>
      <c r="L54" s="1106"/>
      <c r="M54" s="1097">
        <f t="shared" si="17"/>
        <v>1</v>
      </c>
      <c r="N54" s="1106"/>
      <c r="O54" s="1097">
        <f t="shared" si="18"/>
        <v>1</v>
      </c>
      <c r="P54" s="1106"/>
      <c r="Q54" s="1097">
        <f t="shared" si="19"/>
        <v>1</v>
      </c>
      <c r="R54" s="1157">
        <f t="shared" si="20"/>
        <v>0</v>
      </c>
      <c r="S54" s="1096">
        <f t="shared" si="11"/>
        <v>0</v>
      </c>
    </row>
    <row r="55" spans="1:19">
      <c r="A55" s="1104"/>
      <c r="B55" s="1105"/>
      <c r="C55" s="1097">
        <f t="shared" si="12"/>
        <v>1</v>
      </c>
      <c r="D55" s="1106"/>
      <c r="E55" s="1097">
        <f t="shared" si="13"/>
        <v>1</v>
      </c>
      <c r="F55" s="1106"/>
      <c r="G55" s="1097">
        <f t="shared" si="14"/>
        <v>1</v>
      </c>
      <c r="H55" s="1106"/>
      <c r="I55" s="1097">
        <f t="shared" si="15"/>
        <v>1</v>
      </c>
      <c r="J55" s="1106"/>
      <c r="K55" s="1097">
        <f t="shared" si="16"/>
        <v>1</v>
      </c>
      <c r="L55" s="1106"/>
      <c r="M55" s="1097">
        <f t="shared" si="17"/>
        <v>1</v>
      </c>
      <c r="N55" s="1106"/>
      <c r="O55" s="1097">
        <f t="shared" si="18"/>
        <v>1</v>
      </c>
      <c r="P55" s="1106"/>
      <c r="Q55" s="1097">
        <f t="shared" si="19"/>
        <v>1</v>
      </c>
      <c r="R55" s="1157">
        <f t="shared" si="20"/>
        <v>0</v>
      </c>
      <c r="S55" s="1096">
        <f t="shared" ref="S55:S77" si="21">ROUND(R55*B55/10000,0)</f>
        <v>0</v>
      </c>
    </row>
    <row r="56" spans="1:19">
      <c r="A56" s="1104"/>
      <c r="B56" s="1105"/>
      <c r="C56" s="1097">
        <f t="shared" si="12"/>
        <v>1</v>
      </c>
      <c r="D56" s="1106"/>
      <c r="E56" s="1097">
        <f t="shared" si="13"/>
        <v>1</v>
      </c>
      <c r="F56" s="1106"/>
      <c r="G56" s="1097">
        <f t="shared" si="14"/>
        <v>1</v>
      </c>
      <c r="H56" s="1106"/>
      <c r="I56" s="1097">
        <f t="shared" si="15"/>
        <v>1</v>
      </c>
      <c r="J56" s="1106"/>
      <c r="K56" s="1097">
        <f t="shared" si="16"/>
        <v>1</v>
      </c>
      <c r="L56" s="1106"/>
      <c r="M56" s="1097">
        <f t="shared" si="17"/>
        <v>1</v>
      </c>
      <c r="N56" s="1106"/>
      <c r="O56" s="1097">
        <f t="shared" si="18"/>
        <v>1</v>
      </c>
      <c r="P56" s="1106"/>
      <c r="Q56" s="1097">
        <f t="shared" si="19"/>
        <v>1</v>
      </c>
      <c r="R56" s="1157">
        <f t="shared" si="20"/>
        <v>0</v>
      </c>
      <c r="S56" s="1096">
        <f t="shared" si="21"/>
        <v>0</v>
      </c>
    </row>
    <row r="57" spans="1:19">
      <c r="A57" s="1104"/>
      <c r="B57" s="1105"/>
      <c r="C57" s="1097">
        <f t="shared" si="12"/>
        <v>1</v>
      </c>
      <c r="D57" s="1106"/>
      <c r="E57" s="1097">
        <f t="shared" si="13"/>
        <v>1</v>
      </c>
      <c r="F57" s="1106"/>
      <c r="G57" s="1097">
        <f t="shared" si="14"/>
        <v>1</v>
      </c>
      <c r="H57" s="1106"/>
      <c r="I57" s="1097">
        <f t="shared" si="15"/>
        <v>1</v>
      </c>
      <c r="J57" s="1106"/>
      <c r="K57" s="1097">
        <f t="shared" si="16"/>
        <v>1</v>
      </c>
      <c r="L57" s="1106"/>
      <c r="M57" s="1097">
        <f t="shared" si="17"/>
        <v>1</v>
      </c>
      <c r="N57" s="1106"/>
      <c r="O57" s="1097">
        <f t="shared" si="18"/>
        <v>1</v>
      </c>
      <c r="P57" s="1106"/>
      <c r="Q57" s="1097">
        <f t="shared" si="19"/>
        <v>1</v>
      </c>
      <c r="R57" s="1157">
        <f t="shared" si="20"/>
        <v>0</v>
      </c>
      <c r="S57" s="1096">
        <f t="shared" si="21"/>
        <v>0</v>
      </c>
    </row>
    <row r="58" spans="1:19">
      <c r="A58" s="1104"/>
      <c r="B58" s="1105"/>
      <c r="C58" s="1097">
        <f t="shared" si="12"/>
        <v>1</v>
      </c>
      <c r="D58" s="1106"/>
      <c r="E58" s="1097">
        <f t="shared" si="13"/>
        <v>1</v>
      </c>
      <c r="F58" s="1106"/>
      <c r="G58" s="1097">
        <f t="shared" si="14"/>
        <v>1</v>
      </c>
      <c r="H58" s="1106"/>
      <c r="I58" s="1097">
        <f t="shared" si="15"/>
        <v>1</v>
      </c>
      <c r="J58" s="1106"/>
      <c r="K58" s="1097">
        <f t="shared" si="16"/>
        <v>1</v>
      </c>
      <c r="L58" s="1106"/>
      <c r="M58" s="1097">
        <f t="shared" si="17"/>
        <v>1</v>
      </c>
      <c r="N58" s="1106"/>
      <c r="O58" s="1097">
        <f t="shared" si="18"/>
        <v>1</v>
      </c>
      <c r="P58" s="1106"/>
      <c r="Q58" s="1097">
        <f t="shared" si="19"/>
        <v>1</v>
      </c>
      <c r="R58" s="1157">
        <f t="shared" si="20"/>
        <v>0</v>
      </c>
      <c r="S58" s="1096">
        <f t="shared" si="21"/>
        <v>0</v>
      </c>
    </row>
    <row r="59" spans="1:19">
      <c r="A59" s="1104"/>
      <c r="B59" s="1105"/>
      <c r="C59" s="1097">
        <f t="shared" si="12"/>
        <v>1</v>
      </c>
      <c r="D59" s="1106"/>
      <c r="E59" s="1097">
        <f t="shared" si="13"/>
        <v>1</v>
      </c>
      <c r="F59" s="1106"/>
      <c r="G59" s="1097">
        <f t="shared" si="14"/>
        <v>1</v>
      </c>
      <c r="H59" s="1106"/>
      <c r="I59" s="1097">
        <f t="shared" si="15"/>
        <v>1</v>
      </c>
      <c r="J59" s="1106"/>
      <c r="K59" s="1097">
        <f t="shared" si="16"/>
        <v>1</v>
      </c>
      <c r="L59" s="1106"/>
      <c r="M59" s="1097">
        <f t="shared" si="17"/>
        <v>1</v>
      </c>
      <c r="N59" s="1106"/>
      <c r="O59" s="1097">
        <f t="shared" si="18"/>
        <v>1</v>
      </c>
      <c r="P59" s="1106"/>
      <c r="Q59" s="1097">
        <f t="shared" si="19"/>
        <v>1</v>
      </c>
      <c r="R59" s="1157">
        <f t="shared" si="20"/>
        <v>0</v>
      </c>
      <c r="S59" s="1096">
        <f t="shared" si="21"/>
        <v>0</v>
      </c>
    </row>
    <row r="60" spans="1:19">
      <c r="A60" s="1104"/>
      <c r="B60" s="1105"/>
      <c r="C60" s="1097">
        <f t="shared" si="12"/>
        <v>1</v>
      </c>
      <c r="D60" s="1106"/>
      <c r="E60" s="1097">
        <f t="shared" si="13"/>
        <v>1</v>
      </c>
      <c r="F60" s="1106"/>
      <c r="G60" s="1097">
        <f t="shared" si="14"/>
        <v>1</v>
      </c>
      <c r="H60" s="1106"/>
      <c r="I60" s="1097">
        <f t="shared" si="15"/>
        <v>1</v>
      </c>
      <c r="J60" s="1106"/>
      <c r="K60" s="1097">
        <f t="shared" si="16"/>
        <v>1</v>
      </c>
      <c r="L60" s="1106"/>
      <c r="M60" s="1097">
        <f t="shared" si="17"/>
        <v>1</v>
      </c>
      <c r="N60" s="1106"/>
      <c r="O60" s="1097">
        <f t="shared" si="18"/>
        <v>1</v>
      </c>
      <c r="P60" s="1106"/>
      <c r="Q60" s="1097">
        <f t="shared" si="19"/>
        <v>1</v>
      </c>
      <c r="R60" s="1157">
        <f t="shared" si="20"/>
        <v>0</v>
      </c>
      <c r="S60" s="1096">
        <f t="shared" si="21"/>
        <v>0</v>
      </c>
    </row>
    <row r="61" spans="1:19">
      <c r="A61" s="1104"/>
      <c r="B61" s="1105"/>
      <c r="C61" s="1097">
        <f t="shared" si="12"/>
        <v>1</v>
      </c>
      <c r="D61" s="1106"/>
      <c r="E61" s="1097">
        <f t="shared" si="13"/>
        <v>1</v>
      </c>
      <c r="F61" s="1106"/>
      <c r="G61" s="1097">
        <f t="shared" si="14"/>
        <v>1</v>
      </c>
      <c r="H61" s="1106"/>
      <c r="I61" s="1097">
        <f t="shared" si="15"/>
        <v>1</v>
      </c>
      <c r="J61" s="1106"/>
      <c r="K61" s="1097">
        <f t="shared" si="16"/>
        <v>1</v>
      </c>
      <c r="L61" s="1106"/>
      <c r="M61" s="1097">
        <f t="shared" si="17"/>
        <v>1</v>
      </c>
      <c r="N61" s="1106"/>
      <c r="O61" s="1097">
        <f t="shared" si="18"/>
        <v>1</v>
      </c>
      <c r="P61" s="1106"/>
      <c r="Q61" s="1097">
        <f t="shared" si="19"/>
        <v>1</v>
      </c>
      <c r="R61" s="1157">
        <f t="shared" si="20"/>
        <v>0</v>
      </c>
      <c r="S61" s="1096">
        <f t="shared" si="21"/>
        <v>0</v>
      </c>
    </row>
    <row r="62" spans="1:19">
      <c r="A62" s="1104"/>
      <c r="B62" s="1105"/>
      <c r="C62" s="1097">
        <f t="shared" si="12"/>
        <v>1</v>
      </c>
      <c r="D62" s="1106"/>
      <c r="E62" s="1097">
        <f t="shared" si="13"/>
        <v>1</v>
      </c>
      <c r="F62" s="1106"/>
      <c r="G62" s="1097">
        <f t="shared" si="14"/>
        <v>1</v>
      </c>
      <c r="H62" s="1106"/>
      <c r="I62" s="1097">
        <f t="shared" si="15"/>
        <v>1</v>
      </c>
      <c r="J62" s="1106"/>
      <c r="K62" s="1097">
        <f t="shared" si="16"/>
        <v>1</v>
      </c>
      <c r="L62" s="1106"/>
      <c r="M62" s="1097">
        <f t="shared" si="17"/>
        <v>1</v>
      </c>
      <c r="N62" s="1106"/>
      <c r="O62" s="1097">
        <f t="shared" si="18"/>
        <v>1</v>
      </c>
      <c r="P62" s="1106"/>
      <c r="Q62" s="1097">
        <f t="shared" si="19"/>
        <v>1</v>
      </c>
      <c r="R62" s="1157">
        <f t="shared" si="20"/>
        <v>0</v>
      </c>
      <c r="S62" s="1096">
        <f t="shared" si="21"/>
        <v>0</v>
      </c>
    </row>
    <row r="63" spans="1:19">
      <c r="A63" s="1104"/>
      <c r="B63" s="1105"/>
      <c r="C63" s="1097">
        <f t="shared" si="12"/>
        <v>1</v>
      </c>
      <c r="D63" s="1106"/>
      <c r="E63" s="1097">
        <f t="shared" si="13"/>
        <v>1</v>
      </c>
      <c r="F63" s="1106"/>
      <c r="G63" s="1097">
        <f t="shared" si="14"/>
        <v>1</v>
      </c>
      <c r="H63" s="1106"/>
      <c r="I63" s="1097">
        <f t="shared" si="15"/>
        <v>1</v>
      </c>
      <c r="J63" s="1106"/>
      <c r="K63" s="1097">
        <f t="shared" si="16"/>
        <v>1</v>
      </c>
      <c r="L63" s="1106"/>
      <c r="M63" s="1097">
        <f t="shared" si="17"/>
        <v>1</v>
      </c>
      <c r="N63" s="1106"/>
      <c r="O63" s="1097">
        <f t="shared" si="18"/>
        <v>1</v>
      </c>
      <c r="P63" s="1106"/>
      <c r="Q63" s="1097">
        <f t="shared" si="19"/>
        <v>1</v>
      </c>
      <c r="R63" s="1157">
        <f t="shared" si="20"/>
        <v>0</v>
      </c>
      <c r="S63" s="1096">
        <f t="shared" si="21"/>
        <v>0</v>
      </c>
    </row>
    <row r="64" spans="1:19">
      <c r="A64" s="1104"/>
      <c r="B64" s="1105"/>
      <c r="C64" s="1097">
        <f t="shared" si="12"/>
        <v>1</v>
      </c>
      <c r="D64" s="1106"/>
      <c r="E64" s="1097">
        <f t="shared" si="13"/>
        <v>1</v>
      </c>
      <c r="F64" s="1106"/>
      <c r="G64" s="1097">
        <f t="shared" si="14"/>
        <v>1</v>
      </c>
      <c r="H64" s="1106"/>
      <c r="I64" s="1097">
        <f t="shared" si="15"/>
        <v>1</v>
      </c>
      <c r="J64" s="1106"/>
      <c r="K64" s="1097">
        <f t="shared" si="16"/>
        <v>1</v>
      </c>
      <c r="L64" s="1106"/>
      <c r="M64" s="1097">
        <f t="shared" si="17"/>
        <v>1</v>
      </c>
      <c r="N64" s="1106"/>
      <c r="O64" s="1097">
        <f t="shared" si="18"/>
        <v>1</v>
      </c>
      <c r="P64" s="1106"/>
      <c r="Q64" s="1097">
        <f t="shared" si="19"/>
        <v>1</v>
      </c>
      <c r="R64" s="1157">
        <f t="shared" si="20"/>
        <v>0</v>
      </c>
      <c r="S64" s="1096">
        <f t="shared" si="21"/>
        <v>0</v>
      </c>
    </row>
    <row r="65" spans="1:19">
      <c r="A65" s="1104"/>
      <c r="B65" s="1105"/>
      <c r="C65" s="1097">
        <f t="shared" si="12"/>
        <v>1</v>
      </c>
      <c r="D65" s="1106"/>
      <c r="E65" s="1097">
        <f t="shared" si="13"/>
        <v>1</v>
      </c>
      <c r="F65" s="1106"/>
      <c r="G65" s="1097">
        <f t="shared" si="14"/>
        <v>1</v>
      </c>
      <c r="H65" s="1106"/>
      <c r="I65" s="1097">
        <f t="shared" si="15"/>
        <v>1</v>
      </c>
      <c r="J65" s="1106"/>
      <c r="K65" s="1097">
        <f t="shared" si="16"/>
        <v>1</v>
      </c>
      <c r="L65" s="1106"/>
      <c r="M65" s="1097">
        <f t="shared" si="17"/>
        <v>1</v>
      </c>
      <c r="N65" s="1106"/>
      <c r="O65" s="1097">
        <f t="shared" si="18"/>
        <v>1</v>
      </c>
      <c r="P65" s="1106"/>
      <c r="Q65" s="1097">
        <f t="shared" si="19"/>
        <v>1</v>
      </c>
      <c r="R65" s="1157">
        <f t="shared" si="20"/>
        <v>0</v>
      </c>
      <c r="S65" s="1096">
        <f t="shared" si="21"/>
        <v>0</v>
      </c>
    </row>
    <row r="66" spans="1:19">
      <c r="A66" s="1104"/>
      <c r="B66" s="1105"/>
      <c r="C66" s="1097">
        <f t="shared" si="12"/>
        <v>1</v>
      </c>
      <c r="D66" s="1106"/>
      <c r="E66" s="1097">
        <f t="shared" si="13"/>
        <v>1</v>
      </c>
      <c r="F66" s="1106"/>
      <c r="G66" s="1097">
        <f t="shared" si="14"/>
        <v>1</v>
      </c>
      <c r="H66" s="1106"/>
      <c r="I66" s="1097">
        <f t="shared" si="15"/>
        <v>1</v>
      </c>
      <c r="J66" s="1106"/>
      <c r="K66" s="1097">
        <f t="shared" si="16"/>
        <v>1</v>
      </c>
      <c r="L66" s="1106"/>
      <c r="M66" s="1097">
        <f t="shared" si="17"/>
        <v>1</v>
      </c>
      <c r="N66" s="1106"/>
      <c r="O66" s="1097">
        <f t="shared" si="18"/>
        <v>1</v>
      </c>
      <c r="P66" s="1106"/>
      <c r="Q66" s="1097">
        <f t="shared" si="19"/>
        <v>1</v>
      </c>
      <c r="R66" s="1157">
        <f t="shared" si="20"/>
        <v>0</v>
      </c>
      <c r="S66" s="1096">
        <f t="shared" si="21"/>
        <v>0</v>
      </c>
    </row>
    <row r="67" spans="1:19">
      <c r="A67" s="1104"/>
      <c r="B67" s="1105"/>
      <c r="C67" s="1097">
        <f t="shared" si="12"/>
        <v>1</v>
      </c>
      <c r="D67" s="1106"/>
      <c r="E67" s="1097">
        <f t="shared" si="13"/>
        <v>1</v>
      </c>
      <c r="F67" s="1106"/>
      <c r="G67" s="1097">
        <f t="shared" si="14"/>
        <v>1</v>
      </c>
      <c r="H67" s="1106"/>
      <c r="I67" s="1097">
        <f t="shared" si="15"/>
        <v>1</v>
      </c>
      <c r="J67" s="1106"/>
      <c r="K67" s="1097">
        <f t="shared" si="16"/>
        <v>1</v>
      </c>
      <c r="L67" s="1106"/>
      <c r="M67" s="1097">
        <f t="shared" si="17"/>
        <v>1</v>
      </c>
      <c r="N67" s="1106"/>
      <c r="O67" s="1097">
        <f t="shared" si="18"/>
        <v>1</v>
      </c>
      <c r="P67" s="1106"/>
      <c r="Q67" s="1097">
        <f t="shared" si="19"/>
        <v>1</v>
      </c>
      <c r="R67" s="1157">
        <f t="shared" si="20"/>
        <v>0</v>
      </c>
      <c r="S67" s="1096">
        <f t="shared" si="21"/>
        <v>0</v>
      </c>
    </row>
    <row r="68" spans="1:19">
      <c r="A68" s="1104"/>
      <c r="B68" s="1105"/>
      <c r="C68" s="1097">
        <f t="shared" si="12"/>
        <v>1</v>
      </c>
      <c r="D68" s="1106"/>
      <c r="E68" s="1097">
        <f t="shared" si="13"/>
        <v>1</v>
      </c>
      <c r="F68" s="1106"/>
      <c r="G68" s="1097">
        <f t="shared" si="14"/>
        <v>1</v>
      </c>
      <c r="H68" s="1106"/>
      <c r="I68" s="1097">
        <f t="shared" si="15"/>
        <v>1</v>
      </c>
      <c r="J68" s="1106"/>
      <c r="K68" s="1097">
        <f t="shared" si="16"/>
        <v>1</v>
      </c>
      <c r="L68" s="1106"/>
      <c r="M68" s="1097">
        <f t="shared" si="17"/>
        <v>1</v>
      </c>
      <c r="N68" s="1106"/>
      <c r="O68" s="1097">
        <f t="shared" si="18"/>
        <v>1</v>
      </c>
      <c r="P68" s="1106"/>
      <c r="Q68" s="1097">
        <f t="shared" si="19"/>
        <v>1</v>
      </c>
      <c r="R68" s="1157">
        <f t="shared" si="20"/>
        <v>0</v>
      </c>
      <c r="S68" s="1096">
        <f t="shared" si="21"/>
        <v>0</v>
      </c>
    </row>
    <row r="69" spans="1:19">
      <c r="A69" s="1104"/>
      <c r="B69" s="1105"/>
      <c r="C69" s="1097">
        <f t="shared" si="12"/>
        <v>1</v>
      </c>
      <c r="D69" s="1106"/>
      <c r="E69" s="1097">
        <f t="shared" si="13"/>
        <v>1</v>
      </c>
      <c r="F69" s="1106"/>
      <c r="G69" s="1097">
        <f t="shared" si="14"/>
        <v>1</v>
      </c>
      <c r="H69" s="1106"/>
      <c r="I69" s="1097">
        <f t="shared" si="15"/>
        <v>1</v>
      </c>
      <c r="J69" s="1106"/>
      <c r="K69" s="1097">
        <f t="shared" si="16"/>
        <v>1</v>
      </c>
      <c r="L69" s="1106"/>
      <c r="M69" s="1097">
        <f t="shared" si="17"/>
        <v>1</v>
      </c>
      <c r="N69" s="1106"/>
      <c r="O69" s="1097">
        <f t="shared" si="18"/>
        <v>1</v>
      </c>
      <c r="P69" s="1106"/>
      <c r="Q69" s="1097">
        <f t="shared" si="19"/>
        <v>1</v>
      </c>
      <c r="R69" s="1157">
        <f t="shared" si="20"/>
        <v>0</v>
      </c>
      <c r="S69" s="1096">
        <f t="shared" si="21"/>
        <v>0</v>
      </c>
    </row>
    <row r="70" spans="1:19">
      <c r="A70" s="1104"/>
      <c r="B70" s="1105"/>
      <c r="C70" s="1097">
        <f t="shared" si="12"/>
        <v>1</v>
      </c>
      <c r="D70" s="1106"/>
      <c r="E70" s="1097">
        <f t="shared" si="13"/>
        <v>1</v>
      </c>
      <c r="F70" s="1106"/>
      <c r="G70" s="1097">
        <f t="shared" si="14"/>
        <v>1</v>
      </c>
      <c r="H70" s="1106"/>
      <c r="I70" s="1097">
        <f t="shared" si="15"/>
        <v>1</v>
      </c>
      <c r="J70" s="1106"/>
      <c r="K70" s="1097">
        <f t="shared" si="16"/>
        <v>1</v>
      </c>
      <c r="L70" s="1106"/>
      <c r="M70" s="1097">
        <f t="shared" si="17"/>
        <v>1</v>
      </c>
      <c r="N70" s="1106"/>
      <c r="O70" s="1097">
        <f t="shared" si="18"/>
        <v>1</v>
      </c>
      <c r="P70" s="1106"/>
      <c r="Q70" s="1097">
        <f t="shared" si="19"/>
        <v>1</v>
      </c>
      <c r="R70" s="1157">
        <f t="shared" si="20"/>
        <v>0</v>
      </c>
      <c r="S70" s="1096">
        <f t="shared" si="21"/>
        <v>0</v>
      </c>
    </row>
    <row r="71" spans="1:19">
      <c r="A71" s="1104"/>
      <c r="B71" s="1105"/>
      <c r="C71" s="1097">
        <f t="shared" si="12"/>
        <v>1</v>
      </c>
      <c r="D71" s="1106"/>
      <c r="E71" s="1097">
        <f t="shared" si="13"/>
        <v>1</v>
      </c>
      <c r="F71" s="1106"/>
      <c r="G71" s="1097">
        <f t="shared" si="14"/>
        <v>1</v>
      </c>
      <c r="H71" s="1106"/>
      <c r="I71" s="1097">
        <f t="shared" si="15"/>
        <v>1</v>
      </c>
      <c r="J71" s="1106"/>
      <c r="K71" s="1097">
        <f t="shared" si="16"/>
        <v>1</v>
      </c>
      <c r="L71" s="1106"/>
      <c r="M71" s="1097">
        <f t="shared" si="17"/>
        <v>1</v>
      </c>
      <c r="N71" s="1106"/>
      <c r="O71" s="1097">
        <f t="shared" si="18"/>
        <v>1</v>
      </c>
      <c r="P71" s="1106"/>
      <c r="Q71" s="1097">
        <f t="shared" si="19"/>
        <v>1</v>
      </c>
      <c r="R71" s="1157">
        <f t="shared" si="20"/>
        <v>0</v>
      </c>
      <c r="S71" s="1096">
        <f t="shared" si="21"/>
        <v>0</v>
      </c>
    </row>
    <row r="72" spans="1:19">
      <c r="A72" s="1104"/>
      <c r="B72" s="1105"/>
      <c r="C72" s="1097">
        <f t="shared" si="12"/>
        <v>1</v>
      </c>
      <c r="D72" s="1106"/>
      <c r="E72" s="1097">
        <f t="shared" si="13"/>
        <v>1</v>
      </c>
      <c r="F72" s="1106"/>
      <c r="G72" s="1097">
        <f t="shared" si="14"/>
        <v>1</v>
      </c>
      <c r="H72" s="1106"/>
      <c r="I72" s="1097">
        <f t="shared" si="15"/>
        <v>1</v>
      </c>
      <c r="J72" s="1106"/>
      <c r="K72" s="1097">
        <f t="shared" si="16"/>
        <v>1</v>
      </c>
      <c r="L72" s="1106"/>
      <c r="M72" s="1097">
        <f t="shared" si="17"/>
        <v>1</v>
      </c>
      <c r="N72" s="1106"/>
      <c r="O72" s="1097">
        <f t="shared" si="18"/>
        <v>1</v>
      </c>
      <c r="P72" s="1106"/>
      <c r="Q72" s="1097">
        <f t="shared" si="19"/>
        <v>1</v>
      </c>
      <c r="R72" s="1157">
        <f t="shared" si="20"/>
        <v>0</v>
      </c>
      <c r="S72" s="1096">
        <f t="shared" si="21"/>
        <v>0</v>
      </c>
    </row>
    <row r="73" spans="1:19">
      <c r="A73" s="1104"/>
      <c r="B73" s="1105"/>
      <c r="C73" s="1097">
        <f t="shared" si="12"/>
        <v>1</v>
      </c>
      <c r="D73" s="1106"/>
      <c r="E73" s="1097">
        <f t="shared" si="13"/>
        <v>1</v>
      </c>
      <c r="F73" s="1106"/>
      <c r="G73" s="1097">
        <f t="shared" si="14"/>
        <v>1</v>
      </c>
      <c r="H73" s="1106"/>
      <c r="I73" s="1097">
        <f t="shared" si="15"/>
        <v>1</v>
      </c>
      <c r="J73" s="1106"/>
      <c r="K73" s="1097">
        <f t="shared" si="16"/>
        <v>1</v>
      </c>
      <c r="L73" s="1106"/>
      <c r="M73" s="1097">
        <f t="shared" si="17"/>
        <v>1</v>
      </c>
      <c r="N73" s="1106"/>
      <c r="O73" s="1097">
        <f t="shared" si="18"/>
        <v>1</v>
      </c>
      <c r="P73" s="1106"/>
      <c r="Q73" s="1097">
        <f t="shared" si="19"/>
        <v>1</v>
      </c>
      <c r="R73" s="1157">
        <f t="shared" si="20"/>
        <v>0</v>
      </c>
      <c r="S73" s="1096">
        <f t="shared" si="21"/>
        <v>0</v>
      </c>
    </row>
    <row r="74" spans="1:19">
      <c r="A74" s="1104"/>
      <c r="B74" s="1105"/>
      <c r="C74" s="1097">
        <f t="shared" si="12"/>
        <v>1</v>
      </c>
      <c r="D74" s="1106"/>
      <c r="E74" s="1097">
        <f t="shared" si="13"/>
        <v>1</v>
      </c>
      <c r="F74" s="1106"/>
      <c r="G74" s="1097">
        <f t="shared" si="14"/>
        <v>1</v>
      </c>
      <c r="H74" s="1106"/>
      <c r="I74" s="1097">
        <f t="shared" si="15"/>
        <v>1</v>
      </c>
      <c r="J74" s="1106"/>
      <c r="K74" s="1097">
        <f t="shared" si="16"/>
        <v>1</v>
      </c>
      <c r="L74" s="1106"/>
      <c r="M74" s="1097">
        <f t="shared" si="17"/>
        <v>1</v>
      </c>
      <c r="N74" s="1106"/>
      <c r="O74" s="1097">
        <f t="shared" si="18"/>
        <v>1</v>
      </c>
      <c r="P74" s="1106"/>
      <c r="Q74" s="1097">
        <f t="shared" si="19"/>
        <v>1</v>
      </c>
      <c r="R74" s="1157">
        <f t="shared" si="20"/>
        <v>0</v>
      </c>
      <c r="S74" s="1096">
        <f t="shared" si="21"/>
        <v>0</v>
      </c>
    </row>
    <row r="75" spans="1:19">
      <c r="A75" s="1104"/>
      <c r="B75" s="1105"/>
      <c r="C75" s="1097">
        <f t="shared" si="12"/>
        <v>1</v>
      </c>
      <c r="D75" s="1106"/>
      <c r="E75" s="1097">
        <f t="shared" si="13"/>
        <v>1</v>
      </c>
      <c r="F75" s="1106"/>
      <c r="G75" s="1097">
        <f t="shared" si="14"/>
        <v>1</v>
      </c>
      <c r="H75" s="1106"/>
      <c r="I75" s="1097">
        <f t="shared" si="15"/>
        <v>1</v>
      </c>
      <c r="J75" s="1106"/>
      <c r="K75" s="1097">
        <f t="shared" si="16"/>
        <v>1</v>
      </c>
      <c r="L75" s="1106"/>
      <c r="M75" s="1097">
        <f t="shared" si="17"/>
        <v>1</v>
      </c>
      <c r="N75" s="1106"/>
      <c r="O75" s="1097">
        <f t="shared" si="18"/>
        <v>1</v>
      </c>
      <c r="P75" s="1106"/>
      <c r="Q75" s="1097">
        <f t="shared" si="19"/>
        <v>1</v>
      </c>
      <c r="R75" s="1157">
        <f t="shared" si="20"/>
        <v>0</v>
      </c>
      <c r="S75" s="1096">
        <f t="shared" si="21"/>
        <v>0</v>
      </c>
    </row>
    <row r="76" spans="1:19">
      <c r="A76" s="1104"/>
      <c r="B76" s="1105"/>
      <c r="C76" s="1097">
        <f t="shared" si="12"/>
        <v>1</v>
      </c>
      <c r="D76" s="1106"/>
      <c r="E76" s="1097">
        <f t="shared" si="13"/>
        <v>1</v>
      </c>
      <c r="F76" s="1106"/>
      <c r="G76" s="1097">
        <f t="shared" si="14"/>
        <v>1</v>
      </c>
      <c r="H76" s="1106"/>
      <c r="I76" s="1097">
        <f t="shared" si="15"/>
        <v>1</v>
      </c>
      <c r="J76" s="1106"/>
      <c r="K76" s="1097">
        <f t="shared" si="16"/>
        <v>1</v>
      </c>
      <c r="L76" s="1106"/>
      <c r="M76" s="1097">
        <f t="shared" si="17"/>
        <v>1</v>
      </c>
      <c r="N76" s="1106"/>
      <c r="O76" s="1097">
        <f t="shared" si="18"/>
        <v>1</v>
      </c>
      <c r="P76" s="1106"/>
      <c r="Q76" s="1097">
        <f t="shared" si="19"/>
        <v>1</v>
      </c>
      <c r="R76" s="1157">
        <f t="shared" si="20"/>
        <v>0</v>
      </c>
      <c r="S76" s="1096">
        <f t="shared" si="21"/>
        <v>0</v>
      </c>
    </row>
    <row r="77" spans="1:19">
      <c r="A77" s="1104"/>
      <c r="B77" s="1105"/>
      <c r="C77" s="1097">
        <f t="shared" si="12"/>
        <v>1</v>
      </c>
      <c r="D77" s="1106"/>
      <c r="E77" s="1097">
        <f t="shared" si="13"/>
        <v>1</v>
      </c>
      <c r="F77" s="1106"/>
      <c r="G77" s="1097">
        <f t="shared" si="14"/>
        <v>1</v>
      </c>
      <c r="H77" s="1106"/>
      <c r="I77" s="1097">
        <f t="shared" si="15"/>
        <v>1</v>
      </c>
      <c r="J77" s="1106"/>
      <c r="K77" s="1097">
        <f t="shared" si="16"/>
        <v>1</v>
      </c>
      <c r="L77" s="1106"/>
      <c r="M77" s="1097">
        <f t="shared" si="17"/>
        <v>1</v>
      </c>
      <c r="N77" s="1106"/>
      <c r="O77" s="1097">
        <f t="shared" si="18"/>
        <v>1</v>
      </c>
      <c r="P77" s="1106"/>
      <c r="Q77" s="1097">
        <f t="shared" si="19"/>
        <v>1</v>
      </c>
      <c r="R77" s="1157">
        <f t="shared" si="20"/>
        <v>0</v>
      </c>
      <c r="S77" s="1096">
        <f t="shared" si="21"/>
        <v>0</v>
      </c>
    </row>
    <row r="78" spans="1:19">
      <c r="A78" s="1104"/>
      <c r="B78" s="1105"/>
      <c r="C78" s="1097">
        <f t="shared" si="12"/>
        <v>1</v>
      </c>
      <c r="D78" s="1106"/>
      <c r="E78" s="1097">
        <f t="shared" si="13"/>
        <v>1</v>
      </c>
      <c r="F78" s="1106"/>
      <c r="G78" s="1097">
        <f t="shared" si="14"/>
        <v>1</v>
      </c>
      <c r="H78" s="1106"/>
      <c r="I78" s="1097">
        <f t="shared" si="15"/>
        <v>1</v>
      </c>
      <c r="J78" s="1106"/>
      <c r="K78" s="1097">
        <f t="shared" si="16"/>
        <v>1</v>
      </c>
      <c r="L78" s="1106"/>
      <c r="M78" s="1097">
        <f t="shared" si="17"/>
        <v>1</v>
      </c>
      <c r="N78" s="1106"/>
      <c r="O78" s="1097">
        <f t="shared" si="18"/>
        <v>1</v>
      </c>
      <c r="P78" s="1106"/>
      <c r="Q78" s="1097">
        <f t="shared" si="19"/>
        <v>1</v>
      </c>
      <c r="R78" s="1157">
        <f t="shared" si="20"/>
        <v>0</v>
      </c>
      <c r="S78" s="1096">
        <f t="shared" ref="S78:S122" si="22">ROUND(R78*B78/10000,0)</f>
        <v>0</v>
      </c>
    </row>
    <row r="79" spans="1:19">
      <c r="A79" s="1104"/>
      <c r="B79" s="1105"/>
      <c r="C79" s="1097">
        <f t="shared" si="12"/>
        <v>1</v>
      </c>
      <c r="D79" s="1106"/>
      <c r="E79" s="1097">
        <f t="shared" si="13"/>
        <v>1</v>
      </c>
      <c r="F79" s="1106"/>
      <c r="G79" s="1097">
        <f t="shared" si="14"/>
        <v>1</v>
      </c>
      <c r="H79" s="1106"/>
      <c r="I79" s="1097">
        <f t="shared" si="15"/>
        <v>1</v>
      </c>
      <c r="J79" s="1106"/>
      <c r="K79" s="1097">
        <f t="shared" si="16"/>
        <v>1</v>
      </c>
      <c r="L79" s="1106"/>
      <c r="M79" s="1097">
        <f t="shared" si="17"/>
        <v>1</v>
      </c>
      <c r="N79" s="1106"/>
      <c r="O79" s="1097">
        <f t="shared" si="18"/>
        <v>1</v>
      </c>
      <c r="P79" s="1106"/>
      <c r="Q79" s="1097">
        <f t="shared" si="19"/>
        <v>1</v>
      </c>
      <c r="R79" s="1157">
        <f t="shared" si="20"/>
        <v>0</v>
      </c>
      <c r="S79" s="1096">
        <f t="shared" si="22"/>
        <v>0</v>
      </c>
    </row>
    <row r="80" spans="1:19">
      <c r="A80" s="1104"/>
      <c r="B80" s="1105"/>
      <c r="C80" s="1097">
        <f t="shared" si="12"/>
        <v>1</v>
      </c>
      <c r="D80" s="1106"/>
      <c r="E80" s="1097">
        <f t="shared" si="13"/>
        <v>1</v>
      </c>
      <c r="F80" s="1106"/>
      <c r="G80" s="1097">
        <f t="shared" si="14"/>
        <v>1</v>
      </c>
      <c r="H80" s="1106"/>
      <c r="I80" s="1097">
        <f t="shared" si="15"/>
        <v>1</v>
      </c>
      <c r="J80" s="1106"/>
      <c r="K80" s="1097">
        <f t="shared" si="16"/>
        <v>1</v>
      </c>
      <c r="L80" s="1106"/>
      <c r="M80" s="1097">
        <f t="shared" si="17"/>
        <v>1</v>
      </c>
      <c r="N80" s="1106"/>
      <c r="O80" s="1097">
        <f t="shared" si="18"/>
        <v>1</v>
      </c>
      <c r="P80" s="1106"/>
      <c r="Q80" s="1097">
        <f t="shared" si="19"/>
        <v>1</v>
      </c>
      <c r="R80" s="1157">
        <f t="shared" si="20"/>
        <v>0</v>
      </c>
      <c r="S80" s="1096">
        <f t="shared" si="22"/>
        <v>0</v>
      </c>
    </row>
    <row r="81" spans="1:19">
      <c r="A81" s="1104"/>
      <c r="B81" s="1105"/>
      <c r="C81" s="1097">
        <f t="shared" si="12"/>
        <v>1</v>
      </c>
      <c r="D81" s="1106"/>
      <c r="E81" s="1097">
        <f t="shared" si="13"/>
        <v>1</v>
      </c>
      <c r="F81" s="1106"/>
      <c r="G81" s="1097">
        <f t="shared" si="14"/>
        <v>1</v>
      </c>
      <c r="H81" s="1106"/>
      <c r="I81" s="1097">
        <f t="shared" si="15"/>
        <v>1</v>
      </c>
      <c r="J81" s="1106"/>
      <c r="K81" s="1097">
        <f t="shared" si="16"/>
        <v>1</v>
      </c>
      <c r="L81" s="1106"/>
      <c r="M81" s="1097">
        <f t="shared" si="17"/>
        <v>1</v>
      </c>
      <c r="N81" s="1106"/>
      <c r="O81" s="1097">
        <f t="shared" si="18"/>
        <v>1</v>
      </c>
      <c r="P81" s="1106"/>
      <c r="Q81" s="1097">
        <f t="shared" si="19"/>
        <v>1</v>
      </c>
      <c r="R81" s="1157">
        <f t="shared" si="20"/>
        <v>0</v>
      </c>
      <c r="S81" s="1096">
        <f t="shared" si="22"/>
        <v>0</v>
      </c>
    </row>
    <row r="82" spans="1:19">
      <c r="A82" s="1104"/>
      <c r="B82" s="1105"/>
      <c r="C82" s="1097">
        <f t="shared" si="12"/>
        <v>1</v>
      </c>
      <c r="D82" s="1106"/>
      <c r="E82" s="1097">
        <f t="shared" si="13"/>
        <v>1</v>
      </c>
      <c r="F82" s="1106"/>
      <c r="G82" s="1097">
        <f t="shared" si="14"/>
        <v>1</v>
      </c>
      <c r="H82" s="1106"/>
      <c r="I82" s="1097">
        <f t="shared" si="15"/>
        <v>1</v>
      </c>
      <c r="J82" s="1106"/>
      <c r="K82" s="1097">
        <f t="shared" si="16"/>
        <v>1</v>
      </c>
      <c r="L82" s="1106"/>
      <c r="M82" s="1097">
        <f t="shared" si="17"/>
        <v>1</v>
      </c>
      <c r="N82" s="1106"/>
      <c r="O82" s="1097">
        <f t="shared" si="18"/>
        <v>1</v>
      </c>
      <c r="P82" s="1106"/>
      <c r="Q82" s="1097">
        <f t="shared" si="19"/>
        <v>1</v>
      </c>
      <c r="R82" s="1157">
        <f t="shared" si="20"/>
        <v>0</v>
      </c>
      <c r="S82" s="1096">
        <f t="shared" si="22"/>
        <v>0</v>
      </c>
    </row>
    <row r="83" spans="1:19">
      <c r="A83" s="1104"/>
      <c r="B83" s="1105"/>
      <c r="C83" s="1097">
        <f t="shared" si="12"/>
        <v>1</v>
      </c>
      <c r="D83" s="1106"/>
      <c r="E83" s="1097">
        <f t="shared" si="13"/>
        <v>1</v>
      </c>
      <c r="F83" s="1106"/>
      <c r="G83" s="1097">
        <f t="shared" si="14"/>
        <v>1</v>
      </c>
      <c r="H83" s="1106"/>
      <c r="I83" s="1097">
        <f t="shared" si="15"/>
        <v>1</v>
      </c>
      <c r="J83" s="1106"/>
      <c r="K83" s="1097">
        <f t="shared" si="16"/>
        <v>1</v>
      </c>
      <c r="L83" s="1106"/>
      <c r="M83" s="1097">
        <f t="shared" si="17"/>
        <v>1</v>
      </c>
      <c r="N83" s="1106"/>
      <c r="O83" s="1097">
        <f t="shared" si="18"/>
        <v>1</v>
      </c>
      <c r="P83" s="1106"/>
      <c r="Q83" s="1097">
        <f t="shared" si="19"/>
        <v>1</v>
      </c>
      <c r="R83" s="1157">
        <f t="shared" si="20"/>
        <v>0</v>
      </c>
      <c r="S83" s="1096">
        <f t="shared" si="22"/>
        <v>0</v>
      </c>
    </row>
    <row r="84" spans="1:19">
      <c r="A84" s="1104"/>
      <c r="B84" s="1105"/>
      <c r="C84" s="1097">
        <f t="shared" si="12"/>
        <v>1</v>
      </c>
      <c r="D84" s="1106"/>
      <c r="E84" s="1097">
        <f t="shared" si="13"/>
        <v>1</v>
      </c>
      <c r="F84" s="1106"/>
      <c r="G84" s="1097">
        <f t="shared" si="14"/>
        <v>1</v>
      </c>
      <c r="H84" s="1106"/>
      <c r="I84" s="1097">
        <f t="shared" si="15"/>
        <v>1</v>
      </c>
      <c r="J84" s="1106"/>
      <c r="K84" s="1097">
        <f t="shared" si="16"/>
        <v>1</v>
      </c>
      <c r="L84" s="1106"/>
      <c r="M84" s="1097">
        <f t="shared" si="17"/>
        <v>1</v>
      </c>
      <c r="N84" s="1106"/>
      <c r="O84" s="1097">
        <f t="shared" si="18"/>
        <v>1</v>
      </c>
      <c r="P84" s="1106"/>
      <c r="Q84" s="1097">
        <f t="shared" si="19"/>
        <v>1</v>
      </c>
      <c r="R84" s="1157">
        <f t="shared" si="20"/>
        <v>0</v>
      </c>
      <c r="S84" s="1096">
        <f t="shared" si="22"/>
        <v>0</v>
      </c>
    </row>
    <row r="85" spans="1:19">
      <c r="A85" s="1104"/>
      <c r="B85" s="1105"/>
      <c r="C85" s="1097">
        <f t="shared" si="12"/>
        <v>1</v>
      </c>
      <c r="D85" s="1106"/>
      <c r="E85" s="1097">
        <f t="shared" si="13"/>
        <v>1</v>
      </c>
      <c r="F85" s="1106"/>
      <c r="G85" s="1097">
        <f t="shared" si="14"/>
        <v>1</v>
      </c>
      <c r="H85" s="1106"/>
      <c r="I85" s="1097">
        <f t="shared" si="15"/>
        <v>1</v>
      </c>
      <c r="J85" s="1106"/>
      <c r="K85" s="1097">
        <f t="shared" si="16"/>
        <v>1</v>
      </c>
      <c r="L85" s="1106"/>
      <c r="M85" s="1097">
        <f t="shared" si="17"/>
        <v>1</v>
      </c>
      <c r="N85" s="1106"/>
      <c r="O85" s="1097">
        <f t="shared" si="18"/>
        <v>1</v>
      </c>
      <c r="P85" s="1106"/>
      <c r="Q85" s="1097">
        <f t="shared" si="19"/>
        <v>1</v>
      </c>
      <c r="R85" s="1157">
        <f t="shared" si="20"/>
        <v>0</v>
      </c>
      <c r="S85" s="1096">
        <f t="shared" si="22"/>
        <v>0</v>
      </c>
    </row>
    <row r="86" spans="1:19">
      <c r="A86" s="1104"/>
      <c r="B86" s="1105"/>
      <c r="C86" s="1097">
        <f t="shared" si="12"/>
        <v>1</v>
      </c>
      <c r="D86" s="1106"/>
      <c r="E86" s="1097">
        <f t="shared" si="13"/>
        <v>1</v>
      </c>
      <c r="F86" s="1106"/>
      <c r="G86" s="1097">
        <f t="shared" si="14"/>
        <v>1</v>
      </c>
      <c r="H86" s="1106"/>
      <c r="I86" s="1097">
        <f t="shared" si="15"/>
        <v>1</v>
      </c>
      <c r="J86" s="1106"/>
      <c r="K86" s="1097">
        <f t="shared" si="16"/>
        <v>1</v>
      </c>
      <c r="L86" s="1106"/>
      <c r="M86" s="1097">
        <f t="shared" si="17"/>
        <v>1</v>
      </c>
      <c r="N86" s="1106"/>
      <c r="O86" s="1097">
        <f t="shared" si="18"/>
        <v>1</v>
      </c>
      <c r="P86" s="1106"/>
      <c r="Q86" s="1097">
        <f t="shared" si="19"/>
        <v>1</v>
      </c>
      <c r="R86" s="1157">
        <f t="shared" si="20"/>
        <v>0</v>
      </c>
      <c r="S86" s="1096">
        <f t="shared" si="22"/>
        <v>0</v>
      </c>
    </row>
    <row r="87" spans="1:19">
      <c r="A87" s="1104"/>
      <c r="B87" s="1105"/>
      <c r="C87" s="1097">
        <f t="shared" si="12"/>
        <v>1</v>
      </c>
      <c r="D87" s="1106"/>
      <c r="E87" s="1097">
        <f t="shared" si="13"/>
        <v>1</v>
      </c>
      <c r="F87" s="1106"/>
      <c r="G87" s="1097">
        <f t="shared" si="14"/>
        <v>1</v>
      </c>
      <c r="H87" s="1106"/>
      <c r="I87" s="1097">
        <f t="shared" si="15"/>
        <v>1</v>
      </c>
      <c r="J87" s="1106"/>
      <c r="K87" s="1097">
        <f t="shared" si="16"/>
        <v>1</v>
      </c>
      <c r="L87" s="1106"/>
      <c r="M87" s="1097">
        <f t="shared" si="17"/>
        <v>1</v>
      </c>
      <c r="N87" s="1106"/>
      <c r="O87" s="1097">
        <f t="shared" si="18"/>
        <v>1</v>
      </c>
      <c r="P87" s="1106"/>
      <c r="Q87" s="1097">
        <f t="shared" si="19"/>
        <v>1</v>
      </c>
      <c r="R87" s="1157">
        <f t="shared" si="20"/>
        <v>0</v>
      </c>
      <c r="S87" s="1096">
        <f t="shared" si="22"/>
        <v>0</v>
      </c>
    </row>
    <row r="88" spans="1:19">
      <c r="A88" s="1104"/>
      <c r="B88" s="1105"/>
      <c r="C88" s="1097">
        <f t="shared" si="12"/>
        <v>1</v>
      </c>
      <c r="D88" s="1106"/>
      <c r="E88" s="1097">
        <f t="shared" si="13"/>
        <v>1</v>
      </c>
      <c r="F88" s="1106"/>
      <c r="G88" s="1097">
        <f t="shared" si="14"/>
        <v>1</v>
      </c>
      <c r="H88" s="1106"/>
      <c r="I88" s="1097">
        <f t="shared" si="15"/>
        <v>1</v>
      </c>
      <c r="J88" s="1106"/>
      <c r="K88" s="1097">
        <f t="shared" si="16"/>
        <v>1</v>
      </c>
      <c r="L88" s="1106"/>
      <c r="M88" s="1097">
        <f t="shared" si="17"/>
        <v>1</v>
      </c>
      <c r="N88" s="1106"/>
      <c r="O88" s="1097">
        <f t="shared" si="18"/>
        <v>1</v>
      </c>
      <c r="P88" s="1106"/>
      <c r="Q88" s="1097">
        <f t="shared" si="19"/>
        <v>1</v>
      </c>
      <c r="R88" s="1157">
        <f t="shared" si="20"/>
        <v>0</v>
      </c>
      <c r="S88" s="1096">
        <f t="shared" si="22"/>
        <v>0</v>
      </c>
    </row>
    <row r="89" spans="1:19">
      <c r="A89" s="1104"/>
      <c r="B89" s="1105"/>
      <c r="C89" s="1097">
        <f t="shared" si="12"/>
        <v>1</v>
      </c>
      <c r="D89" s="1106"/>
      <c r="E89" s="1097">
        <f t="shared" si="13"/>
        <v>1</v>
      </c>
      <c r="F89" s="1106"/>
      <c r="G89" s="1097">
        <f t="shared" si="14"/>
        <v>1</v>
      </c>
      <c r="H89" s="1106"/>
      <c r="I89" s="1097">
        <f t="shared" si="15"/>
        <v>1</v>
      </c>
      <c r="J89" s="1106"/>
      <c r="K89" s="1097">
        <f t="shared" si="16"/>
        <v>1</v>
      </c>
      <c r="L89" s="1106"/>
      <c r="M89" s="1097">
        <f t="shared" si="17"/>
        <v>1</v>
      </c>
      <c r="N89" s="1106"/>
      <c r="O89" s="1097">
        <f t="shared" si="18"/>
        <v>1</v>
      </c>
      <c r="P89" s="1106"/>
      <c r="Q89" s="1097">
        <f t="shared" si="19"/>
        <v>1</v>
      </c>
      <c r="R89" s="1157">
        <f t="shared" si="20"/>
        <v>0</v>
      </c>
      <c r="S89" s="1096">
        <f t="shared" si="22"/>
        <v>0</v>
      </c>
    </row>
    <row r="90" spans="1:19">
      <c r="A90" s="1104"/>
      <c r="B90" s="1105"/>
      <c r="C90" s="1097">
        <f t="shared" ref="C90:C153" si="23">IF(B90="",1,(LOOKUP(B90,$3:$3,$4:$4)-LOOKUP($B$24,$3:$3,$4:$4)+100)/100)</f>
        <v>1</v>
      </c>
      <c r="D90" s="1106"/>
      <c r="E90" s="1097">
        <f t="shared" ref="E90:E153" si="24">(SUMIF($5:$5,D90,$6:$6)-SUMIF($5:$5,$D$24,$6:$6)+100)/100</f>
        <v>1</v>
      </c>
      <c r="F90" s="1106"/>
      <c r="G90" s="1097">
        <f t="shared" ref="G90:G153" si="25">(SUMIF($7:$7,F90,$8:$8)-SUMIF($7:$7,$F$24,$8:$8)+100)/100</f>
        <v>1</v>
      </c>
      <c r="H90" s="1106"/>
      <c r="I90" s="1097">
        <f t="shared" ref="I90:I153" si="26">(SUMIF($9:$9,H90,$10:$10)-SUMIF($9:$9,$H$24,$10:$10)+100)/100</f>
        <v>1</v>
      </c>
      <c r="J90" s="1106"/>
      <c r="K90" s="1097">
        <f t="shared" ref="K90:K153" si="27">(SUMIF($11:$11,J90,$12:$12)-SUMIF($11:$11,$J$24,$12:$12)+100)/100</f>
        <v>1</v>
      </c>
      <c r="L90" s="1106"/>
      <c r="M90" s="1097">
        <f t="shared" ref="M90:M153" si="28">(SUMIF($13:$13,L90,$14:$14)-SUMIF($13:$13,$L$24,$14:$14)+100)/100</f>
        <v>1</v>
      </c>
      <c r="N90" s="1106"/>
      <c r="O90" s="1097">
        <f t="shared" ref="O90:O153" si="29">(SUMIF($15:$15,N90,$16:$16)-SUMIF($15:$15,$N$24,$16:$16)+100)/100</f>
        <v>1</v>
      </c>
      <c r="P90" s="1106"/>
      <c r="Q90" s="1097">
        <f t="shared" ref="Q90:Q153" si="30">(SUMIF($17:$17,P90,$18:$18)-SUMIF($17:$17,$P$24,$18:$18)+100)/100</f>
        <v>1</v>
      </c>
      <c r="R90" s="1157">
        <f t="shared" ref="R90:R153" si="31">IF(B90="",0,ROUND($R$24*C90*E90*G90*I90*K90*M90*O90*Q90,0))</f>
        <v>0</v>
      </c>
      <c r="S90" s="1096">
        <f t="shared" si="22"/>
        <v>0</v>
      </c>
    </row>
    <row r="91" spans="1:19">
      <c r="A91" s="1104"/>
      <c r="B91" s="1105"/>
      <c r="C91" s="1097">
        <f t="shared" si="23"/>
        <v>1</v>
      </c>
      <c r="D91" s="1106"/>
      <c r="E91" s="1097">
        <f t="shared" si="24"/>
        <v>1</v>
      </c>
      <c r="F91" s="1106"/>
      <c r="G91" s="1097">
        <f t="shared" si="25"/>
        <v>1</v>
      </c>
      <c r="H91" s="1106"/>
      <c r="I91" s="1097">
        <f t="shared" si="26"/>
        <v>1</v>
      </c>
      <c r="J91" s="1106"/>
      <c r="K91" s="1097">
        <f t="shared" si="27"/>
        <v>1</v>
      </c>
      <c r="L91" s="1106"/>
      <c r="M91" s="1097">
        <f t="shared" si="28"/>
        <v>1</v>
      </c>
      <c r="N91" s="1106"/>
      <c r="O91" s="1097">
        <f t="shared" si="29"/>
        <v>1</v>
      </c>
      <c r="P91" s="1106"/>
      <c r="Q91" s="1097">
        <f t="shared" si="30"/>
        <v>1</v>
      </c>
      <c r="R91" s="1157">
        <f t="shared" si="31"/>
        <v>0</v>
      </c>
      <c r="S91" s="1096">
        <f t="shared" si="22"/>
        <v>0</v>
      </c>
    </row>
    <row r="92" spans="1:19">
      <c r="A92" s="1104"/>
      <c r="B92" s="1105"/>
      <c r="C92" s="1097">
        <f t="shared" si="23"/>
        <v>1</v>
      </c>
      <c r="D92" s="1106"/>
      <c r="E92" s="1097">
        <f t="shared" si="24"/>
        <v>1</v>
      </c>
      <c r="F92" s="1106"/>
      <c r="G92" s="1097">
        <f t="shared" si="25"/>
        <v>1</v>
      </c>
      <c r="H92" s="1106"/>
      <c r="I92" s="1097">
        <f t="shared" si="26"/>
        <v>1</v>
      </c>
      <c r="J92" s="1106"/>
      <c r="K92" s="1097">
        <f t="shared" si="27"/>
        <v>1</v>
      </c>
      <c r="L92" s="1106"/>
      <c r="M92" s="1097">
        <f t="shared" si="28"/>
        <v>1</v>
      </c>
      <c r="N92" s="1106"/>
      <c r="O92" s="1097">
        <f t="shared" si="29"/>
        <v>1</v>
      </c>
      <c r="P92" s="1106"/>
      <c r="Q92" s="1097">
        <f t="shared" si="30"/>
        <v>1</v>
      </c>
      <c r="R92" s="1157">
        <f t="shared" si="31"/>
        <v>0</v>
      </c>
      <c r="S92" s="1096">
        <f t="shared" si="22"/>
        <v>0</v>
      </c>
    </row>
    <row r="93" spans="1:19">
      <c r="A93" s="1104"/>
      <c r="B93" s="1105"/>
      <c r="C93" s="1097">
        <f t="shared" si="23"/>
        <v>1</v>
      </c>
      <c r="D93" s="1106"/>
      <c r="E93" s="1097">
        <f t="shared" si="24"/>
        <v>1</v>
      </c>
      <c r="F93" s="1106"/>
      <c r="G93" s="1097">
        <f t="shared" si="25"/>
        <v>1</v>
      </c>
      <c r="H93" s="1106"/>
      <c r="I93" s="1097">
        <f t="shared" si="26"/>
        <v>1</v>
      </c>
      <c r="J93" s="1106"/>
      <c r="K93" s="1097">
        <f t="shared" si="27"/>
        <v>1</v>
      </c>
      <c r="L93" s="1106"/>
      <c r="M93" s="1097">
        <f t="shared" si="28"/>
        <v>1</v>
      </c>
      <c r="N93" s="1106"/>
      <c r="O93" s="1097">
        <f t="shared" si="29"/>
        <v>1</v>
      </c>
      <c r="P93" s="1106"/>
      <c r="Q93" s="1097">
        <f t="shared" si="30"/>
        <v>1</v>
      </c>
      <c r="R93" s="1157">
        <f t="shared" si="31"/>
        <v>0</v>
      </c>
      <c r="S93" s="1096">
        <f t="shared" si="22"/>
        <v>0</v>
      </c>
    </row>
    <row r="94" spans="1:19">
      <c r="A94" s="1104"/>
      <c r="B94" s="1105"/>
      <c r="C94" s="1097">
        <f t="shared" si="23"/>
        <v>1</v>
      </c>
      <c r="D94" s="1106"/>
      <c r="E94" s="1097">
        <f t="shared" si="24"/>
        <v>1</v>
      </c>
      <c r="F94" s="1106"/>
      <c r="G94" s="1097">
        <f t="shared" si="25"/>
        <v>1</v>
      </c>
      <c r="H94" s="1106"/>
      <c r="I94" s="1097">
        <f t="shared" si="26"/>
        <v>1</v>
      </c>
      <c r="J94" s="1106"/>
      <c r="K94" s="1097">
        <f t="shared" si="27"/>
        <v>1</v>
      </c>
      <c r="L94" s="1106"/>
      <c r="M94" s="1097">
        <f t="shared" si="28"/>
        <v>1</v>
      </c>
      <c r="N94" s="1106"/>
      <c r="O94" s="1097">
        <f t="shared" si="29"/>
        <v>1</v>
      </c>
      <c r="P94" s="1106"/>
      <c r="Q94" s="1097">
        <f t="shared" si="30"/>
        <v>1</v>
      </c>
      <c r="R94" s="1157">
        <f t="shared" si="31"/>
        <v>0</v>
      </c>
      <c r="S94" s="1096">
        <f t="shared" si="22"/>
        <v>0</v>
      </c>
    </row>
    <row r="95" spans="1:19">
      <c r="A95" s="1104"/>
      <c r="B95" s="1105"/>
      <c r="C95" s="1097">
        <f t="shared" si="23"/>
        <v>1</v>
      </c>
      <c r="D95" s="1106"/>
      <c r="E95" s="1097">
        <f t="shared" si="24"/>
        <v>1</v>
      </c>
      <c r="F95" s="1106"/>
      <c r="G95" s="1097">
        <f t="shared" si="25"/>
        <v>1</v>
      </c>
      <c r="H95" s="1106"/>
      <c r="I95" s="1097">
        <f t="shared" si="26"/>
        <v>1</v>
      </c>
      <c r="J95" s="1106"/>
      <c r="K95" s="1097">
        <f t="shared" si="27"/>
        <v>1</v>
      </c>
      <c r="L95" s="1106"/>
      <c r="M95" s="1097">
        <f t="shared" si="28"/>
        <v>1</v>
      </c>
      <c r="N95" s="1106"/>
      <c r="O95" s="1097">
        <f t="shared" si="29"/>
        <v>1</v>
      </c>
      <c r="P95" s="1106"/>
      <c r="Q95" s="1097">
        <f t="shared" si="30"/>
        <v>1</v>
      </c>
      <c r="R95" s="1157">
        <f t="shared" si="31"/>
        <v>0</v>
      </c>
      <c r="S95" s="1096">
        <f t="shared" si="22"/>
        <v>0</v>
      </c>
    </row>
    <row r="96" spans="1:19">
      <c r="A96" s="1104"/>
      <c r="B96" s="1105"/>
      <c r="C96" s="1097">
        <f t="shared" si="23"/>
        <v>1</v>
      </c>
      <c r="D96" s="1106"/>
      <c r="E96" s="1097">
        <f t="shared" si="24"/>
        <v>1</v>
      </c>
      <c r="F96" s="1106"/>
      <c r="G96" s="1097">
        <f t="shared" si="25"/>
        <v>1</v>
      </c>
      <c r="H96" s="1106"/>
      <c r="I96" s="1097">
        <f t="shared" si="26"/>
        <v>1</v>
      </c>
      <c r="J96" s="1106"/>
      <c r="K96" s="1097">
        <f t="shared" si="27"/>
        <v>1</v>
      </c>
      <c r="L96" s="1106"/>
      <c r="M96" s="1097">
        <f t="shared" si="28"/>
        <v>1</v>
      </c>
      <c r="N96" s="1106"/>
      <c r="O96" s="1097">
        <f t="shared" si="29"/>
        <v>1</v>
      </c>
      <c r="P96" s="1106"/>
      <c r="Q96" s="1097">
        <f t="shared" si="30"/>
        <v>1</v>
      </c>
      <c r="R96" s="1157">
        <f t="shared" si="31"/>
        <v>0</v>
      </c>
      <c r="S96" s="1096">
        <f t="shared" si="22"/>
        <v>0</v>
      </c>
    </row>
    <row r="97" spans="1:19">
      <c r="A97" s="1104"/>
      <c r="B97" s="1105"/>
      <c r="C97" s="1097">
        <f t="shared" si="23"/>
        <v>1</v>
      </c>
      <c r="D97" s="1106"/>
      <c r="E97" s="1097">
        <f t="shared" si="24"/>
        <v>1</v>
      </c>
      <c r="F97" s="1106"/>
      <c r="G97" s="1097">
        <f t="shared" si="25"/>
        <v>1</v>
      </c>
      <c r="H97" s="1106"/>
      <c r="I97" s="1097">
        <f t="shared" si="26"/>
        <v>1</v>
      </c>
      <c r="J97" s="1106"/>
      <c r="K97" s="1097">
        <f t="shared" si="27"/>
        <v>1</v>
      </c>
      <c r="L97" s="1106"/>
      <c r="M97" s="1097">
        <f t="shared" si="28"/>
        <v>1</v>
      </c>
      <c r="N97" s="1106"/>
      <c r="O97" s="1097">
        <f t="shared" si="29"/>
        <v>1</v>
      </c>
      <c r="P97" s="1106"/>
      <c r="Q97" s="1097">
        <f t="shared" si="30"/>
        <v>1</v>
      </c>
      <c r="R97" s="1157">
        <f t="shared" si="31"/>
        <v>0</v>
      </c>
      <c r="S97" s="1096">
        <f t="shared" si="22"/>
        <v>0</v>
      </c>
    </row>
    <row r="98" spans="1:19">
      <c r="A98" s="1104"/>
      <c r="B98" s="1105"/>
      <c r="C98" s="1097">
        <f t="shared" si="23"/>
        <v>1</v>
      </c>
      <c r="D98" s="1106"/>
      <c r="E98" s="1097">
        <f t="shared" si="24"/>
        <v>1</v>
      </c>
      <c r="F98" s="1106"/>
      <c r="G98" s="1097">
        <f t="shared" si="25"/>
        <v>1</v>
      </c>
      <c r="H98" s="1106"/>
      <c r="I98" s="1097">
        <f t="shared" si="26"/>
        <v>1</v>
      </c>
      <c r="J98" s="1106"/>
      <c r="K98" s="1097">
        <f t="shared" si="27"/>
        <v>1</v>
      </c>
      <c r="L98" s="1106"/>
      <c r="M98" s="1097">
        <f t="shared" si="28"/>
        <v>1</v>
      </c>
      <c r="N98" s="1106"/>
      <c r="O98" s="1097">
        <f t="shared" si="29"/>
        <v>1</v>
      </c>
      <c r="P98" s="1106"/>
      <c r="Q98" s="1097">
        <f t="shared" si="30"/>
        <v>1</v>
      </c>
      <c r="R98" s="1157">
        <f t="shared" si="31"/>
        <v>0</v>
      </c>
      <c r="S98" s="1096">
        <f t="shared" si="22"/>
        <v>0</v>
      </c>
    </row>
    <row r="99" spans="1:19">
      <c r="A99" s="1104"/>
      <c r="B99" s="1105"/>
      <c r="C99" s="1097">
        <f t="shared" si="23"/>
        <v>1</v>
      </c>
      <c r="D99" s="1106"/>
      <c r="E99" s="1097">
        <f t="shared" si="24"/>
        <v>1</v>
      </c>
      <c r="F99" s="1106"/>
      <c r="G99" s="1097">
        <f t="shared" si="25"/>
        <v>1</v>
      </c>
      <c r="H99" s="1106"/>
      <c r="I99" s="1097">
        <f t="shared" si="26"/>
        <v>1</v>
      </c>
      <c r="J99" s="1106"/>
      <c r="K99" s="1097">
        <f t="shared" si="27"/>
        <v>1</v>
      </c>
      <c r="L99" s="1106"/>
      <c r="M99" s="1097">
        <f t="shared" si="28"/>
        <v>1</v>
      </c>
      <c r="N99" s="1106"/>
      <c r="O99" s="1097">
        <f t="shared" si="29"/>
        <v>1</v>
      </c>
      <c r="P99" s="1106"/>
      <c r="Q99" s="1097">
        <f t="shared" si="30"/>
        <v>1</v>
      </c>
      <c r="R99" s="1157">
        <f t="shared" si="31"/>
        <v>0</v>
      </c>
      <c r="S99" s="1096">
        <f t="shared" si="22"/>
        <v>0</v>
      </c>
    </row>
    <row r="100" spans="1:19">
      <c r="A100" s="1104"/>
      <c r="B100" s="1105"/>
      <c r="C100" s="1097">
        <f t="shared" si="23"/>
        <v>1</v>
      </c>
      <c r="D100" s="1106"/>
      <c r="E100" s="1097">
        <f t="shared" si="24"/>
        <v>1</v>
      </c>
      <c r="F100" s="1106"/>
      <c r="G100" s="1097">
        <f t="shared" si="25"/>
        <v>1</v>
      </c>
      <c r="H100" s="1106"/>
      <c r="I100" s="1097">
        <f t="shared" si="26"/>
        <v>1</v>
      </c>
      <c r="J100" s="1106"/>
      <c r="K100" s="1097">
        <f t="shared" si="27"/>
        <v>1</v>
      </c>
      <c r="L100" s="1106"/>
      <c r="M100" s="1097">
        <f t="shared" si="28"/>
        <v>1</v>
      </c>
      <c r="N100" s="1106"/>
      <c r="O100" s="1097">
        <f t="shared" si="29"/>
        <v>1</v>
      </c>
      <c r="P100" s="1106"/>
      <c r="Q100" s="1097">
        <f t="shared" si="30"/>
        <v>1</v>
      </c>
      <c r="R100" s="1157">
        <f t="shared" si="31"/>
        <v>0</v>
      </c>
      <c r="S100" s="1096">
        <f t="shared" si="22"/>
        <v>0</v>
      </c>
    </row>
    <row r="101" spans="1:19">
      <c r="A101" s="1104"/>
      <c r="B101" s="1105"/>
      <c r="C101" s="1097">
        <f t="shared" si="23"/>
        <v>1</v>
      </c>
      <c r="D101" s="1106"/>
      <c r="E101" s="1097">
        <f t="shared" si="24"/>
        <v>1</v>
      </c>
      <c r="F101" s="1106"/>
      <c r="G101" s="1097">
        <f t="shared" si="25"/>
        <v>1</v>
      </c>
      <c r="H101" s="1106"/>
      <c r="I101" s="1097">
        <f t="shared" si="26"/>
        <v>1</v>
      </c>
      <c r="J101" s="1106"/>
      <c r="K101" s="1097">
        <f t="shared" si="27"/>
        <v>1</v>
      </c>
      <c r="L101" s="1106"/>
      <c r="M101" s="1097">
        <f t="shared" si="28"/>
        <v>1</v>
      </c>
      <c r="N101" s="1106"/>
      <c r="O101" s="1097">
        <f t="shared" si="29"/>
        <v>1</v>
      </c>
      <c r="P101" s="1106"/>
      <c r="Q101" s="1097">
        <f t="shared" si="30"/>
        <v>1</v>
      </c>
      <c r="R101" s="1157">
        <f t="shared" si="31"/>
        <v>0</v>
      </c>
      <c r="S101" s="1096">
        <f t="shared" si="22"/>
        <v>0</v>
      </c>
    </row>
    <row r="102" spans="1:19">
      <c r="A102" s="1104"/>
      <c r="B102" s="1105"/>
      <c r="C102" s="1097">
        <f t="shared" si="23"/>
        <v>1</v>
      </c>
      <c r="D102" s="1106"/>
      <c r="E102" s="1097">
        <f t="shared" si="24"/>
        <v>1</v>
      </c>
      <c r="F102" s="1106"/>
      <c r="G102" s="1097">
        <f t="shared" si="25"/>
        <v>1</v>
      </c>
      <c r="H102" s="1106"/>
      <c r="I102" s="1097">
        <f t="shared" si="26"/>
        <v>1</v>
      </c>
      <c r="J102" s="1106"/>
      <c r="K102" s="1097">
        <f t="shared" si="27"/>
        <v>1</v>
      </c>
      <c r="L102" s="1106"/>
      <c r="M102" s="1097">
        <f t="shared" si="28"/>
        <v>1</v>
      </c>
      <c r="N102" s="1106"/>
      <c r="O102" s="1097">
        <f t="shared" si="29"/>
        <v>1</v>
      </c>
      <c r="P102" s="1106"/>
      <c r="Q102" s="1097">
        <f t="shared" si="30"/>
        <v>1</v>
      </c>
      <c r="R102" s="1157">
        <f t="shared" si="31"/>
        <v>0</v>
      </c>
      <c r="S102" s="1096">
        <f t="shared" si="22"/>
        <v>0</v>
      </c>
    </row>
    <row r="103" spans="1:19">
      <c r="A103" s="1104"/>
      <c r="B103" s="1105"/>
      <c r="C103" s="1097">
        <f t="shared" si="23"/>
        <v>1</v>
      </c>
      <c r="D103" s="1106"/>
      <c r="E103" s="1097">
        <f t="shared" si="24"/>
        <v>1</v>
      </c>
      <c r="F103" s="1106"/>
      <c r="G103" s="1097">
        <f t="shared" si="25"/>
        <v>1</v>
      </c>
      <c r="H103" s="1106"/>
      <c r="I103" s="1097">
        <f t="shared" si="26"/>
        <v>1</v>
      </c>
      <c r="J103" s="1106"/>
      <c r="K103" s="1097">
        <f t="shared" si="27"/>
        <v>1</v>
      </c>
      <c r="L103" s="1106"/>
      <c r="M103" s="1097">
        <f t="shared" si="28"/>
        <v>1</v>
      </c>
      <c r="N103" s="1106"/>
      <c r="O103" s="1097">
        <f t="shared" si="29"/>
        <v>1</v>
      </c>
      <c r="P103" s="1106"/>
      <c r="Q103" s="1097">
        <f t="shared" si="30"/>
        <v>1</v>
      </c>
      <c r="R103" s="1157">
        <f t="shared" si="31"/>
        <v>0</v>
      </c>
      <c r="S103" s="1096">
        <f t="shared" si="22"/>
        <v>0</v>
      </c>
    </row>
    <row r="104" spans="1:19">
      <c r="A104" s="1104"/>
      <c r="B104" s="1105"/>
      <c r="C104" s="1097">
        <f t="shared" si="23"/>
        <v>1</v>
      </c>
      <c r="D104" s="1106"/>
      <c r="E104" s="1097">
        <f t="shared" si="24"/>
        <v>1</v>
      </c>
      <c r="F104" s="1106"/>
      <c r="G104" s="1097">
        <f t="shared" si="25"/>
        <v>1</v>
      </c>
      <c r="H104" s="1106"/>
      <c r="I104" s="1097">
        <f t="shared" si="26"/>
        <v>1</v>
      </c>
      <c r="J104" s="1106"/>
      <c r="K104" s="1097">
        <f t="shared" si="27"/>
        <v>1</v>
      </c>
      <c r="L104" s="1106"/>
      <c r="M104" s="1097">
        <f t="shared" si="28"/>
        <v>1</v>
      </c>
      <c r="N104" s="1106"/>
      <c r="O104" s="1097">
        <f t="shared" si="29"/>
        <v>1</v>
      </c>
      <c r="P104" s="1106"/>
      <c r="Q104" s="1097">
        <f t="shared" si="30"/>
        <v>1</v>
      </c>
      <c r="R104" s="1157">
        <f t="shared" si="31"/>
        <v>0</v>
      </c>
      <c r="S104" s="1096">
        <f t="shared" si="22"/>
        <v>0</v>
      </c>
    </row>
    <row r="105" spans="1:19">
      <c r="A105" s="1104"/>
      <c r="B105" s="1105"/>
      <c r="C105" s="1097">
        <f t="shared" si="23"/>
        <v>1</v>
      </c>
      <c r="D105" s="1106"/>
      <c r="E105" s="1097">
        <f t="shared" si="24"/>
        <v>1</v>
      </c>
      <c r="F105" s="1106"/>
      <c r="G105" s="1097">
        <f t="shared" si="25"/>
        <v>1</v>
      </c>
      <c r="H105" s="1106"/>
      <c r="I105" s="1097">
        <f t="shared" si="26"/>
        <v>1</v>
      </c>
      <c r="J105" s="1106"/>
      <c r="K105" s="1097">
        <f t="shared" si="27"/>
        <v>1</v>
      </c>
      <c r="L105" s="1106"/>
      <c r="M105" s="1097">
        <f t="shared" si="28"/>
        <v>1</v>
      </c>
      <c r="N105" s="1106"/>
      <c r="O105" s="1097">
        <f t="shared" si="29"/>
        <v>1</v>
      </c>
      <c r="P105" s="1106"/>
      <c r="Q105" s="1097">
        <f t="shared" si="30"/>
        <v>1</v>
      </c>
      <c r="R105" s="1157">
        <f t="shared" si="31"/>
        <v>0</v>
      </c>
      <c r="S105" s="1096">
        <f t="shared" si="22"/>
        <v>0</v>
      </c>
    </row>
    <row r="106" spans="1:19">
      <c r="A106" s="1104"/>
      <c r="B106" s="1105"/>
      <c r="C106" s="1097">
        <f t="shared" si="23"/>
        <v>1</v>
      </c>
      <c r="D106" s="1106"/>
      <c r="E106" s="1097">
        <f t="shared" si="24"/>
        <v>1</v>
      </c>
      <c r="F106" s="1106"/>
      <c r="G106" s="1097">
        <f t="shared" si="25"/>
        <v>1</v>
      </c>
      <c r="H106" s="1106"/>
      <c r="I106" s="1097">
        <f t="shared" si="26"/>
        <v>1</v>
      </c>
      <c r="J106" s="1106"/>
      <c r="K106" s="1097">
        <f t="shared" si="27"/>
        <v>1</v>
      </c>
      <c r="L106" s="1106"/>
      <c r="M106" s="1097">
        <f t="shared" si="28"/>
        <v>1</v>
      </c>
      <c r="N106" s="1106"/>
      <c r="O106" s="1097">
        <f t="shared" si="29"/>
        <v>1</v>
      </c>
      <c r="P106" s="1106"/>
      <c r="Q106" s="1097">
        <f t="shared" si="30"/>
        <v>1</v>
      </c>
      <c r="R106" s="1157">
        <f t="shared" si="31"/>
        <v>0</v>
      </c>
      <c r="S106" s="1096">
        <f t="shared" si="22"/>
        <v>0</v>
      </c>
    </row>
    <row r="107" spans="1:19">
      <c r="A107" s="1104"/>
      <c r="B107" s="1105"/>
      <c r="C107" s="1097">
        <f t="shared" si="23"/>
        <v>1</v>
      </c>
      <c r="D107" s="1106"/>
      <c r="E107" s="1097">
        <f t="shared" si="24"/>
        <v>1</v>
      </c>
      <c r="F107" s="1106"/>
      <c r="G107" s="1097">
        <f t="shared" si="25"/>
        <v>1</v>
      </c>
      <c r="H107" s="1106"/>
      <c r="I107" s="1097">
        <f t="shared" si="26"/>
        <v>1</v>
      </c>
      <c r="J107" s="1106"/>
      <c r="K107" s="1097">
        <f t="shared" si="27"/>
        <v>1</v>
      </c>
      <c r="L107" s="1106"/>
      <c r="M107" s="1097">
        <f t="shared" si="28"/>
        <v>1</v>
      </c>
      <c r="N107" s="1106"/>
      <c r="O107" s="1097">
        <f t="shared" si="29"/>
        <v>1</v>
      </c>
      <c r="P107" s="1106"/>
      <c r="Q107" s="1097">
        <f t="shared" si="30"/>
        <v>1</v>
      </c>
      <c r="R107" s="1157">
        <f t="shared" si="31"/>
        <v>0</v>
      </c>
      <c r="S107" s="1096">
        <f t="shared" si="22"/>
        <v>0</v>
      </c>
    </row>
    <row r="108" spans="1:19">
      <c r="A108" s="1104"/>
      <c r="B108" s="1105"/>
      <c r="C108" s="1097">
        <f t="shared" si="23"/>
        <v>1</v>
      </c>
      <c r="D108" s="1106"/>
      <c r="E108" s="1097">
        <f t="shared" si="24"/>
        <v>1</v>
      </c>
      <c r="F108" s="1106"/>
      <c r="G108" s="1097">
        <f t="shared" si="25"/>
        <v>1</v>
      </c>
      <c r="H108" s="1106"/>
      <c r="I108" s="1097">
        <f t="shared" si="26"/>
        <v>1</v>
      </c>
      <c r="J108" s="1106"/>
      <c r="K108" s="1097">
        <f t="shared" si="27"/>
        <v>1</v>
      </c>
      <c r="L108" s="1106"/>
      <c r="M108" s="1097">
        <f t="shared" si="28"/>
        <v>1</v>
      </c>
      <c r="N108" s="1106"/>
      <c r="O108" s="1097">
        <f t="shared" si="29"/>
        <v>1</v>
      </c>
      <c r="P108" s="1106"/>
      <c r="Q108" s="1097">
        <f t="shared" si="30"/>
        <v>1</v>
      </c>
      <c r="R108" s="1157">
        <f t="shared" si="31"/>
        <v>0</v>
      </c>
      <c r="S108" s="1096">
        <f t="shared" si="22"/>
        <v>0</v>
      </c>
    </row>
    <row r="109" spans="1:19">
      <c r="A109" s="1104"/>
      <c r="B109" s="1105"/>
      <c r="C109" s="1097">
        <f t="shared" si="23"/>
        <v>1</v>
      </c>
      <c r="D109" s="1106"/>
      <c r="E109" s="1097">
        <f t="shared" si="24"/>
        <v>1</v>
      </c>
      <c r="F109" s="1106"/>
      <c r="G109" s="1097">
        <f t="shared" si="25"/>
        <v>1</v>
      </c>
      <c r="H109" s="1106"/>
      <c r="I109" s="1097">
        <f t="shared" si="26"/>
        <v>1</v>
      </c>
      <c r="J109" s="1106"/>
      <c r="K109" s="1097">
        <f t="shared" si="27"/>
        <v>1</v>
      </c>
      <c r="L109" s="1106"/>
      <c r="M109" s="1097">
        <f t="shared" si="28"/>
        <v>1</v>
      </c>
      <c r="N109" s="1106"/>
      <c r="O109" s="1097">
        <f t="shared" si="29"/>
        <v>1</v>
      </c>
      <c r="P109" s="1106"/>
      <c r="Q109" s="1097">
        <f t="shared" si="30"/>
        <v>1</v>
      </c>
      <c r="R109" s="1157">
        <f t="shared" si="31"/>
        <v>0</v>
      </c>
      <c r="S109" s="1096">
        <f t="shared" si="22"/>
        <v>0</v>
      </c>
    </row>
    <row r="110" spans="1:19">
      <c r="A110" s="1104"/>
      <c r="B110" s="1105"/>
      <c r="C110" s="1097">
        <f t="shared" si="23"/>
        <v>1</v>
      </c>
      <c r="D110" s="1106"/>
      <c r="E110" s="1097">
        <f t="shared" si="24"/>
        <v>1</v>
      </c>
      <c r="F110" s="1106"/>
      <c r="G110" s="1097">
        <f t="shared" si="25"/>
        <v>1</v>
      </c>
      <c r="H110" s="1106"/>
      <c r="I110" s="1097">
        <f t="shared" si="26"/>
        <v>1</v>
      </c>
      <c r="J110" s="1106"/>
      <c r="K110" s="1097">
        <f t="shared" si="27"/>
        <v>1</v>
      </c>
      <c r="L110" s="1106"/>
      <c r="M110" s="1097">
        <f t="shared" si="28"/>
        <v>1</v>
      </c>
      <c r="N110" s="1106"/>
      <c r="O110" s="1097">
        <f t="shared" si="29"/>
        <v>1</v>
      </c>
      <c r="P110" s="1106"/>
      <c r="Q110" s="1097">
        <f t="shared" si="30"/>
        <v>1</v>
      </c>
      <c r="R110" s="1157">
        <f t="shared" si="31"/>
        <v>0</v>
      </c>
      <c r="S110" s="1096">
        <f t="shared" si="22"/>
        <v>0</v>
      </c>
    </row>
    <row r="111" spans="1:19">
      <c r="A111" s="1104"/>
      <c r="B111" s="1105"/>
      <c r="C111" s="1097">
        <f t="shared" si="23"/>
        <v>1</v>
      </c>
      <c r="D111" s="1106"/>
      <c r="E111" s="1097">
        <f t="shared" si="24"/>
        <v>1</v>
      </c>
      <c r="F111" s="1106"/>
      <c r="G111" s="1097">
        <f t="shared" si="25"/>
        <v>1</v>
      </c>
      <c r="H111" s="1106"/>
      <c r="I111" s="1097">
        <f t="shared" si="26"/>
        <v>1</v>
      </c>
      <c r="J111" s="1106"/>
      <c r="K111" s="1097">
        <f t="shared" si="27"/>
        <v>1</v>
      </c>
      <c r="L111" s="1106"/>
      <c r="M111" s="1097">
        <f t="shared" si="28"/>
        <v>1</v>
      </c>
      <c r="N111" s="1106"/>
      <c r="O111" s="1097">
        <f t="shared" si="29"/>
        <v>1</v>
      </c>
      <c r="P111" s="1106"/>
      <c r="Q111" s="1097">
        <f t="shared" si="30"/>
        <v>1</v>
      </c>
      <c r="R111" s="1157">
        <f t="shared" si="31"/>
        <v>0</v>
      </c>
      <c r="S111" s="1096">
        <f t="shared" si="22"/>
        <v>0</v>
      </c>
    </row>
    <row r="112" spans="1:19">
      <c r="A112" s="1104"/>
      <c r="B112" s="1105"/>
      <c r="C112" s="1097">
        <f t="shared" si="23"/>
        <v>1</v>
      </c>
      <c r="D112" s="1106"/>
      <c r="E112" s="1097">
        <f t="shared" si="24"/>
        <v>1</v>
      </c>
      <c r="F112" s="1106"/>
      <c r="G112" s="1097">
        <f t="shared" si="25"/>
        <v>1</v>
      </c>
      <c r="H112" s="1106"/>
      <c r="I112" s="1097">
        <f t="shared" si="26"/>
        <v>1</v>
      </c>
      <c r="J112" s="1106"/>
      <c r="K112" s="1097">
        <f t="shared" si="27"/>
        <v>1</v>
      </c>
      <c r="L112" s="1106"/>
      <c r="M112" s="1097">
        <f t="shared" si="28"/>
        <v>1</v>
      </c>
      <c r="N112" s="1106"/>
      <c r="O112" s="1097">
        <f t="shared" si="29"/>
        <v>1</v>
      </c>
      <c r="P112" s="1106"/>
      <c r="Q112" s="1097">
        <f t="shared" si="30"/>
        <v>1</v>
      </c>
      <c r="R112" s="1157">
        <f t="shared" si="31"/>
        <v>0</v>
      </c>
      <c r="S112" s="1096">
        <f t="shared" si="22"/>
        <v>0</v>
      </c>
    </row>
    <row r="113" spans="1:19">
      <c r="A113" s="1104"/>
      <c r="B113" s="1105"/>
      <c r="C113" s="1097">
        <f t="shared" si="23"/>
        <v>1</v>
      </c>
      <c r="D113" s="1106"/>
      <c r="E113" s="1097">
        <f t="shared" si="24"/>
        <v>1</v>
      </c>
      <c r="F113" s="1106"/>
      <c r="G113" s="1097">
        <f t="shared" si="25"/>
        <v>1</v>
      </c>
      <c r="H113" s="1106"/>
      <c r="I113" s="1097">
        <f t="shared" si="26"/>
        <v>1</v>
      </c>
      <c r="J113" s="1106"/>
      <c r="K113" s="1097">
        <f t="shared" si="27"/>
        <v>1</v>
      </c>
      <c r="L113" s="1106"/>
      <c r="M113" s="1097">
        <f t="shared" si="28"/>
        <v>1</v>
      </c>
      <c r="N113" s="1106"/>
      <c r="O113" s="1097">
        <f t="shared" si="29"/>
        <v>1</v>
      </c>
      <c r="P113" s="1106"/>
      <c r="Q113" s="1097">
        <f t="shared" si="30"/>
        <v>1</v>
      </c>
      <c r="R113" s="1157">
        <f t="shared" si="31"/>
        <v>0</v>
      </c>
      <c r="S113" s="1096">
        <f t="shared" si="22"/>
        <v>0</v>
      </c>
    </row>
    <row r="114" spans="1:19">
      <c r="A114" s="1104"/>
      <c r="B114" s="1105"/>
      <c r="C114" s="1097">
        <f t="shared" si="23"/>
        <v>1</v>
      </c>
      <c r="D114" s="1106"/>
      <c r="E114" s="1097">
        <f t="shared" si="24"/>
        <v>1</v>
      </c>
      <c r="F114" s="1106"/>
      <c r="G114" s="1097">
        <f t="shared" si="25"/>
        <v>1</v>
      </c>
      <c r="H114" s="1106"/>
      <c r="I114" s="1097">
        <f t="shared" si="26"/>
        <v>1</v>
      </c>
      <c r="J114" s="1106"/>
      <c r="K114" s="1097">
        <f t="shared" si="27"/>
        <v>1</v>
      </c>
      <c r="L114" s="1106"/>
      <c r="M114" s="1097">
        <f t="shared" si="28"/>
        <v>1</v>
      </c>
      <c r="N114" s="1106"/>
      <c r="O114" s="1097">
        <f t="shared" si="29"/>
        <v>1</v>
      </c>
      <c r="P114" s="1106"/>
      <c r="Q114" s="1097">
        <f t="shared" si="30"/>
        <v>1</v>
      </c>
      <c r="R114" s="1157">
        <f t="shared" si="31"/>
        <v>0</v>
      </c>
      <c r="S114" s="1096">
        <f t="shared" si="22"/>
        <v>0</v>
      </c>
    </row>
    <row r="115" spans="1:19">
      <c r="A115" s="1104"/>
      <c r="B115" s="1105"/>
      <c r="C115" s="1097">
        <f t="shared" si="23"/>
        <v>1</v>
      </c>
      <c r="D115" s="1106"/>
      <c r="E115" s="1097">
        <f t="shared" si="24"/>
        <v>1</v>
      </c>
      <c r="F115" s="1106"/>
      <c r="G115" s="1097">
        <f t="shared" si="25"/>
        <v>1</v>
      </c>
      <c r="H115" s="1106"/>
      <c r="I115" s="1097">
        <f t="shared" si="26"/>
        <v>1</v>
      </c>
      <c r="J115" s="1106"/>
      <c r="K115" s="1097">
        <f t="shared" si="27"/>
        <v>1</v>
      </c>
      <c r="L115" s="1106"/>
      <c r="M115" s="1097">
        <f t="shared" si="28"/>
        <v>1</v>
      </c>
      <c r="N115" s="1106"/>
      <c r="O115" s="1097">
        <f t="shared" si="29"/>
        <v>1</v>
      </c>
      <c r="P115" s="1106"/>
      <c r="Q115" s="1097">
        <f t="shared" si="30"/>
        <v>1</v>
      </c>
      <c r="R115" s="1157">
        <f t="shared" si="31"/>
        <v>0</v>
      </c>
      <c r="S115" s="1096">
        <f t="shared" si="22"/>
        <v>0</v>
      </c>
    </row>
    <row r="116" spans="1:19">
      <c r="A116" s="1104"/>
      <c r="B116" s="1105"/>
      <c r="C116" s="1097">
        <f t="shared" si="23"/>
        <v>1</v>
      </c>
      <c r="D116" s="1106"/>
      <c r="E116" s="1097">
        <f t="shared" si="24"/>
        <v>1</v>
      </c>
      <c r="F116" s="1106"/>
      <c r="G116" s="1097">
        <f t="shared" si="25"/>
        <v>1</v>
      </c>
      <c r="H116" s="1106"/>
      <c r="I116" s="1097">
        <f t="shared" si="26"/>
        <v>1</v>
      </c>
      <c r="J116" s="1106"/>
      <c r="K116" s="1097">
        <f t="shared" si="27"/>
        <v>1</v>
      </c>
      <c r="L116" s="1106"/>
      <c r="M116" s="1097">
        <f t="shared" si="28"/>
        <v>1</v>
      </c>
      <c r="N116" s="1106"/>
      <c r="O116" s="1097">
        <f t="shared" si="29"/>
        <v>1</v>
      </c>
      <c r="P116" s="1106"/>
      <c r="Q116" s="1097">
        <f t="shared" si="30"/>
        <v>1</v>
      </c>
      <c r="R116" s="1157">
        <f t="shared" si="31"/>
        <v>0</v>
      </c>
      <c r="S116" s="1096">
        <f t="shared" si="22"/>
        <v>0</v>
      </c>
    </row>
    <row r="117" spans="1:19">
      <c r="A117" s="1104"/>
      <c r="B117" s="1105"/>
      <c r="C117" s="1097">
        <f t="shared" si="23"/>
        <v>1</v>
      </c>
      <c r="D117" s="1106"/>
      <c r="E117" s="1097">
        <f t="shared" si="24"/>
        <v>1</v>
      </c>
      <c r="F117" s="1106"/>
      <c r="G117" s="1097">
        <f t="shared" si="25"/>
        <v>1</v>
      </c>
      <c r="H117" s="1106"/>
      <c r="I117" s="1097">
        <f t="shared" si="26"/>
        <v>1</v>
      </c>
      <c r="J117" s="1106"/>
      <c r="K117" s="1097">
        <f t="shared" si="27"/>
        <v>1</v>
      </c>
      <c r="L117" s="1106"/>
      <c r="M117" s="1097">
        <f t="shared" si="28"/>
        <v>1</v>
      </c>
      <c r="N117" s="1106"/>
      <c r="O117" s="1097">
        <f t="shared" si="29"/>
        <v>1</v>
      </c>
      <c r="P117" s="1106"/>
      <c r="Q117" s="1097">
        <f t="shared" si="30"/>
        <v>1</v>
      </c>
      <c r="R117" s="1157">
        <f t="shared" si="31"/>
        <v>0</v>
      </c>
      <c r="S117" s="1096">
        <f t="shared" si="22"/>
        <v>0</v>
      </c>
    </row>
    <row r="118" spans="1:19">
      <c r="A118" s="1104"/>
      <c r="B118" s="1105"/>
      <c r="C118" s="1097">
        <f t="shared" si="23"/>
        <v>1</v>
      </c>
      <c r="D118" s="1106"/>
      <c r="E118" s="1097">
        <f t="shared" si="24"/>
        <v>1</v>
      </c>
      <c r="F118" s="1106"/>
      <c r="G118" s="1097">
        <f t="shared" si="25"/>
        <v>1</v>
      </c>
      <c r="H118" s="1106"/>
      <c r="I118" s="1097">
        <f t="shared" si="26"/>
        <v>1</v>
      </c>
      <c r="J118" s="1106"/>
      <c r="K118" s="1097">
        <f t="shared" si="27"/>
        <v>1</v>
      </c>
      <c r="L118" s="1106"/>
      <c r="M118" s="1097">
        <f t="shared" si="28"/>
        <v>1</v>
      </c>
      <c r="N118" s="1106"/>
      <c r="O118" s="1097">
        <f t="shared" si="29"/>
        <v>1</v>
      </c>
      <c r="P118" s="1106"/>
      <c r="Q118" s="1097">
        <f t="shared" si="30"/>
        <v>1</v>
      </c>
      <c r="R118" s="1157">
        <f t="shared" si="31"/>
        <v>0</v>
      </c>
      <c r="S118" s="1096">
        <f t="shared" si="22"/>
        <v>0</v>
      </c>
    </row>
    <row r="119" spans="1:19">
      <c r="A119" s="1104"/>
      <c r="B119" s="1105"/>
      <c r="C119" s="1097">
        <f t="shared" si="23"/>
        <v>1</v>
      </c>
      <c r="D119" s="1106"/>
      <c r="E119" s="1097">
        <f t="shared" si="24"/>
        <v>1</v>
      </c>
      <c r="F119" s="1106"/>
      <c r="G119" s="1097">
        <f t="shared" si="25"/>
        <v>1</v>
      </c>
      <c r="H119" s="1106"/>
      <c r="I119" s="1097">
        <f t="shared" si="26"/>
        <v>1</v>
      </c>
      <c r="J119" s="1106"/>
      <c r="K119" s="1097">
        <f t="shared" si="27"/>
        <v>1</v>
      </c>
      <c r="L119" s="1106"/>
      <c r="M119" s="1097">
        <f t="shared" si="28"/>
        <v>1</v>
      </c>
      <c r="N119" s="1106"/>
      <c r="O119" s="1097">
        <f t="shared" si="29"/>
        <v>1</v>
      </c>
      <c r="P119" s="1106"/>
      <c r="Q119" s="1097">
        <f t="shared" si="30"/>
        <v>1</v>
      </c>
      <c r="R119" s="1157">
        <f t="shared" si="31"/>
        <v>0</v>
      </c>
      <c r="S119" s="1096">
        <f t="shared" si="22"/>
        <v>0</v>
      </c>
    </row>
    <row r="120" spans="1:19">
      <c r="A120" s="1104"/>
      <c r="B120" s="1105"/>
      <c r="C120" s="1097">
        <f t="shared" si="23"/>
        <v>1</v>
      </c>
      <c r="D120" s="1106"/>
      <c r="E120" s="1097">
        <f t="shared" si="24"/>
        <v>1</v>
      </c>
      <c r="F120" s="1106"/>
      <c r="G120" s="1097">
        <f t="shared" si="25"/>
        <v>1</v>
      </c>
      <c r="H120" s="1106"/>
      <c r="I120" s="1097">
        <f t="shared" si="26"/>
        <v>1</v>
      </c>
      <c r="J120" s="1106"/>
      <c r="K120" s="1097">
        <f t="shared" si="27"/>
        <v>1</v>
      </c>
      <c r="L120" s="1106"/>
      <c r="M120" s="1097">
        <f t="shared" si="28"/>
        <v>1</v>
      </c>
      <c r="N120" s="1106"/>
      <c r="O120" s="1097">
        <f t="shared" si="29"/>
        <v>1</v>
      </c>
      <c r="P120" s="1106"/>
      <c r="Q120" s="1097">
        <f t="shared" si="30"/>
        <v>1</v>
      </c>
      <c r="R120" s="1157">
        <f t="shared" si="31"/>
        <v>0</v>
      </c>
      <c r="S120" s="1096">
        <f t="shared" si="22"/>
        <v>0</v>
      </c>
    </row>
    <row r="121" spans="1:19">
      <c r="A121" s="1104"/>
      <c r="B121" s="1105"/>
      <c r="C121" s="1097">
        <f t="shared" si="23"/>
        <v>1</v>
      </c>
      <c r="D121" s="1106"/>
      <c r="E121" s="1097">
        <f t="shared" si="24"/>
        <v>1</v>
      </c>
      <c r="F121" s="1106"/>
      <c r="G121" s="1097">
        <f t="shared" si="25"/>
        <v>1</v>
      </c>
      <c r="H121" s="1106"/>
      <c r="I121" s="1097">
        <f t="shared" si="26"/>
        <v>1</v>
      </c>
      <c r="J121" s="1106"/>
      <c r="K121" s="1097">
        <f t="shared" si="27"/>
        <v>1</v>
      </c>
      <c r="L121" s="1106"/>
      <c r="M121" s="1097">
        <f t="shared" si="28"/>
        <v>1</v>
      </c>
      <c r="N121" s="1106"/>
      <c r="O121" s="1097">
        <f t="shared" si="29"/>
        <v>1</v>
      </c>
      <c r="P121" s="1106"/>
      <c r="Q121" s="1097">
        <f t="shared" si="30"/>
        <v>1</v>
      </c>
      <c r="R121" s="1157">
        <f t="shared" si="31"/>
        <v>0</v>
      </c>
      <c r="S121" s="1096">
        <f t="shared" si="22"/>
        <v>0</v>
      </c>
    </row>
    <row r="122" spans="1:19">
      <c r="A122" s="1104"/>
      <c r="B122" s="1105"/>
      <c r="C122" s="1097">
        <f t="shared" si="23"/>
        <v>1</v>
      </c>
      <c r="D122" s="1106"/>
      <c r="E122" s="1097">
        <f t="shared" si="24"/>
        <v>1</v>
      </c>
      <c r="F122" s="1106"/>
      <c r="G122" s="1097">
        <f t="shared" si="25"/>
        <v>1</v>
      </c>
      <c r="H122" s="1106"/>
      <c r="I122" s="1097">
        <f t="shared" si="26"/>
        <v>1</v>
      </c>
      <c r="J122" s="1106"/>
      <c r="K122" s="1097">
        <f t="shared" si="27"/>
        <v>1</v>
      </c>
      <c r="L122" s="1106"/>
      <c r="M122" s="1097">
        <f t="shared" si="28"/>
        <v>1</v>
      </c>
      <c r="N122" s="1106"/>
      <c r="O122" s="1097">
        <f t="shared" si="29"/>
        <v>1</v>
      </c>
      <c r="P122" s="1106"/>
      <c r="Q122" s="1097">
        <f t="shared" si="30"/>
        <v>1</v>
      </c>
      <c r="R122" s="1157">
        <f t="shared" si="31"/>
        <v>0</v>
      </c>
      <c r="S122" s="1096">
        <f t="shared" si="22"/>
        <v>0</v>
      </c>
    </row>
    <row r="123" spans="1:19">
      <c r="A123" s="1104"/>
      <c r="B123" s="1105"/>
      <c r="C123" s="1097">
        <f t="shared" si="23"/>
        <v>1</v>
      </c>
      <c r="D123" s="1106"/>
      <c r="E123" s="1097">
        <f t="shared" si="24"/>
        <v>1</v>
      </c>
      <c r="F123" s="1106"/>
      <c r="G123" s="1097">
        <f t="shared" si="25"/>
        <v>1</v>
      </c>
      <c r="H123" s="1106"/>
      <c r="I123" s="1097">
        <f t="shared" si="26"/>
        <v>1</v>
      </c>
      <c r="J123" s="1106"/>
      <c r="K123" s="1097">
        <f t="shared" si="27"/>
        <v>1</v>
      </c>
      <c r="L123" s="1106"/>
      <c r="M123" s="1097">
        <f t="shared" si="28"/>
        <v>1</v>
      </c>
      <c r="N123" s="1106"/>
      <c r="O123" s="1097">
        <f t="shared" si="29"/>
        <v>1</v>
      </c>
      <c r="P123" s="1106"/>
      <c r="Q123" s="1097">
        <f t="shared" si="30"/>
        <v>1</v>
      </c>
      <c r="R123" s="1157">
        <f t="shared" si="31"/>
        <v>0</v>
      </c>
      <c r="S123" s="1096">
        <f t="shared" ref="S123:S186" si="32">ROUND(R123*B123/10000,0)</f>
        <v>0</v>
      </c>
    </row>
    <row r="124" spans="1:19">
      <c r="A124" s="1104"/>
      <c r="B124" s="1105"/>
      <c r="C124" s="1097">
        <f t="shared" si="23"/>
        <v>1</v>
      </c>
      <c r="D124" s="1106"/>
      <c r="E124" s="1097">
        <f t="shared" si="24"/>
        <v>1</v>
      </c>
      <c r="F124" s="1106"/>
      <c r="G124" s="1097">
        <f t="shared" si="25"/>
        <v>1</v>
      </c>
      <c r="H124" s="1106"/>
      <c r="I124" s="1097">
        <f t="shared" si="26"/>
        <v>1</v>
      </c>
      <c r="J124" s="1106"/>
      <c r="K124" s="1097">
        <f t="shared" si="27"/>
        <v>1</v>
      </c>
      <c r="L124" s="1106"/>
      <c r="M124" s="1097">
        <f t="shared" si="28"/>
        <v>1</v>
      </c>
      <c r="N124" s="1106"/>
      <c r="O124" s="1097">
        <f t="shared" si="29"/>
        <v>1</v>
      </c>
      <c r="P124" s="1106"/>
      <c r="Q124" s="1097">
        <f t="shared" si="30"/>
        <v>1</v>
      </c>
      <c r="R124" s="1157">
        <f t="shared" si="31"/>
        <v>0</v>
      </c>
      <c r="S124" s="1096">
        <f t="shared" si="32"/>
        <v>0</v>
      </c>
    </row>
    <row r="125" spans="1:19">
      <c r="A125" s="1104"/>
      <c r="B125" s="1105"/>
      <c r="C125" s="1097">
        <f t="shared" si="23"/>
        <v>1</v>
      </c>
      <c r="D125" s="1106"/>
      <c r="E125" s="1097">
        <f t="shared" si="24"/>
        <v>1</v>
      </c>
      <c r="F125" s="1106"/>
      <c r="G125" s="1097">
        <f t="shared" si="25"/>
        <v>1</v>
      </c>
      <c r="H125" s="1106"/>
      <c r="I125" s="1097">
        <f t="shared" si="26"/>
        <v>1</v>
      </c>
      <c r="J125" s="1106"/>
      <c r="K125" s="1097">
        <f t="shared" si="27"/>
        <v>1</v>
      </c>
      <c r="L125" s="1106"/>
      <c r="M125" s="1097">
        <f t="shared" si="28"/>
        <v>1</v>
      </c>
      <c r="N125" s="1106"/>
      <c r="O125" s="1097">
        <f t="shared" si="29"/>
        <v>1</v>
      </c>
      <c r="P125" s="1106"/>
      <c r="Q125" s="1097">
        <f t="shared" si="30"/>
        <v>1</v>
      </c>
      <c r="R125" s="1157">
        <f t="shared" si="31"/>
        <v>0</v>
      </c>
      <c r="S125" s="1096">
        <f t="shared" si="32"/>
        <v>0</v>
      </c>
    </row>
    <row r="126" spans="1:19">
      <c r="A126" s="1104"/>
      <c r="B126" s="1105"/>
      <c r="C126" s="1097">
        <f t="shared" si="23"/>
        <v>1</v>
      </c>
      <c r="D126" s="1106"/>
      <c r="E126" s="1097">
        <f t="shared" si="24"/>
        <v>1</v>
      </c>
      <c r="F126" s="1106"/>
      <c r="G126" s="1097">
        <f t="shared" si="25"/>
        <v>1</v>
      </c>
      <c r="H126" s="1106"/>
      <c r="I126" s="1097">
        <f t="shared" si="26"/>
        <v>1</v>
      </c>
      <c r="J126" s="1106"/>
      <c r="K126" s="1097">
        <f t="shared" si="27"/>
        <v>1</v>
      </c>
      <c r="L126" s="1106"/>
      <c r="M126" s="1097">
        <f t="shared" si="28"/>
        <v>1</v>
      </c>
      <c r="N126" s="1106"/>
      <c r="O126" s="1097">
        <f t="shared" si="29"/>
        <v>1</v>
      </c>
      <c r="P126" s="1106"/>
      <c r="Q126" s="1097">
        <f t="shared" si="30"/>
        <v>1</v>
      </c>
      <c r="R126" s="1157">
        <f t="shared" si="31"/>
        <v>0</v>
      </c>
      <c r="S126" s="1096">
        <f t="shared" si="32"/>
        <v>0</v>
      </c>
    </row>
    <row r="127" spans="1:19">
      <c r="A127" s="1104"/>
      <c r="B127" s="1105"/>
      <c r="C127" s="1097">
        <f t="shared" si="23"/>
        <v>1</v>
      </c>
      <c r="D127" s="1106"/>
      <c r="E127" s="1097">
        <f t="shared" si="24"/>
        <v>1</v>
      </c>
      <c r="F127" s="1106"/>
      <c r="G127" s="1097">
        <f t="shared" si="25"/>
        <v>1</v>
      </c>
      <c r="H127" s="1106"/>
      <c r="I127" s="1097">
        <f t="shared" si="26"/>
        <v>1</v>
      </c>
      <c r="J127" s="1106"/>
      <c r="K127" s="1097">
        <f t="shared" si="27"/>
        <v>1</v>
      </c>
      <c r="L127" s="1106"/>
      <c r="M127" s="1097">
        <f t="shared" si="28"/>
        <v>1</v>
      </c>
      <c r="N127" s="1106"/>
      <c r="O127" s="1097">
        <f t="shared" si="29"/>
        <v>1</v>
      </c>
      <c r="P127" s="1106"/>
      <c r="Q127" s="1097">
        <f t="shared" si="30"/>
        <v>1</v>
      </c>
      <c r="R127" s="1157">
        <f t="shared" si="31"/>
        <v>0</v>
      </c>
      <c r="S127" s="1096">
        <f t="shared" si="32"/>
        <v>0</v>
      </c>
    </row>
    <row r="128" spans="1:19">
      <c r="A128" s="1104"/>
      <c r="B128" s="1105"/>
      <c r="C128" s="1097">
        <f t="shared" si="23"/>
        <v>1</v>
      </c>
      <c r="D128" s="1106"/>
      <c r="E128" s="1097">
        <f t="shared" si="24"/>
        <v>1</v>
      </c>
      <c r="F128" s="1106"/>
      <c r="G128" s="1097">
        <f t="shared" si="25"/>
        <v>1</v>
      </c>
      <c r="H128" s="1106"/>
      <c r="I128" s="1097">
        <f t="shared" si="26"/>
        <v>1</v>
      </c>
      <c r="J128" s="1106"/>
      <c r="K128" s="1097">
        <f t="shared" si="27"/>
        <v>1</v>
      </c>
      <c r="L128" s="1106"/>
      <c r="M128" s="1097">
        <f t="shared" si="28"/>
        <v>1</v>
      </c>
      <c r="N128" s="1106"/>
      <c r="O128" s="1097">
        <f t="shared" si="29"/>
        <v>1</v>
      </c>
      <c r="P128" s="1106"/>
      <c r="Q128" s="1097">
        <f t="shared" si="30"/>
        <v>1</v>
      </c>
      <c r="R128" s="1157">
        <f t="shared" si="31"/>
        <v>0</v>
      </c>
      <c r="S128" s="1096">
        <f t="shared" si="32"/>
        <v>0</v>
      </c>
    </row>
    <row r="129" spans="1:19">
      <c r="A129" s="1104"/>
      <c r="B129" s="1105"/>
      <c r="C129" s="1097">
        <f t="shared" si="23"/>
        <v>1</v>
      </c>
      <c r="D129" s="1106"/>
      <c r="E129" s="1097">
        <f t="shared" si="24"/>
        <v>1</v>
      </c>
      <c r="F129" s="1106"/>
      <c r="G129" s="1097">
        <f t="shared" si="25"/>
        <v>1</v>
      </c>
      <c r="H129" s="1106"/>
      <c r="I129" s="1097">
        <f t="shared" si="26"/>
        <v>1</v>
      </c>
      <c r="J129" s="1106"/>
      <c r="K129" s="1097">
        <f t="shared" si="27"/>
        <v>1</v>
      </c>
      <c r="L129" s="1106"/>
      <c r="M129" s="1097">
        <f t="shared" si="28"/>
        <v>1</v>
      </c>
      <c r="N129" s="1106"/>
      <c r="O129" s="1097">
        <f t="shared" si="29"/>
        <v>1</v>
      </c>
      <c r="P129" s="1106"/>
      <c r="Q129" s="1097">
        <f t="shared" si="30"/>
        <v>1</v>
      </c>
      <c r="R129" s="1157">
        <f t="shared" si="31"/>
        <v>0</v>
      </c>
      <c r="S129" s="1096">
        <f t="shared" si="32"/>
        <v>0</v>
      </c>
    </row>
    <row r="130" spans="1:19">
      <c r="A130" s="1104"/>
      <c r="B130" s="1105"/>
      <c r="C130" s="1097">
        <f t="shared" si="23"/>
        <v>1</v>
      </c>
      <c r="D130" s="1106"/>
      <c r="E130" s="1097">
        <f t="shared" si="24"/>
        <v>1</v>
      </c>
      <c r="F130" s="1106"/>
      <c r="G130" s="1097">
        <f t="shared" si="25"/>
        <v>1</v>
      </c>
      <c r="H130" s="1106"/>
      <c r="I130" s="1097">
        <f t="shared" si="26"/>
        <v>1</v>
      </c>
      <c r="J130" s="1106"/>
      <c r="K130" s="1097">
        <f t="shared" si="27"/>
        <v>1</v>
      </c>
      <c r="L130" s="1106"/>
      <c r="M130" s="1097">
        <f t="shared" si="28"/>
        <v>1</v>
      </c>
      <c r="N130" s="1106"/>
      <c r="O130" s="1097">
        <f t="shared" si="29"/>
        <v>1</v>
      </c>
      <c r="P130" s="1106"/>
      <c r="Q130" s="1097">
        <f t="shared" si="30"/>
        <v>1</v>
      </c>
      <c r="R130" s="1157">
        <f t="shared" si="31"/>
        <v>0</v>
      </c>
      <c r="S130" s="1096">
        <f t="shared" si="32"/>
        <v>0</v>
      </c>
    </row>
    <row r="131" spans="1:19">
      <c r="A131" s="1104"/>
      <c r="B131" s="1105"/>
      <c r="C131" s="1097">
        <f t="shared" si="23"/>
        <v>1</v>
      </c>
      <c r="D131" s="1106"/>
      <c r="E131" s="1097">
        <f t="shared" si="24"/>
        <v>1</v>
      </c>
      <c r="F131" s="1106"/>
      <c r="G131" s="1097">
        <f t="shared" si="25"/>
        <v>1</v>
      </c>
      <c r="H131" s="1106"/>
      <c r="I131" s="1097">
        <f t="shared" si="26"/>
        <v>1</v>
      </c>
      <c r="J131" s="1106"/>
      <c r="K131" s="1097">
        <f t="shared" si="27"/>
        <v>1</v>
      </c>
      <c r="L131" s="1106"/>
      <c r="M131" s="1097">
        <f t="shared" si="28"/>
        <v>1</v>
      </c>
      <c r="N131" s="1106"/>
      <c r="O131" s="1097">
        <f t="shared" si="29"/>
        <v>1</v>
      </c>
      <c r="P131" s="1106"/>
      <c r="Q131" s="1097">
        <f t="shared" si="30"/>
        <v>1</v>
      </c>
      <c r="R131" s="1157">
        <f t="shared" si="31"/>
        <v>0</v>
      </c>
      <c r="S131" s="1096">
        <f t="shared" si="32"/>
        <v>0</v>
      </c>
    </row>
    <row r="132" spans="1:19">
      <c r="A132" s="1104"/>
      <c r="B132" s="1105"/>
      <c r="C132" s="1097">
        <f t="shared" si="23"/>
        <v>1</v>
      </c>
      <c r="D132" s="1106"/>
      <c r="E132" s="1097">
        <f t="shared" si="24"/>
        <v>1</v>
      </c>
      <c r="F132" s="1106"/>
      <c r="G132" s="1097">
        <f t="shared" si="25"/>
        <v>1</v>
      </c>
      <c r="H132" s="1106"/>
      <c r="I132" s="1097">
        <f t="shared" si="26"/>
        <v>1</v>
      </c>
      <c r="J132" s="1106"/>
      <c r="K132" s="1097">
        <f t="shared" si="27"/>
        <v>1</v>
      </c>
      <c r="L132" s="1106"/>
      <c r="M132" s="1097">
        <f t="shared" si="28"/>
        <v>1</v>
      </c>
      <c r="N132" s="1106"/>
      <c r="O132" s="1097">
        <f t="shared" si="29"/>
        <v>1</v>
      </c>
      <c r="P132" s="1106"/>
      <c r="Q132" s="1097">
        <f t="shared" si="30"/>
        <v>1</v>
      </c>
      <c r="R132" s="1157">
        <f t="shared" si="31"/>
        <v>0</v>
      </c>
      <c r="S132" s="1096">
        <f t="shared" si="32"/>
        <v>0</v>
      </c>
    </row>
    <row r="133" spans="1:19">
      <c r="A133" s="1104"/>
      <c r="B133" s="1105"/>
      <c r="C133" s="1097">
        <f t="shared" si="23"/>
        <v>1</v>
      </c>
      <c r="D133" s="1106"/>
      <c r="E133" s="1097">
        <f t="shared" si="24"/>
        <v>1</v>
      </c>
      <c r="F133" s="1106"/>
      <c r="G133" s="1097">
        <f t="shared" si="25"/>
        <v>1</v>
      </c>
      <c r="H133" s="1106"/>
      <c r="I133" s="1097">
        <f t="shared" si="26"/>
        <v>1</v>
      </c>
      <c r="J133" s="1106"/>
      <c r="K133" s="1097">
        <f t="shared" si="27"/>
        <v>1</v>
      </c>
      <c r="L133" s="1106"/>
      <c r="M133" s="1097">
        <f t="shared" si="28"/>
        <v>1</v>
      </c>
      <c r="N133" s="1106"/>
      <c r="O133" s="1097">
        <f t="shared" si="29"/>
        <v>1</v>
      </c>
      <c r="P133" s="1106"/>
      <c r="Q133" s="1097">
        <f t="shared" si="30"/>
        <v>1</v>
      </c>
      <c r="R133" s="1157">
        <f t="shared" si="31"/>
        <v>0</v>
      </c>
      <c r="S133" s="1096">
        <f t="shared" si="32"/>
        <v>0</v>
      </c>
    </row>
    <row r="134" spans="1:19">
      <c r="A134" s="1104"/>
      <c r="B134" s="1105"/>
      <c r="C134" s="1097">
        <f t="shared" si="23"/>
        <v>1</v>
      </c>
      <c r="D134" s="1106"/>
      <c r="E134" s="1097">
        <f t="shared" si="24"/>
        <v>1</v>
      </c>
      <c r="F134" s="1106"/>
      <c r="G134" s="1097">
        <f t="shared" si="25"/>
        <v>1</v>
      </c>
      <c r="H134" s="1106"/>
      <c r="I134" s="1097">
        <f t="shared" si="26"/>
        <v>1</v>
      </c>
      <c r="J134" s="1106"/>
      <c r="K134" s="1097">
        <f t="shared" si="27"/>
        <v>1</v>
      </c>
      <c r="L134" s="1106"/>
      <c r="M134" s="1097">
        <f t="shared" si="28"/>
        <v>1</v>
      </c>
      <c r="N134" s="1106"/>
      <c r="O134" s="1097">
        <f t="shared" si="29"/>
        <v>1</v>
      </c>
      <c r="P134" s="1106"/>
      <c r="Q134" s="1097">
        <f t="shared" si="30"/>
        <v>1</v>
      </c>
      <c r="R134" s="1157">
        <f t="shared" si="31"/>
        <v>0</v>
      </c>
      <c r="S134" s="1096">
        <f t="shared" si="32"/>
        <v>0</v>
      </c>
    </row>
    <row r="135" spans="1:19">
      <c r="A135" s="1104"/>
      <c r="B135" s="1105"/>
      <c r="C135" s="1097">
        <f t="shared" si="23"/>
        <v>1</v>
      </c>
      <c r="D135" s="1106"/>
      <c r="E135" s="1097">
        <f t="shared" si="24"/>
        <v>1</v>
      </c>
      <c r="F135" s="1106"/>
      <c r="G135" s="1097">
        <f t="shared" si="25"/>
        <v>1</v>
      </c>
      <c r="H135" s="1106"/>
      <c r="I135" s="1097">
        <f t="shared" si="26"/>
        <v>1</v>
      </c>
      <c r="J135" s="1106"/>
      <c r="K135" s="1097">
        <f t="shared" si="27"/>
        <v>1</v>
      </c>
      <c r="L135" s="1106"/>
      <c r="M135" s="1097">
        <f t="shared" si="28"/>
        <v>1</v>
      </c>
      <c r="N135" s="1106"/>
      <c r="O135" s="1097">
        <f t="shared" si="29"/>
        <v>1</v>
      </c>
      <c r="P135" s="1106"/>
      <c r="Q135" s="1097">
        <f t="shared" si="30"/>
        <v>1</v>
      </c>
      <c r="R135" s="1157">
        <f t="shared" si="31"/>
        <v>0</v>
      </c>
      <c r="S135" s="1096">
        <f t="shared" si="32"/>
        <v>0</v>
      </c>
    </row>
    <row r="136" spans="1:19">
      <c r="A136" s="1104"/>
      <c r="B136" s="1105"/>
      <c r="C136" s="1097">
        <f t="shared" si="23"/>
        <v>1</v>
      </c>
      <c r="D136" s="1106"/>
      <c r="E136" s="1097">
        <f t="shared" si="24"/>
        <v>1</v>
      </c>
      <c r="F136" s="1106"/>
      <c r="G136" s="1097">
        <f t="shared" si="25"/>
        <v>1</v>
      </c>
      <c r="H136" s="1106"/>
      <c r="I136" s="1097">
        <f t="shared" si="26"/>
        <v>1</v>
      </c>
      <c r="J136" s="1106"/>
      <c r="K136" s="1097">
        <f t="shared" si="27"/>
        <v>1</v>
      </c>
      <c r="L136" s="1106"/>
      <c r="M136" s="1097">
        <f t="shared" si="28"/>
        <v>1</v>
      </c>
      <c r="N136" s="1106"/>
      <c r="O136" s="1097">
        <f t="shared" si="29"/>
        <v>1</v>
      </c>
      <c r="P136" s="1106"/>
      <c r="Q136" s="1097">
        <f t="shared" si="30"/>
        <v>1</v>
      </c>
      <c r="R136" s="1157">
        <f t="shared" si="31"/>
        <v>0</v>
      </c>
      <c r="S136" s="1096">
        <f t="shared" si="32"/>
        <v>0</v>
      </c>
    </row>
    <row r="137" spans="1:19">
      <c r="A137" s="1104"/>
      <c r="B137" s="1105"/>
      <c r="C137" s="1097">
        <f t="shared" si="23"/>
        <v>1</v>
      </c>
      <c r="D137" s="1106"/>
      <c r="E137" s="1097">
        <f t="shared" si="24"/>
        <v>1</v>
      </c>
      <c r="F137" s="1106"/>
      <c r="G137" s="1097">
        <f t="shared" si="25"/>
        <v>1</v>
      </c>
      <c r="H137" s="1106"/>
      <c r="I137" s="1097">
        <f t="shared" si="26"/>
        <v>1</v>
      </c>
      <c r="J137" s="1106"/>
      <c r="K137" s="1097">
        <f t="shared" si="27"/>
        <v>1</v>
      </c>
      <c r="L137" s="1106"/>
      <c r="M137" s="1097">
        <f t="shared" si="28"/>
        <v>1</v>
      </c>
      <c r="N137" s="1106"/>
      <c r="O137" s="1097">
        <f t="shared" si="29"/>
        <v>1</v>
      </c>
      <c r="P137" s="1106"/>
      <c r="Q137" s="1097">
        <f t="shared" si="30"/>
        <v>1</v>
      </c>
      <c r="R137" s="1157">
        <f t="shared" si="31"/>
        <v>0</v>
      </c>
      <c r="S137" s="1096">
        <f t="shared" si="32"/>
        <v>0</v>
      </c>
    </row>
    <row r="138" spans="1:19">
      <c r="A138" s="1104"/>
      <c r="B138" s="1105"/>
      <c r="C138" s="1097">
        <f t="shared" si="23"/>
        <v>1</v>
      </c>
      <c r="D138" s="1106"/>
      <c r="E138" s="1097">
        <f t="shared" si="24"/>
        <v>1</v>
      </c>
      <c r="F138" s="1106"/>
      <c r="G138" s="1097">
        <f t="shared" si="25"/>
        <v>1</v>
      </c>
      <c r="H138" s="1106"/>
      <c r="I138" s="1097">
        <f t="shared" si="26"/>
        <v>1</v>
      </c>
      <c r="J138" s="1106"/>
      <c r="K138" s="1097">
        <f t="shared" si="27"/>
        <v>1</v>
      </c>
      <c r="L138" s="1106"/>
      <c r="M138" s="1097">
        <f t="shared" si="28"/>
        <v>1</v>
      </c>
      <c r="N138" s="1106"/>
      <c r="O138" s="1097">
        <f t="shared" si="29"/>
        <v>1</v>
      </c>
      <c r="P138" s="1106"/>
      <c r="Q138" s="1097">
        <f t="shared" si="30"/>
        <v>1</v>
      </c>
      <c r="R138" s="1157">
        <f t="shared" si="31"/>
        <v>0</v>
      </c>
      <c r="S138" s="1096">
        <f t="shared" si="32"/>
        <v>0</v>
      </c>
    </row>
    <row r="139" spans="1:19">
      <c r="A139" s="1104"/>
      <c r="B139" s="1105"/>
      <c r="C139" s="1097">
        <f t="shared" si="23"/>
        <v>1</v>
      </c>
      <c r="D139" s="1106"/>
      <c r="E139" s="1097">
        <f t="shared" si="24"/>
        <v>1</v>
      </c>
      <c r="F139" s="1106"/>
      <c r="G139" s="1097">
        <f t="shared" si="25"/>
        <v>1</v>
      </c>
      <c r="H139" s="1106"/>
      <c r="I139" s="1097">
        <f t="shared" si="26"/>
        <v>1</v>
      </c>
      <c r="J139" s="1106"/>
      <c r="K139" s="1097">
        <f t="shared" si="27"/>
        <v>1</v>
      </c>
      <c r="L139" s="1106"/>
      <c r="M139" s="1097">
        <f t="shared" si="28"/>
        <v>1</v>
      </c>
      <c r="N139" s="1106"/>
      <c r="O139" s="1097">
        <f t="shared" si="29"/>
        <v>1</v>
      </c>
      <c r="P139" s="1106"/>
      <c r="Q139" s="1097">
        <f t="shared" si="30"/>
        <v>1</v>
      </c>
      <c r="R139" s="1157">
        <f t="shared" si="31"/>
        <v>0</v>
      </c>
      <c r="S139" s="1096">
        <f t="shared" si="32"/>
        <v>0</v>
      </c>
    </row>
    <row r="140" spans="1:19">
      <c r="A140" s="1104"/>
      <c r="B140" s="1105"/>
      <c r="C140" s="1097">
        <f t="shared" si="23"/>
        <v>1</v>
      </c>
      <c r="D140" s="1106"/>
      <c r="E140" s="1097">
        <f t="shared" si="24"/>
        <v>1</v>
      </c>
      <c r="F140" s="1106"/>
      <c r="G140" s="1097">
        <f t="shared" si="25"/>
        <v>1</v>
      </c>
      <c r="H140" s="1106"/>
      <c r="I140" s="1097">
        <f t="shared" si="26"/>
        <v>1</v>
      </c>
      <c r="J140" s="1106"/>
      <c r="K140" s="1097">
        <f t="shared" si="27"/>
        <v>1</v>
      </c>
      <c r="L140" s="1106"/>
      <c r="M140" s="1097">
        <f t="shared" si="28"/>
        <v>1</v>
      </c>
      <c r="N140" s="1106"/>
      <c r="O140" s="1097">
        <f t="shared" si="29"/>
        <v>1</v>
      </c>
      <c r="P140" s="1106"/>
      <c r="Q140" s="1097">
        <f t="shared" si="30"/>
        <v>1</v>
      </c>
      <c r="R140" s="1157">
        <f t="shared" si="31"/>
        <v>0</v>
      </c>
      <c r="S140" s="1096">
        <f t="shared" si="32"/>
        <v>0</v>
      </c>
    </row>
    <row r="141" spans="1:19">
      <c r="A141" s="1104"/>
      <c r="B141" s="1105"/>
      <c r="C141" s="1097">
        <f t="shared" si="23"/>
        <v>1</v>
      </c>
      <c r="D141" s="1106"/>
      <c r="E141" s="1097">
        <f t="shared" si="24"/>
        <v>1</v>
      </c>
      <c r="F141" s="1106"/>
      <c r="G141" s="1097">
        <f t="shared" si="25"/>
        <v>1</v>
      </c>
      <c r="H141" s="1106"/>
      <c r="I141" s="1097">
        <f t="shared" si="26"/>
        <v>1</v>
      </c>
      <c r="J141" s="1106"/>
      <c r="K141" s="1097">
        <f t="shared" si="27"/>
        <v>1</v>
      </c>
      <c r="L141" s="1106"/>
      <c r="M141" s="1097">
        <f t="shared" si="28"/>
        <v>1</v>
      </c>
      <c r="N141" s="1106"/>
      <c r="O141" s="1097">
        <f t="shared" si="29"/>
        <v>1</v>
      </c>
      <c r="P141" s="1106"/>
      <c r="Q141" s="1097">
        <f t="shared" si="30"/>
        <v>1</v>
      </c>
      <c r="R141" s="1157">
        <f t="shared" si="31"/>
        <v>0</v>
      </c>
      <c r="S141" s="1096">
        <f t="shared" si="32"/>
        <v>0</v>
      </c>
    </row>
    <row r="142" spans="1:19">
      <c r="A142" s="1104"/>
      <c r="B142" s="1105"/>
      <c r="C142" s="1097">
        <f t="shared" si="23"/>
        <v>1</v>
      </c>
      <c r="D142" s="1106"/>
      <c r="E142" s="1097">
        <f t="shared" si="24"/>
        <v>1</v>
      </c>
      <c r="F142" s="1106"/>
      <c r="G142" s="1097">
        <f t="shared" si="25"/>
        <v>1</v>
      </c>
      <c r="H142" s="1106"/>
      <c r="I142" s="1097">
        <f t="shared" si="26"/>
        <v>1</v>
      </c>
      <c r="J142" s="1106"/>
      <c r="K142" s="1097">
        <f t="shared" si="27"/>
        <v>1</v>
      </c>
      <c r="L142" s="1106"/>
      <c r="M142" s="1097">
        <f t="shared" si="28"/>
        <v>1</v>
      </c>
      <c r="N142" s="1106"/>
      <c r="O142" s="1097">
        <f t="shared" si="29"/>
        <v>1</v>
      </c>
      <c r="P142" s="1106"/>
      <c r="Q142" s="1097">
        <f t="shared" si="30"/>
        <v>1</v>
      </c>
      <c r="R142" s="1157">
        <f t="shared" si="31"/>
        <v>0</v>
      </c>
      <c r="S142" s="1096">
        <f t="shared" si="32"/>
        <v>0</v>
      </c>
    </row>
    <row r="143" spans="1:19">
      <c r="A143" s="1104"/>
      <c r="B143" s="1105"/>
      <c r="C143" s="1097">
        <f t="shared" si="23"/>
        <v>1</v>
      </c>
      <c r="D143" s="1106"/>
      <c r="E143" s="1097">
        <f t="shared" si="24"/>
        <v>1</v>
      </c>
      <c r="F143" s="1106"/>
      <c r="G143" s="1097">
        <f t="shared" si="25"/>
        <v>1</v>
      </c>
      <c r="H143" s="1106"/>
      <c r="I143" s="1097">
        <f t="shared" si="26"/>
        <v>1</v>
      </c>
      <c r="J143" s="1106"/>
      <c r="K143" s="1097">
        <f t="shared" si="27"/>
        <v>1</v>
      </c>
      <c r="L143" s="1106"/>
      <c r="M143" s="1097">
        <f t="shared" si="28"/>
        <v>1</v>
      </c>
      <c r="N143" s="1106"/>
      <c r="O143" s="1097">
        <f t="shared" si="29"/>
        <v>1</v>
      </c>
      <c r="P143" s="1106"/>
      <c r="Q143" s="1097">
        <f t="shared" si="30"/>
        <v>1</v>
      </c>
      <c r="R143" s="1157">
        <f t="shared" si="31"/>
        <v>0</v>
      </c>
      <c r="S143" s="1096">
        <f t="shared" si="32"/>
        <v>0</v>
      </c>
    </row>
    <row r="144" spans="1:19">
      <c r="A144" s="1104"/>
      <c r="B144" s="1105"/>
      <c r="C144" s="1097">
        <f t="shared" si="23"/>
        <v>1</v>
      </c>
      <c r="D144" s="1106"/>
      <c r="E144" s="1097">
        <f t="shared" si="24"/>
        <v>1</v>
      </c>
      <c r="F144" s="1106"/>
      <c r="G144" s="1097">
        <f t="shared" si="25"/>
        <v>1</v>
      </c>
      <c r="H144" s="1106"/>
      <c r="I144" s="1097">
        <f t="shared" si="26"/>
        <v>1</v>
      </c>
      <c r="J144" s="1106"/>
      <c r="K144" s="1097">
        <f t="shared" si="27"/>
        <v>1</v>
      </c>
      <c r="L144" s="1106"/>
      <c r="M144" s="1097">
        <f t="shared" si="28"/>
        <v>1</v>
      </c>
      <c r="N144" s="1106"/>
      <c r="O144" s="1097">
        <f t="shared" si="29"/>
        <v>1</v>
      </c>
      <c r="P144" s="1106"/>
      <c r="Q144" s="1097">
        <f t="shared" si="30"/>
        <v>1</v>
      </c>
      <c r="R144" s="1157">
        <f t="shared" si="31"/>
        <v>0</v>
      </c>
      <c r="S144" s="1096">
        <f t="shared" si="32"/>
        <v>0</v>
      </c>
    </row>
    <row r="145" spans="1:19">
      <c r="A145" s="1104"/>
      <c r="B145" s="1105"/>
      <c r="C145" s="1097">
        <f t="shared" si="23"/>
        <v>1</v>
      </c>
      <c r="D145" s="1106"/>
      <c r="E145" s="1097">
        <f t="shared" si="24"/>
        <v>1</v>
      </c>
      <c r="F145" s="1106"/>
      <c r="G145" s="1097">
        <f t="shared" si="25"/>
        <v>1</v>
      </c>
      <c r="H145" s="1106"/>
      <c r="I145" s="1097">
        <f t="shared" si="26"/>
        <v>1</v>
      </c>
      <c r="J145" s="1106"/>
      <c r="K145" s="1097">
        <f t="shared" si="27"/>
        <v>1</v>
      </c>
      <c r="L145" s="1106"/>
      <c r="M145" s="1097">
        <f t="shared" si="28"/>
        <v>1</v>
      </c>
      <c r="N145" s="1106"/>
      <c r="O145" s="1097">
        <f t="shared" si="29"/>
        <v>1</v>
      </c>
      <c r="P145" s="1106"/>
      <c r="Q145" s="1097">
        <f t="shared" si="30"/>
        <v>1</v>
      </c>
      <c r="R145" s="1157">
        <f t="shared" si="31"/>
        <v>0</v>
      </c>
      <c r="S145" s="1096">
        <f t="shared" si="32"/>
        <v>0</v>
      </c>
    </row>
    <row r="146" spans="1:19">
      <c r="A146" s="1104"/>
      <c r="B146" s="1105"/>
      <c r="C146" s="1097">
        <f t="shared" si="23"/>
        <v>1</v>
      </c>
      <c r="D146" s="1106"/>
      <c r="E146" s="1097">
        <f t="shared" si="24"/>
        <v>1</v>
      </c>
      <c r="F146" s="1106"/>
      <c r="G146" s="1097">
        <f t="shared" si="25"/>
        <v>1</v>
      </c>
      <c r="H146" s="1106"/>
      <c r="I146" s="1097">
        <f t="shared" si="26"/>
        <v>1</v>
      </c>
      <c r="J146" s="1106"/>
      <c r="K146" s="1097">
        <f t="shared" si="27"/>
        <v>1</v>
      </c>
      <c r="L146" s="1106"/>
      <c r="M146" s="1097">
        <f t="shared" si="28"/>
        <v>1</v>
      </c>
      <c r="N146" s="1106"/>
      <c r="O146" s="1097">
        <f t="shared" si="29"/>
        <v>1</v>
      </c>
      <c r="P146" s="1106"/>
      <c r="Q146" s="1097">
        <f t="shared" si="30"/>
        <v>1</v>
      </c>
      <c r="R146" s="1157">
        <f t="shared" si="31"/>
        <v>0</v>
      </c>
      <c r="S146" s="1096">
        <f t="shared" si="32"/>
        <v>0</v>
      </c>
    </row>
    <row r="147" spans="1:19">
      <c r="A147" s="1104"/>
      <c r="B147" s="1105"/>
      <c r="C147" s="1097">
        <f t="shared" si="23"/>
        <v>1</v>
      </c>
      <c r="D147" s="1106"/>
      <c r="E147" s="1097">
        <f t="shared" si="24"/>
        <v>1</v>
      </c>
      <c r="F147" s="1106"/>
      <c r="G147" s="1097">
        <f t="shared" si="25"/>
        <v>1</v>
      </c>
      <c r="H147" s="1106"/>
      <c r="I147" s="1097">
        <f t="shared" si="26"/>
        <v>1</v>
      </c>
      <c r="J147" s="1106"/>
      <c r="K147" s="1097">
        <f t="shared" si="27"/>
        <v>1</v>
      </c>
      <c r="L147" s="1106"/>
      <c r="M147" s="1097">
        <f t="shared" si="28"/>
        <v>1</v>
      </c>
      <c r="N147" s="1106"/>
      <c r="O147" s="1097">
        <f t="shared" si="29"/>
        <v>1</v>
      </c>
      <c r="P147" s="1106"/>
      <c r="Q147" s="1097">
        <f t="shared" si="30"/>
        <v>1</v>
      </c>
      <c r="R147" s="1157">
        <f t="shared" si="31"/>
        <v>0</v>
      </c>
      <c r="S147" s="1096">
        <f t="shared" si="32"/>
        <v>0</v>
      </c>
    </row>
    <row r="148" spans="1:19">
      <c r="A148" s="1104"/>
      <c r="B148" s="1105"/>
      <c r="C148" s="1097">
        <f t="shared" si="23"/>
        <v>1</v>
      </c>
      <c r="D148" s="1106"/>
      <c r="E148" s="1097">
        <f t="shared" si="24"/>
        <v>1</v>
      </c>
      <c r="F148" s="1106"/>
      <c r="G148" s="1097">
        <f t="shared" si="25"/>
        <v>1</v>
      </c>
      <c r="H148" s="1106"/>
      <c r="I148" s="1097">
        <f t="shared" si="26"/>
        <v>1</v>
      </c>
      <c r="J148" s="1106"/>
      <c r="K148" s="1097">
        <f t="shared" si="27"/>
        <v>1</v>
      </c>
      <c r="L148" s="1106"/>
      <c r="M148" s="1097">
        <f t="shared" si="28"/>
        <v>1</v>
      </c>
      <c r="N148" s="1106"/>
      <c r="O148" s="1097">
        <f t="shared" si="29"/>
        <v>1</v>
      </c>
      <c r="P148" s="1106"/>
      <c r="Q148" s="1097">
        <f t="shared" si="30"/>
        <v>1</v>
      </c>
      <c r="R148" s="1157">
        <f t="shared" si="31"/>
        <v>0</v>
      </c>
      <c r="S148" s="1096">
        <f t="shared" si="32"/>
        <v>0</v>
      </c>
    </row>
    <row r="149" spans="1:19">
      <c r="A149" s="1104"/>
      <c r="B149" s="1105"/>
      <c r="C149" s="1097">
        <f t="shared" si="23"/>
        <v>1</v>
      </c>
      <c r="D149" s="1106"/>
      <c r="E149" s="1097">
        <f t="shared" si="24"/>
        <v>1</v>
      </c>
      <c r="F149" s="1106"/>
      <c r="G149" s="1097">
        <f t="shared" si="25"/>
        <v>1</v>
      </c>
      <c r="H149" s="1106"/>
      <c r="I149" s="1097">
        <f t="shared" si="26"/>
        <v>1</v>
      </c>
      <c r="J149" s="1106"/>
      <c r="K149" s="1097">
        <f t="shared" si="27"/>
        <v>1</v>
      </c>
      <c r="L149" s="1106"/>
      <c r="M149" s="1097">
        <f t="shared" si="28"/>
        <v>1</v>
      </c>
      <c r="N149" s="1106"/>
      <c r="O149" s="1097">
        <f t="shared" si="29"/>
        <v>1</v>
      </c>
      <c r="P149" s="1106"/>
      <c r="Q149" s="1097">
        <f t="shared" si="30"/>
        <v>1</v>
      </c>
      <c r="R149" s="1157">
        <f t="shared" si="31"/>
        <v>0</v>
      </c>
      <c r="S149" s="1096">
        <f t="shared" si="32"/>
        <v>0</v>
      </c>
    </row>
    <row r="150" spans="1:19">
      <c r="A150" s="1104"/>
      <c r="B150" s="1105"/>
      <c r="C150" s="1097">
        <f t="shared" si="23"/>
        <v>1</v>
      </c>
      <c r="D150" s="1106"/>
      <c r="E150" s="1097">
        <f t="shared" si="24"/>
        <v>1</v>
      </c>
      <c r="F150" s="1106"/>
      <c r="G150" s="1097">
        <f t="shared" si="25"/>
        <v>1</v>
      </c>
      <c r="H150" s="1106"/>
      <c r="I150" s="1097">
        <f t="shared" si="26"/>
        <v>1</v>
      </c>
      <c r="J150" s="1106"/>
      <c r="K150" s="1097">
        <f t="shared" si="27"/>
        <v>1</v>
      </c>
      <c r="L150" s="1106"/>
      <c r="M150" s="1097">
        <f t="shared" si="28"/>
        <v>1</v>
      </c>
      <c r="N150" s="1106"/>
      <c r="O150" s="1097">
        <f t="shared" si="29"/>
        <v>1</v>
      </c>
      <c r="P150" s="1106"/>
      <c r="Q150" s="1097">
        <f t="shared" si="30"/>
        <v>1</v>
      </c>
      <c r="R150" s="1157">
        <f t="shared" si="31"/>
        <v>0</v>
      </c>
      <c r="S150" s="1096">
        <f t="shared" si="32"/>
        <v>0</v>
      </c>
    </row>
    <row r="151" spans="1:19">
      <c r="A151" s="1104"/>
      <c r="B151" s="1105"/>
      <c r="C151" s="1097">
        <f t="shared" si="23"/>
        <v>1</v>
      </c>
      <c r="D151" s="1106"/>
      <c r="E151" s="1097">
        <f t="shared" si="24"/>
        <v>1</v>
      </c>
      <c r="F151" s="1106"/>
      <c r="G151" s="1097">
        <f t="shared" si="25"/>
        <v>1</v>
      </c>
      <c r="H151" s="1106"/>
      <c r="I151" s="1097">
        <f t="shared" si="26"/>
        <v>1</v>
      </c>
      <c r="J151" s="1106"/>
      <c r="K151" s="1097">
        <f t="shared" si="27"/>
        <v>1</v>
      </c>
      <c r="L151" s="1106"/>
      <c r="M151" s="1097">
        <f t="shared" si="28"/>
        <v>1</v>
      </c>
      <c r="N151" s="1106"/>
      <c r="O151" s="1097">
        <f t="shared" si="29"/>
        <v>1</v>
      </c>
      <c r="P151" s="1106"/>
      <c r="Q151" s="1097">
        <f t="shared" si="30"/>
        <v>1</v>
      </c>
      <c r="R151" s="1157">
        <f t="shared" si="31"/>
        <v>0</v>
      </c>
      <c r="S151" s="1096">
        <f t="shared" si="32"/>
        <v>0</v>
      </c>
    </row>
    <row r="152" spans="1:19">
      <c r="A152" s="1104"/>
      <c r="B152" s="1105"/>
      <c r="C152" s="1097">
        <f t="shared" si="23"/>
        <v>1</v>
      </c>
      <c r="D152" s="1106"/>
      <c r="E152" s="1097">
        <f t="shared" si="24"/>
        <v>1</v>
      </c>
      <c r="F152" s="1106"/>
      <c r="G152" s="1097">
        <f t="shared" si="25"/>
        <v>1</v>
      </c>
      <c r="H152" s="1106"/>
      <c r="I152" s="1097">
        <f t="shared" si="26"/>
        <v>1</v>
      </c>
      <c r="J152" s="1106"/>
      <c r="K152" s="1097">
        <f t="shared" si="27"/>
        <v>1</v>
      </c>
      <c r="L152" s="1106"/>
      <c r="M152" s="1097">
        <f t="shared" si="28"/>
        <v>1</v>
      </c>
      <c r="N152" s="1106"/>
      <c r="O152" s="1097">
        <f t="shared" si="29"/>
        <v>1</v>
      </c>
      <c r="P152" s="1106"/>
      <c r="Q152" s="1097">
        <f t="shared" si="30"/>
        <v>1</v>
      </c>
      <c r="R152" s="1157">
        <f t="shared" si="31"/>
        <v>0</v>
      </c>
      <c r="S152" s="1096">
        <f t="shared" si="32"/>
        <v>0</v>
      </c>
    </row>
    <row r="153" spans="1:19">
      <c r="A153" s="1104"/>
      <c r="B153" s="1105"/>
      <c r="C153" s="1097">
        <f t="shared" si="23"/>
        <v>1</v>
      </c>
      <c r="D153" s="1106"/>
      <c r="E153" s="1097">
        <f t="shared" si="24"/>
        <v>1</v>
      </c>
      <c r="F153" s="1106"/>
      <c r="G153" s="1097">
        <f t="shared" si="25"/>
        <v>1</v>
      </c>
      <c r="H153" s="1106"/>
      <c r="I153" s="1097">
        <f t="shared" si="26"/>
        <v>1</v>
      </c>
      <c r="J153" s="1106"/>
      <c r="K153" s="1097">
        <f t="shared" si="27"/>
        <v>1</v>
      </c>
      <c r="L153" s="1106"/>
      <c r="M153" s="1097">
        <f t="shared" si="28"/>
        <v>1</v>
      </c>
      <c r="N153" s="1106"/>
      <c r="O153" s="1097">
        <f t="shared" si="29"/>
        <v>1</v>
      </c>
      <c r="P153" s="1106"/>
      <c r="Q153" s="1097">
        <f t="shared" si="30"/>
        <v>1</v>
      </c>
      <c r="R153" s="1157">
        <f t="shared" si="31"/>
        <v>0</v>
      </c>
      <c r="S153" s="1096">
        <f t="shared" si="32"/>
        <v>0</v>
      </c>
    </row>
    <row r="154" spans="1:19">
      <c r="A154" s="1104"/>
      <c r="B154" s="1105"/>
      <c r="C154" s="1097">
        <f t="shared" ref="C154:C217" si="33">IF(B154="",1,(LOOKUP(B154,$3:$3,$4:$4)-LOOKUP($B$24,$3:$3,$4:$4)+100)/100)</f>
        <v>1</v>
      </c>
      <c r="D154" s="1106"/>
      <c r="E154" s="1097">
        <f t="shared" ref="E154:E217" si="34">(SUMIF($5:$5,D154,$6:$6)-SUMIF($5:$5,$D$24,$6:$6)+100)/100</f>
        <v>1</v>
      </c>
      <c r="F154" s="1106"/>
      <c r="G154" s="1097">
        <f t="shared" ref="G154:G217" si="35">(SUMIF($7:$7,F154,$8:$8)-SUMIF($7:$7,$F$24,$8:$8)+100)/100</f>
        <v>1</v>
      </c>
      <c r="H154" s="1106"/>
      <c r="I154" s="1097">
        <f t="shared" ref="I154:I217" si="36">(SUMIF($9:$9,H154,$10:$10)-SUMIF($9:$9,$H$24,$10:$10)+100)/100</f>
        <v>1</v>
      </c>
      <c r="J154" s="1106"/>
      <c r="K154" s="1097">
        <f t="shared" ref="K154:K217" si="37">(SUMIF($11:$11,J154,$12:$12)-SUMIF($11:$11,$J$24,$12:$12)+100)/100</f>
        <v>1</v>
      </c>
      <c r="L154" s="1106"/>
      <c r="M154" s="1097">
        <f t="shared" ref="M154:M217" si="38">(SUMIF($13:$13,L154,$14:$14)-SUMIF($13:$13,$L$24,$14:$14)+100)/100</f>
        <v>1</v>
      </c>
      <c r="N154" s="1106"/>
      <c r="O154" s="1097">
        <f t="shared" ref="O154:O217" si="39">(SUMIF($15:$15,N154,$16:$16)-SUMIF($15:$15,$N$24,$16:$16)+100)/100</f>
        <v>1</v>
      </c>
      <c r="P154" s="1106"/>
      <c r="Q154" s="1097">
        <f t="shared" ref="Q154:Q217" si="40">(SUMIF($17:$17,P154,$18:$18)-SUMIF($17:$17,$P$24,$18:$18)+100)/100</f>
        <v>1</v>
      </c>
      <c r="R154" s="1157">
        <f t="shared" ref="R154:R217" si="41">IF(B154="",0,ROUND($R$24*C154*E154*G154*I154*K154*M154*O154*Q154,0))</f>
        <v>0</v>
      </c>
      <c r="S154" s="1096">
        <f t="shared" si="32"/>
        <v>0</v>
      </c>
    </row>
    <row r="155" spans="1:19">
      <c r="A155" s="1104"/>
      <c r="B155" s="1105"/>
      <c r="C155" s="1097">
        <f t="shared" si="33"/>
        <v>1</v>
      </c>
      <c r="D155" s="1106"/>
      <c r="E155" s="1097">
        <f t="shared" si="34"/>
        <v>1</v>
      </c>
      <c r="F155" s="1106"/>
      <c r="G155" s="1097">
        <f t="shared" si="35"/>
        <v>1</v>
      </c>
      <c r="H155" s="1106"/>
      <c r="I155" s="1097">
        <f t="shared" si="36"/>
        <v>1</v>
      </c>
      <c r="J155" s="1106"/>
      <c r="K155" s="1097">
        <f t="shared" si="37"/>
        <v>1</v>
      </c>
      <c r="L155" s="1106"/>
      <c r="M155" s="1097">
        <f t="shared" si="38"/>
        <v>1</v>
      </c>
      <c r="N155" s="1106"/>
      <c r="O155" s="1097">
        <f t="shared" si="39"/>
        <v>1</v>
      </c>
      <c r="P155" s="1106"/>
      <c r="Q155" s="1097">
        <f t="shared" si="40"/>
        <v>1</v>
      </c>
      <c r="R155" s="1157">
        <f t="shared" si="41"/>
        <v>0</v>
      </c>
      <c r="S155" s="1096">
        <f t="shared" si="32"/>
        <v>0</v>
      </c>
    </row>
    <row r="156" spans="1:19">
      <c r="A156" s="1104"/>
      <c r="B156" s="1105"/>
      <c r="C156" s="1097">
        <f t="shared" si="33"/>
        <v>1</v>
      </c>
      <c r="D156" s="1106"/>
      <c r="E156" s="1097">
        <f t="shared" si="34"/>
        <v>1</v>
      </c>
      <c r="F156" s="1106"/>
      <c r="G156" s="1097">
        <f t="shared" si="35"/>
        <v>1</v>
      </c>
      <c r="H156" s="1106"/>
      <c r="I156" s="1097">
        <f t="shared" si="36"/>
        <v>1</v>
      </c>
      <c r="J156" s="1106"/>
      <c r="K156" s="1097">
        <f t="shared" si="37"/>
        <v>1</v>
      </c>
      <c r="L156" s="1106"/>
      <c r="M156" s="1097">
        <f t="shared" si="38"/>
        <v>1</v>
      </c>
      <c r="N156" s="1106"/>
      <c r="O156" s="1097">
        <f t="shared" si="39"/>
        <v>1</v>
      </c>
      <c r="P156" s="1106"/>
      <c r="Q156" s="1097">
        <f t="shared" si="40"/>
        <v>1</v>
      </c>
      <c r="R156" s="1157">
        <f t="shared" si="41"/>
        <v>0</v>
      </c>
      <c r="S156" s="1096">
        <f t="shared" si="32"/>
        <v>0</v>
      </c>
    </row>
    <row r="157" spans="1:19">
      <c r="A157" s="1104"/>
      <c r="B157" s="1105"/>
      <c r="C157" s="1097">
        <f t="shared" si="33"/>
        <v>1</v>
      </c>
      <c r="D157" s="1106"/>
      <c r="E157" s="1097">
        <f t="shared" si="34"/>
        <v>1</v>
      </c>
      <c r="F157" s="1106"/>
      <c r="G157" s="1097">
        <f t="shared" si="35"/>
        <v>1</v>
      </c>
      <c r="H157" s="1106"/>
      <c r="I157" s="1097">
        <f t="shared" si="36"/>
        <v>1</v>
      </c>
      <c r="J157" s="1106"/>
      <c r="K157" s="1097">
        <f t="shared" si="37"/>
        <v>1</v>
      </c>
      <c r="L157" s="1106"/>
      <c r="M157" s="1097">
        <f t="shared" si="38"/>
        <v>1</v>
      </c>
      <c r="N157" s="1106"/>
      <c r="O157" s="1097">
        <f t="shared" si="39"/>
        <v>1</v>
      </c>
      <c r="P157" s="1106"/>
      <c r="Q157" s="1097">
        <f t="shared" si="40"/>
        <v>1</v>
      </c>
      <c r="R157" s="1157">
        <f t="shared" si="41"/>
        <v>0</v>
      </c>
      <c r="S157" s="1096">
        <f t="shared" si="32"/>
        <v>0</v>
      </c>
    </row>
    <row r="158" spans="1:19">
      <c r="A158" s="1104"/>
      <c r="B158" s="1105"/>
      <c r="C158" s="1097">
        <f t="shared" si="33"/>
        <v>1</v>
      </c>
      <c r="D158" s="1106"/>
      <c r="E158" s="1097">
        <f t="shared" si="34"/>
        <v>1</v>
      </c>
      <c r="F158" s="1106"/>
      <c r="G158" s="1097">
        <f t="shared" si="35"/>
        <v>1</v>
      </c>
      <c r="H158" s="1106"/>
      <c r="I158" s="1097">
        <f t="shared" si="36"/>
        <v>1</v>
      </c>
      <c r="J158" s="1106"/>
      <c r="K158" s="1097">
        <f t="shared" si="37"/>
        <v>1</v>
      </c>
      <c r="L158" s="1106"/>
      <c r="M158" s="1097">
        <f t="shared" si="38"/>
        <v>1</v>
      </c>
      <c r="N158" s="1106"/>
      <c r="O158" s="1097">
        <f t="shared" si="39"/>
        <v>1</v>
      </c>
      <c r="P158" s="1106"/>
      <c r="Q158" s="1097">
        <f t="shared" si="40"/>
        <v>1</v>
      </c>
      <c r="R158" s="1157">
        <f t="shared" si="41"/>
        <v>0</v>
      </c>
      <c r="S158" s="1096">
        <f t="shared" si="32"/>
        <v>0</v>
      </c>
    </row>
    <row r="159" spans="1:19">
      <c r="A159" s="1104"/>
      <c r="B159" s="1105"/>
      <c r="C159" s="1097">
        <f t="shared" si="33"/>
        <v>1</v>
      </c>
      <c r="D159" s="1106"/>
      <c r="E159" s="1097">
        <f t="shared" si="34"/>
        <v>1</v>
      </c>
      <c r="F159" s="1106"/>
      <c r="G159" s="1097">
        <f t="shared" si="35"/>
        <v>1</v>
      </c>
      <c r="H159" s="1106"/>
      <c r="I159" s="1097">
        <f t="shared" si="36"/>
        <v>1</v>
      </c>
      <c r="J159" s="1106"/>
      <c r="K159" s="1097">
        <f t="shared" si="37"/>
        <v>1</v>
      </c>
      <c r="L159" s="1106"/>
      <c r="M159" s="1097">
        <f t="shared" si="38"/>
        <v>1</v>
      </c>
      <c r="N159" s="1106"/>
      <c r="O159" s="1097">
        <f t="shared" si="39"/>
        <v>1</v>
      </c>
      <c r="P159" s="1106"/>
      <c r="Q159" s="1097">
        <f t="shared" si="40"/>
        <v>1</v>
      </c>
      <c r="R159" s="1157">
        <f t="shared" si="41"/>
        <v>0</v>
      </c>
      <c r="S159" s="1096">
        <f t="shared" si="32"/>
        <v>0</v>
      </c>
    </row>
    <row r="160" spans="1:19">
      <c r="A160" s="1104"/>
      <c r="B160" s="1105"/>
      <c r="C160" s="1097">
        <f t="shared" si="33"/>
        <v>1</v>
      </c>
      <c r="D160" s="1106"/>
      <c r="E160" s="1097">
        <f t="shared" si="34"/>
        <v>1</v>
      </c>
      <c r="F160" s="1106"/>
      <c r="G160" s="1097">
        <f t="shared" si="35"/>
        <v>1</v>
      </c>
      <c r="H160" s="1106"/>
      <c r="I160" s="1097">
        <f t="shared" si="36"/>
        <v>1</v>
      </c>
      <c r="J160" s="1106"/>
      <c r="K160" s="1097">
        <f t="shared" si="37"/>
        <v>1</v>
      </c>
      <c r="L160" s="1106"/>
      <c r="M160" s="1097">
        <f t="shared" si="38"/>
        <v>1</v>
      </c>
      <c r="N160" s="1106"/>
      <c r="O160" s="1097">
        <f t="shared" si="39"/>
        <v>1</v>
      </c>
      <c r="P160" s="1106"/>
      <c r="Q160" s="1097">
        <f t="shared" si="40"/>
        <v>1</v>
      </c>
      <c r="R160" s="1157">
        <f t="shared" si="41"/>
        <v>0</v>
      </c>
      <c r="S160" s="1096">
        <f t="shared" si="32"/>
        <v>0</v>
      </c>
    </row>
    <row r="161" spans="1:19">
      <c r="A161" s="1104"/>
      <c r="B161" s="1105"/>
      <c r="C161" s="1097">
        <f t="shared" si="33"/>
        <v>1</v>
      </c>
      <c r="D161" s="1106"/>
      <c r="E161" s="1097">
        <f t="shared" si="34"/>
        <v>1</v>
      </c>
      <c r="F161" s="1106"/>
      <c r="G161" s="1097">
        <f t="shared" si="35"/>
        <v>1</v>
      </c>
      <c r="H161" s="1106"/>
      <c r="I161" s="1097">
        <f t="shared" si="36"/>
        <v>1</v>
      </c>
      <c r="J161" s="1106"/>
      <c r="K161" s="1097">
        <f t="shared" si="37"/>
        <v>1</v>
      </c>
      <c r="L161" s="1106"/>
      <c r="M161" s="1097">
        <f t="shared" si="38"/>
        <v>1</v>
      </c>
      <c r="N161" s="1106"/>
      <c r="O161" s="1097">
        <f t="shared" si="39"/>
        <v>1</v>
      </c>
      <c r="P161" s="1106"/>
      <c r="Q161" s="1097">
        <f t="shared" si="40"/>
        <v>1</v>
      </c>
      <c r="R161" s="1157">
        <f t="shared" si="41"/>
        <v>0</v>
      </c>
      <c r="S161" s="1096">
        <f t="shared" si="32"/>
        <v>0</v>
      </c>
    </row>
    <row r="162" spans="1:19">
      <c r="A162" s="1104"/>
      <c r="B162" s="1105"/>
      <c r="C162" s="1097">
        <f t="shared" si="33"/>
        <v>1</v>
      </c>
      <c r="D162" s="1106"/>
      <c r="E162" s="1097">
        <f t="shared" si="34"/>
        <v>1</v>
      </c>
      <c r="F162" s="1106"/>
      <c r="G162" s="1097">
        <f t="shared" si="35"/>
        <v>1</v>
      </c>
      <c r="H162" s="1106"/>
      <c r="I162" s="1097">
        <f t="shared" si="36"/>
        <v>1</v>
      </c>
      <c r="J162" s="1106"/>
      <c r="K162" s="1097">
        <f t="shared" si="37"/>
        <v>1</v>
      </c>
      <c r="L162" s="1106"/>
      <c r="M162" s="1097">
        <f t="shared" si="38"/>
        <v>1</v>
      </c>
      <c r="N162" s="1106"/>
      <c r="O162" s="1097">
        <f t="shared" si="39"/>
        <v>1</v>
      </c>
      <c r="P162" s="1106"/>
      <c r="Q162" s="1097">
        <f t="shared" si="40"/>
        <v>1</v>
      </c>
      <c r="R162" s="1157">
        <f t="shared" si="41"/>
        <v>0</v>
      </c>
      <c r="S162" s="1096">
        <f t="shared" si="32"/>
        <v>0</v>
      </c>
    </row>
    <row r="163" spans="1:19">
      <c r="A163" s="1104"/>
      <c r="B163" s="1105"/>
      <c r="C163" s="1097">
        <f t="shared" si="33"/>
        <v>1</v>
      </c>
      <c r="D163" s="1106"/>
      <c r="E163" s="1097">
        <f t="shared" si="34"/>
        <v>1</v>
      </c>
      <c r="F163" s="1106"/>
      <c r="G163" s="1097">
        <f t="shared" si="35"/>
        <v>1</v>
      </c>
      <c r="H163" s="1106"/>
      <c r="I163" s="1097">
        <f t="shared" si="36"/>
        <v>1</v>
      </c>
      <c r="J163" s="1106"/>
      <c r="K163" s="1097">
        <f t="shared" si="37"/>
        <v>1</v>
      </c>
      <c r="L163" s="1106"/>
      <c r="M163" s="1097">
        <f t="shared" si="38"/>
        <v>1</v>
      </c>
      <c r="N163" s="1106"/>
      <c r="O163" s="1097">
        <f t="shared" si="39"/>
        <v>1</v>
      </c>
      <c r="P163" s="1106"/>
      <c r="Q163" s="1097">
        <f t="shared" si="40"/>
        <v>1</v>
      </c>
      <c r="R163" s="1157">
        <f t="shared" si="41"/>
        <v>0</v>
      </c>
      <c r="S163" s="1096">
        <f t="shared" si="32"/>
        <v>0</v>
      </c>
    </row>
    <row r="164" spans="1:19">
      <c r="A164" s="1104"/>
      <c r="B164" s="1105"/>
      <c r="C164" s="1097">
        <f t="shared" si="33"/>
        <v>1</v>
      </c>
      <c r="D164" s="1106"/>
      <c r="E164" s="1097">
        <f t="shared" si="34"/>
        <v>1</v>
      </c>
      <c r="F164" s="1106"/>
      <c r="G164" s="1097">
        <f t="shared" si="35"/>
        <v>1</v>
      </c>
      <c r="H164" s="1106"/>
      <c r="I164" s="1097">
        <f t="shared" si="36"/>
        <v>1</v>
      </c>
      <c r="J164" s="1106"/>
      <c r="K164" s="1097">
        <f t="shared" si="37"/>
        <v>1</v>
      </c>
      <c r="L164" s="1106"/>
      <c r="M164" s="1097">
        <f t="shared" si="38"/>
        <v>1</v>
      </c>
      <c r="N164" s="1106"/>
      <c r="O164" s="1097">
        <f t="shared" si="39"/>
        <v>1</v>
      </c>
      <c r="P164" s="1106"/>
      <c r="Q164" s="1097">
        <f t="shared" si="40"/>
        <v>1</v>
      </c>
      <c r="R164" s="1157">
        <f t="shared" si="41"/>
        <v>0</v>
      </c>
      <c r="S164" s="1096">
        <f t="shared" si="32"/>
        <v>0</v>
      </c>
    </row>
    <row r="165" spans="1:19">
      <c r="A165" s="1104"/>
      <c r="B165" s="1105"/>
      <c r="C165" s="1097">
        <f t="shared" si="33"/>
        <v>1</v>
      </c>
      <c r="D165" s="1106"/>
      <c r="E165" s="1097">
        <f t="shared" si="34"/>
        <v>1</v>
      </c>
      <c r="F165" s="1106"/>
      <c r="G165" s="1097">
        <f t="shared" si="35"/>
        <v>1</v>
      </c>
      <c r="H165" s="1106"/>
      <c r="I165" s="1097">
        <f t="shared" si="36"/>
        <v>1</v>
      </c>
      <c r="J165" s="1106"/>
      <c r="K165" s="1097">
        <f t="shared" si="37"/>
        <v>1</v>
      </c>
      <c r="L165" s="1106"/>
      <c r="M165" s="1097">
        <f t="shared" si="38"/>
        <v>1</v>
      </c>
      <c r="N165" s="1106"/>
      <c r="O165" s="1097">
        <f t="shared" si="39"/>
        <v>1</v>
      </c>
      <c r="P165" s="1106"/>
      <c r="Q165" s="1097">
        <f t="shared" si="40"/>
        <v>1</v>
      </c>
      <c r="R165" s="1157">
        <f t="shared" si="41"/>
        <v>0</v>
      </c>
      <c r="S165" s="1096">
        <f t="shared" si="32"/>
        <v>0</v>
      </c>
    </row>
    <row r="166" spans="1:19">
      <c r="A166" s="1104"/>
      <c r="B166" s="1105"/>
      <c r="C166" s="1097">
        <f t="shared" si="33"/>
        <v>1</v>
      </c>
      <c r="D166" s="1106"/>
      <c r="E166" s="1097">
        <f t="shared" si="34"/>
        <v>1</v>
      </c>
      <c r="F166" s="1106"/>
      <c r="G166" s="1097">
        <f t="shared" si="35"/>
        <v>1</v>
      </c>
      <c r="H166" s="1106"/>
      <c r="I166" s="1097">
        <f t="shared" si="36"/>
        <v>1</v>
      </c>
      <c r="J166" s="1106"/>
      <c r="K166" s="1097">
        <f t="shared" si="37"/>
        <v>1</v>
      </c>
      <c r="L166" s="1106"/>
      <c r="M166" s="1097">
        <f t="shared" si="38"/>
        <v>1</v>
      </c>
      <c r="N166" s="1106"/>
      <c r="O166" s="1097">
        <f t="shared" si="39"/>
        <v>1</v>
      </c>
      <c r="P166" s="1106"/>
      <c r="Q166" s="1097">
        <f t="shared" si="40"/>
        <v>1</v>
      </c>
      <c r="R166" s="1157">
        <f t="shared" si="41"/>
        <v>0</v>
      </c>
      <c r="S166" s="1096">
        <f t="shared" si="32"/>
        <v>0</v>
      </c>
    </row>
    <row r="167" spans="1:19">
      <c r="A167" s="1104"/>
      <c r="B167" s="1105"/>
      <c r="C167" s="1097">
        <f t="shared" si="33"/>
        <v>1</v>
      </c>
      <c r="D167" s="1106"/>
      <c r="E167" s="1097">
        <f t="shared" si="34"/>
        <v>1</v>
      </c>
      <c r="F167" s="1106"/>
      <c r="G167" s="1097">
        <f t="shared" si="35"/>
        <v>1</v>
      </c>
      <c r="H167" s="1106"/>
      <c r="I167" s="1097">
        <f t="shared" si="36"/>
        <v>1</v>
      </c>
      <c r="J167" s="1106"/>
      <c r="K167" s="1097">
        <f t="shared" si="37"/>
        <v>1</v>
      </c>
      <c r="L167" s="1106"/>
      <c r="M167" s="1097">
        <f t="shared" si="38"/>
        <v>1</v>
      </c>
      <c r="N167" s="1106"/>
      <c r="O167" s="1097">
        <f t="shared" si="39"/>
        <v>1</v>
      </c>
      <c r="P167" s="1106"/>
      <c r="Q167" s="1097">
        <f t="shared" si="40"/>
        <v>1</v>
      </c>
      <c r="R167" s="1157">
        <f t="shared" si="41"/>
        <v>0</v>
      </c>
      <c r="S167" s="1096">
        <f t="shared" si="32"/>
        <v>0</v>
      </c>
    </row>
    <row r="168" spans="1:19">
      <c r="A168" s="1104"/>
      <c r="B168" s="1105"/>
      <c r="C168" s="1097">
        <f t="shared" si="33"/>
        <v>1</v>
      </c>
      <c r="D168" s="1106"/>
      <c r="E168" s="1097">
        <f t="shared" si="34"/>
        <v>1</v>
      </c>
      <c r="F168" s="1106"/>
      <c r="G168" s="1097">
        <f t="shared" si="35"/>
        <v>1</v>
      </c>
      <c r="H168" s="1106"/>
      <c r="I168" s="1097">
        <f t="shared" si="36"/>
        <v>1</v>
      </c>
      <c r="J168" s="1106"/>
      <c r="K168" s="1097">
        <f t="shared" si="37"/>
        <v>1</v>
      </c>
      <c r="L168" s="1106"/>
      <c r="M168" s="1097">
        <f t="shared" si="38"/>
        <v>1</v>
      </c>
      <c r="N168" s="1106"/>
      <c r="O168" s="1097">
        <f t="shared" si="39"/>
        <v>1</v>
      </c>
      <c r="P168" s="1106"/>
      <c r="Q168" s="1097">
        <f t="shared" si="40"/>
        <v>1</v>
      </c>
      <c r="R168" s="1157">
        <f t="shared" si="41"/>
        <v>0</v>
      </c>
      <c r="S168" s="1096">
        <f t="shared" si="32"/>
        <v>0</v>
      </c>
    </row>
    <row r="169" spans="1:19">
      <c r="A169" s="1104"/>
      <c r="B169" s="1105"/>
      <c r="C169" s="1097">
        <f t="shared" si="33"/>
        <v>1</v>
      </c>
      <c r="D169" s="1106"/>
      <c r="E169" s="1097">
        <f t="shared" si="34"/>
        <v>1</v>
      </c>
      <c r="F169" s="1106"/>
      <c r="G169" s="1097">
        <f t="shared" si="35"/>
        <v>1</v>
      </c>
      <c r="H169" s="1106"/>
      <c r="I169" s="1097">
        <f t="shared" si="36"/>
        <v>1</v>
      </c>
      <c r="J169" s="1106"/>
      <c r="K169" s="1097">
        <f t="shared" si="37"/>
        <v>1</v>
      </c>
      <c r="L169" s="1106"/>
      <c r="M169" s="1097">
        <f t="shared" si="38"/>
        <v>1</v>
      </c>
      <c r="N169" s="1106"/>
      <c r="O169" s="1097">
        <f t="shared" si="39"/>
        <v>1</v>
      </c>
      <c r="P169" s="1106"/>
      <c r="Q169" s="1097">
        <f t="shared" si="40"/>
        <v>1</v>
      </c>
      <c r="R169" s="1157">
        <f t="shared" si="41"/>
        <v>0</v>
      </c>
      <c r="S169" s="1096">
        <f t="shared" si="32"/>
        <v>0</v>
      </c>
    </row>
    <row r="170" spans="1:19">
      <c r="A170" s="1104"/>
      <c r="B170" s="1105"/>
      <c r="C170" s="1097">
        <f t="shared" si="33"/>
        <v>1</v>
      </c>
      <c r="D170" s="1106"/>
      <c r="E170" s="1097">
        <f t="shared" si="34"/>
        <v>1</v>
      </c>
      <c r="F170" s="1106"/>
      <c r="G170" s="1097">
        <f t="shared" si="35"/>
        <v>1</v>
      </c>
      <c r="H170" s="1106"/>
      <c r="I170" s="1097">
        <f t="shared" si="36"/>
        <v>1</v>
      </c>
      <c r="J170" s="1106"/>
      <c r="K170" s="1097">
        <f t="shared" si="37"/>
        <v>1</v>
      </c>
      <c r="L170" s="1106"/>
      <c r="M170" s="1097">
        <f t="shared" si="38"/>
        <v>1</v>
      </c>
      <c r="N170" s="1106"/>
      <c r="O170" s="1097">
        <f t="shared" si="39"/>
        <v>1</v>
      </c>
      <c r="P170" s="1106"/>
      <c r="Q170" s="1097">
        <f t="shared" si="40"/>
        <v>1</v>
      </c>
      <c r="R170" s="1157">
        <f t="shared" si="41"/>
        <v>0</v>
      </c>
      <c r="S170" s="1096">
        <f t="shared" si="32"/>
        <v>0</v>
      </c>
    </row>
    <row r="171" spans="1:19">
      <c r="A171" s="1104"/>
      <c r="B171" s="1105"/>
      <c r="C171" s="1097">
        <f t="shared" si="33"/>
        <v>1</v>
      </c>
      <c r="D171" s="1106"/>
      <c r="E171" s="1097">
        <f t="shared" si="34"/>
        <v>1</v>
      </c>
      <c r="F171" s="1106"/>
      <c r="G171" s="1097">
        <f t="shared" si="35"/>
        <v>1</v>
      </c>
      <c r="H171" s="1106"/>
      <c r="I171" s="1097">
        <f t="shared" si="36"/>
        <v>1</v>
      </c>
      <c r="J171" s="1106"/>
      <c r="K171" s="1097">
        <f t="shared" si="37"/>
        <v>1</v>
      </c>
      <c r="L171" s="1106"/>
      <c r="M171" s="1097">
        <f t="shared" si="38"/>
        <v>1</v>
      </c>
      <c r="N171" s="1106"/>
      <c r="O171" s="1097">
        <f t="shared" si="39"/>
        <v>1</v>
      </c>
      <c r="P171" s="1106"/>
      <c r="Q171" s="1097">
        <f t="shared" si="40"/>
        <v>1</v>
      </c>
      <c r="R171" s="1157">
        <f t="shared" si="41"/>
        <v>0</v>
      </c>
      <c r="S171" s="1096">
        <f t="shared" si="32"/>
        <v>0</v>
      </c>
    </row>
    <row r="172" spans="1:19">
      <c r="A172" s="1104"/>
      <c r="B172" s="1105"/>
      <c r="C172" s="1097">
        <f t="shared" si="33"/>
        <v>1</v>
      </c>
      <c r="D172" s="1106"/>
      <c r="E172" s="1097">
        <f t="shared" si="34"/>
        <v>1</v>
      </c>
      <c r="F172" s="1106"/>
      <c r="G172" s="1097">
        <f t="shared" si="35"/>
        <v>1</v>
      </c>
      <c r="H172" s="1106"/>
      <c r="I172" s="1097">
        <f t="shared" si="36"/>
        <v>1</v>
      </c>
      <c r="J172" s="1106"/>
      <c r="K172" s="1097">
        <f t="shared" si="37"/>
        <v>1</v>
      </c>
      <c r="L172" s="1106"/>
      <c r="M172" s="1097">
        <f t="shared" si="38"/>
        <v>1</v>
      </c>
      <c r="N172" s="1106"/>
      <c r="O172" s="1097">
        <f t="shared" si="39"/>
        <v>1</v>
      </c>
      <c r="P172" s="1106"/>
      <c r="Q172" s="1097">
        <f t="shared" si="40"/>
        <v>1</v>
      </c>
      <c r="R172" s="1157">
        <f t="shared" si="41"/>
        <v>0</v>
      </c>
      <c r="S172" s="1096">
        <f t="shared" si="32"/>
        <v>0</v>
      </c>
    </row>
    <row r="173" spans="1:19">
      <c r="A173" s="1104"/>
      <c r="B173" s="1105"/>
      <c r="C173" s="1097">
        <f t="shared" si="33"/>
        <v>1</v>
      </c>
      <c r="D173" s="1106"/>
      <c r="E173" s="1097">
        <f t="shared" si="34"/>
        <v>1</v>
      </c>
      <c r="F173" s="1106"/>
      <c r="G173" s="1097">
        <f t="shared" si="35"/>
        <v>1</v>
      </c>
      <c r="H173" s="1106"/>
      <c r="I173" s="1097">
        <f t="shared" si="36"/>
        <v>1</v>
      </c>
      <c r="J173" s="1106"/>
      <c r="K173" s="1097">
        <f t="shared" si="37"/>
        <v>1</v>
      </c>
      <c r="L173" s="1106"/>
      <c r="M173" s="1097">
        <f t="shared" si="38"/>
        <v>1</v>
      </c>
      <c r="N173" s="1106"/>
      <c r="O173" s="1097">
        <f t="shared" si="39"/>
        <v>1</v>
      </c>
      <c r="P173" s="1106"/>
      <c r="Q173" s="1097">
        <f t="shared" si="40"/>
        <v>1</v>
      </c>
      <c r="R173" s="1157">
        <f t="shared" si="41"/>
        <v>0</v>
      </c>
      <c r="S173" s="1096">
        <f t="shared" si="32"/>
        <v>0</v>
      </c>
    </row>
    <row r="174" spans="1:19">
      <c r="A174" s="1104"/>
      <c r="B174" s="1105"/>
      <c r="C174" s="1097">
        <f t="shared" si="33"/>
        <v>1</v>
      </c>
      <c r="D174" s="1106"/>
      <c r="E174" s="1097">
        <f t="shared" si="34"/>
        <v>1</v>
      </c>
      <c r="F174" s="1106"/>
      <c r="G174" s="1097">
        <f t="shared" si="35"/>
        <v>1</v>
      </c>
      <c r="H174" s="1106"/>
      <c r="I174" s="1097">
        <f t="shared" si="36"/>
        <v>1</v>
      </c>
      <c r="J174" s="1106"/>
      <c r="K174" s="1097">
        <f t="shared" si="37"/>
        <v>1</v>
      </c>
      <c r="L174" s="1106"/>
      <c r="M174" s="1097">
        <f t="shared" si="38"/>
        <v>1</v>
      </c>
      <c r="N174" s="1106"/>
      <c r="O174" s="1097">
        <f t="shared" si="39"/>
        <v>1</v>
      </c>
      <c r="P174" s="1106"/>
      <c r="Q174" s="1097">
        <f t="shared" si="40"/>
        <v>1</v>
      </c>
      <c r="R174" s="1157">
        <f t="shared" si="41"/>
        <v>0</v>
      </c>
      <c r="S174" s="1096">
        <f t="shared" si="32"/>
        <v>0</v>
      </c>
    </row>
    <row r="175" spans="1:19">
      <c r="A175" s="1104"/>
      <c r="B175" s="1105"/>
      <c r="C175" s="1097">
        <f t="shared" si="33"/>
        <v>1</v>
      </c>
      <c r="D175" s="1106"/>
      <c r="E175" s="1097">
        <f t="shared" si="34"/>
        <v>1</v>
      </c>
      <c r="F175" s="1106"/>
      <c r="G175" s="1097">
        <f t="shared" si="35"/>
        <v>1</v>
      </c>
      <c r="H175" s="1106"/>
      <c r="I175" s="1097">
        <f t="shared" si="36"/>
        <v>1</v>
      </c>
      <c r="J175" s="1106"/>
      <c r="K175" s="1097">
        <f t="shared" si="37"/>
        <v>1</v>
      </c>
      <c r="L175" s="1106"/>
      <c r="M175" s="1097">
        <f t="shared" si="38"/>
        <v>1</v>
      </c>
      <c r="N175" s="1106"/>
      <c r="O175" s="1097">
        <f t="shared" si="39"/>
        <v>1</v>
      </c>
      <c r="P175" s="1106"/>
      <c r="Q175" s="1097">
        <f t="shared" si="40"/>
        <v>1</v>
      </c>
      <c r="R175" s="1157">
        <f t="shared" si="41"/>
        <v>0</v>
      </c>
      <c r="S175" s="1096">
        <f t="shared" si="32"/>
        <v>0</v>
      </c>
    </row>
    <row r="176" spans="1:19">
      <c r="A176" s="1104"/>
      <c r="B176" s="1105"/>
      <c r="C176" s="1097">
        <f t="shared" si="33"/>
        <v>1</v>
      </c>
      <c r="D176" s="1106"/>
      <c r="E176" s="1097">
        <f t="shared" si="34"/>
        <v>1</v>
      </c>
      <c r="F176" s="1106"/>
      <c r="G176" s="1097">
        <f t="shared" si="35"/>
        <v>1</v>
      </c>
      <c r="H176" s="1106"/>
      <c r="I176" s="1097">
        <f t="shared" si="36"/>
        <v>1</v>
      </c>
      <c r="J176" s="1106"/>
      <c r="K176" s="1097">
        <f t="shared" si="37"/>
        <v>1</v>
      </c>
      <c r="L176" s="1106"/>
      <c r="M176" s="1097">
        <f t="shared" si="38"/>
        <v>1</v>
      </c>
      <c r="N176" s="1106"/>
      <c r="O176" s="1097">
        <f t="shared" si="39"/>
        <v>1</v>
      </c>
      <c r="P176" s="1106"/>
      <c r="Q176" s="1097">
        <f t="shared" si="40"/>
        <v>1</v>
      </c>
      <c r="R176" s="1157">
        <f t="shared" si="41"/>
        <v>0</v>
      </c>
      <c r="S176" s="1096">
        <f t="shared" si="32"/>
        <v>0</v>
      </c>
    </row>
    <row r="177" spans="1:19">
      <c r="A177" s="1104"/>
      <c r="B177" s="1105"/>
      <c r="C177" s="1097">
        <f t="shared" si="33"/>
        <v>1</v>
      </c>
      <c r="D177" s="1106"/>
      <c r="E177" s="1097">
        <f t="shared" si="34"/>
        <v>1</v>
      </c>
      <c r="F177" s="1106"/>
      <c r="G177" s="1097">
        <f t="shared" si="35"/>
        <v>1</v>
      </c>
      <c r="H177" s="1106"/>
      <c r="I177" s="1097">
        <f t="shared" si="36"/>
        <v>1</v>
      </c>
      <c r="J177" s="1106"/>
      <c r="K177" s="1097">
        <f t="shared" si="37"/>
        <v>1</v>
      </c>
      <c r="L177" s="1106"/>
      <c r="M177" s="1097">
        <f t="shared" si="38"/>
        <v>1</v>
      </c>
      <c r="N177" s="1106"/>
      <c r="O177" s="1097">
        <f t="shared" si="39"/>
        <v>1</v>
      </c>
      <c r="P177" s="1106"/>
      <c r="Q177" s="1097">
        <f t="shared" si="40"/>
        <v>1</v>
      </c>
      <c r="R177" s="1157">
        <f t="shared" si="41"/>
        <v>0</v>
      </c>
      <c r="S177" s="1096">
        <f t="shared" si="32"/>
        <v>0</v>
      </c>
    </row>
    <row r="178" spans="1:19">
      <c r="A178" s="1104"/>
      <c r="B178" s="1105"/>
      <c r="C178" s="1097">
        <f t="shared" si="33"/>
        <v>1</v>
      </c>
      <c r="D178" s="1106"/>
      <c r="E178" s="1097">
        <f t="shared" si="34"/>
        <v>1</v>
      </c>
      <c r="F178" s="1106"/>
      <c r="G178" s="1097">
        <f t="shared" si="35"/>
        <v>1</v>
      </c>
      <c r="H178" s="1106"/>
      <c r="I178" s="1097">
        <f t="shared" si="36"/>
        <v>1</v>
      </c>
      <c r="J178" s="1106"/>
      <c r="K178" s="1097">
        <f t="shared" si="37"/>
        <v>1</v>
      </c>
      <c r="L178" s="1106"/>
      <c r="M178" s="1097">
        <f t="shared" si="38"/>
        <v>1</v>
      </c>
      <c r="N178" s="1106"/>
      <c r="O178" s="1097">
        <f t="shared" si="39"/>
        <v>1</v>
      </c>
      <c r="P178" s="1106"/>
      <c r="Q178" s="1097">
        <f t="shared" si="40"/>
        <v>1</v>
      </c>
      <c r="R178" s="1157">
        <f t="shared" si="41"/>
        <v>0</v>
      </c>
      <c r="S178" s="1096">
        <f t="shared" si="32"/>
        <v>0</v>
      </c>
    </row>
    <row r="179" spans="1:19">
      <c r="A179" s="1104"/>
      <c r="B179" s="1105"/>
      <c r="C179" s="1097">
        <f t="shared" si="33"/>
        <v>1</v>
      </c>
      <c r="D179" s="1106"/>
      <c r="E179" s="1097">
        <f t="shared" si="34"/>
        <v>1</v>
      </c>
      <c r="F179" s="1106"/>
      <c r="G179" s="1097">
        <f t="shared" si="35"/>
        <v>1</v>
      </c>
      <c r="H179" s="1106"/>
      <c r="I179" s="1097">
        <f t="shared" si="36"/>
        <v>1</v>
      </c>
      <c r="J179" s="1106"/>
      <c r="K179" s="1097">
        <f t="shared" si="37"/>
        <v>1</v>
      </c>
      <c r="L179" s="1106"/>
      <c r="M179" s="1097">
        <f t="shared" si="38"/>
        <v>1</v>
      </c>
      <c r="N179" s="1106"/>
      <c r="O179" s="1097">
        <f t="shared" si="39"/>
        <v>1</v>
      </c>
      <c r="P179" s="1106"/>
      <c r="Q179" s="1097">
        <f t="shared" si="40"/>
        <v>1</v>
      </c>
      <c r="R179" s="1157">
        <f t="shared" si="41"/>
        <v>0</v>
      </c>
      <c r="S179" s="1096">
        <f t="shared" si="32"/>
        <v>0</v>
      </c>
    </row>
    <row r="180" spans="1:19">
      <c r="A180" s="1104"/>
      <c r="B180" s="1105"/>
      <c r="C180" s="1097">
        <f t="shared" si="33"/>
        <v>1</v>
      </c>
      <c r="D180" s="1106"/>
      <c r="E180" s="1097">
        <f t="shared" si="34"/>
        <v>1</v>
      </c>
      <c r="F180" s="1106"/>
      <c r="G180" s="1097">
        <f t="shared" si="35"/>
        <v>1</v>
      </c>
      <c r="H180" s="1106"/>
      <c r="I180" s="1097">
        <f t="shared" si="36"/>
        <v>1</v>
      </c>
      <c r="J180" s="1106"/>
      <c r="K180" s="1097">
        <f t="shared" si="37"/>
        <v>1</v>
      </c>
      <c r="L180" s="1106"/>
      <c r="M180" s="1097">
        <f t="shared" si="38"/>
        <v>1</v>
      </c>
      <c r="N180" s="1106"/>
      <c r="O180" s="1097">
        <f t="shared" si="39"/>
        <v>1</v>
      </c>
      <c r="P180" s="1106"/>
      <c r="Q180" s="1097">
        <f t="shared" si="40"/>
        <v>1</v>
      </c>
      <c r="R180" s="1157">
        <f t="shared" si="41"/>
        <v>0</v>
      </c>
      <c r="S180" s="1096">
        <f t="shared" si="32"/>
        <v>0</v>
      </c>
    </row>
    <row r="181" spans="1:19">
      <c r="A181" s="1104"/>
      <c r="B181" s="1105"/>
      <c r="C181" s="1097">
        <f t="shared" si="33"/>
        <v>1</v>
      </c>
      <c r="D181" s="1106"/>
      <c r="E181" s="1097">
        <f t="shared" si="34"/>
        <v>1</v>
      </c>
      <c r="F181" s="1106"/>
      <c r="G181" s="1097">
        <f t="shared" si="35"/>
        <v>1</v>
      </c>
      <c r="H181" s="1106"/>
      <c r="I181" s="1097">
        <f t="shared" si="36"/>
        <v>1</v>
      </c>
      <c r="J181" s="1106"/>
      <c r="K181" s="1097">
        <f t="shared" si="37"/>
        <v>1</v>
      </c>
      <c r="L181" s="1106"/>
      <c r="M181" s="1097">
        <f t="shared" si="38"/>
        <v>1</v>
      </c>
      <c r="N181" s="1106"/>
      <c r="O181" s="1097">
        <f t="shared" si="39"/>
        <v>1</v>
      </c>
      <c r="P181" s="1106"/>
      <c r="Q181" s="1097">
        <f t="shared" si="40"/>
        <v>1</v>
      </c>
      <c r="R181" s="1157">
        <f t="shared" si="41"/>
        <v>0</v>
      </c>
      <c r="S181" s="1096">
        <f t="shared" si="32"/>
        <v>0</v>
      </c>
    </row>
    <row r="182" spans="1:19">
      <c r="A182" s="1104"/>
      <c r="B182" s="1105"/>
      <c r="C182" s="1097">
        <f t="shared" si="33"/>
        <v>1</v>
      </c>
      <c r="D182" s="1106"/>
      <c r="E182" s="1097">
        <f t="shared" si="34"/>
        <v>1</v>
      </c>
      <c r="F182" s="1106"/>
      <c r="G182" s="1097">
        <f t="shared" si="35"/>
        <v>1</v>
      </c>
      <c r="H182" s="1106"/>
      <c r="I182" s="1097">
        <f t="shared" si="36"/>
        <v>1</v>
      </c>
      <c r="J182" s="1106"/>
      <c r="K182" s="1097">
        <f t="shared" si="37"/>
        <v>1</v>
      </c>
      <c r="L182" s="1106"/>
      <c r="M182" s="1097">
        <f t="shared" si="38"/>
        <v>1</v>
      </c>
      <c r="N182" s="1106"/>
      <c r="O182" s="1097">
        <f t="shared" si="39"/>
        <v>1</v>
      </c>
      <c r="P182" s="1106"/>
      <c r="Q182" s="1097">
        <f t="shared" si="40"/>
        <v>1</v>
      </c>
      <c r="R182" s="1157">
        <f t="shared" si="41"/>
        <v>0</v>
      </c>
      <c r="S182" s="1096">
        <f t="shared" si="32"/>
        <v>0</v>
      </c>
    </row>
    <row r="183" spans="1:19">
      <c r="A183" s="1104"/>
      <c r="B183" s="1105"/>
      <c r="C183" s="1097">
        <f t="shared" si="33"/>
        <v>1</v>
      </c>
      <c r="D183" s="1106"/>
      <c r="E183" s="1097">
        <f t="shared" si="34"/>
        <v>1</v>
      </c>
      <c r="F183" s="1106"/>
      <c r="G183" s="1097">
        <f t="shared" si="35"/>
        <v>1</v>
      </c>
      <c r="H183" s="1106"/>
      <c r="I183" s="1097">
        <f t="shared" si="36"/>
        <v>1</v>
      </c>
      <c r="J183" s="1106"/>
      <c r="K183" s="1097">
        <f t="shared" si="37"/>
        <v>1</v>
      </c>
      <c r="L183" s="1106"/>
      <c r="M183" s="1097">
        <f t="shared" si="38"/>
        <v>1</v>
      </c>
      <c r="N183" s="1106"/>
      <c r="O183" s="1097">
        <f t="shared" si="39"/>
        <v>1</v>
      </c>
      <c r="P183" s="1106"/>
      <c r="Q183" s="1097">
        <f t="shared" si="40"/>
        <v>1</v>
      </c>
      <c r="R183" s="1157">
        <f t="shared" si="41"/>
        <v>0</v>
      </c>
      <c r="S183" s="1096">
        <f t="shared" si="32"/>
        <v>0</v>
      </c>
    </row>
    <row r="184" spans="1:19">
      <c r="A184" s="1104"/>
      <c r="B184" s="1105"/>
      <c r="C184" s="1097">
        <f t="shared" si="33"/>
        <v>1</v>
      </c>
      <c r="D184" s="1106"/>
      <c r="E184" s="1097">
        <f t="shared" si="34"/>
        <v>1</v>
      </c>
      <c r="F184" s="1106"/>
      <c r="G184" s="1097">
        <f t="shared" si="35"/>
        <v>1</v>
      </c>
      <c r="H184" s="1106"/>
      <c r="I184" s="1097">
        <f t="shared" si="36"/>
        <v>1</v>
      </c>
      <c r="J184" s="1106"/>
      <c r="K184" s="1097">
        <f t="shared" si="37"/>
        <v>1</v>
      </c>
      <c r="L184" s="1106"/>
      <c r="M184" s="1097">
        <f t="shared" si="38"/>
        <v>1</v>
      </c>
      <c r="N184" s="1106"/>
      <c r="O184" s="1097">
        <f t="shared" si="39"/>
        <v>1</v>
      </c>
      <c r="P184" s="1106"/>
      <c r="Q184" s="1097">
        <f t="shared" si="40"/>
        <v>1</v>
      </c>
      <c r="R184" s="1157">
        <f t="shared" si="41"/>
        <v>0</v>
      </c>
      <c r="S184" s="1096">
        <f t="shared" si="32"/>
        <v>0</v>
      </c>
    </row>
    <row r="185" spans="1:19">
      <c r="A185" s="1104"/>
      <c r="B185" s="1105"/>
      <c r="C185" s="1097">
        <f t="shared" si="33"/>
        <v>1</v>
      </c>
      <c r="D185" s="1106"/>
      <c r="E185" s="1097">
        <f t="shared" si="34"/>
        <v>1</v>
      </c>
      <c r="F185" s="1106"/>
      <c r="G185" s="1097">
        <f t="shared" si="35"/>
        <v>1</v>
      </c>
      <c r="H185" s="1106"/>
      <c r="I185" s="1097">
        <f t="shared" si="36"/>
        <v>1</v>
      </c>
      <c r="J185" s="1106"/>
      <c r="K185" s="1097">
        <f t="shared" si="37"/>
        <v>1</v>
      </c>
      <c r="L185" s="1106"/>
      <c r="M185" s="1097">
        <f t="shared" si="38"/>
        <v>1</v>
      </c>
      <c r="N185" s="1106"/>
      <c r="O185" s="1097">
        <f t="shared" si="39"/>
        <v>1</v>
      </c>
      <c r="P185" s="1106"/>
      <c r="Q185" s="1097">
        <f t="shared" si="40"/>
        <v>1</v>
      </c>
      <c r="R185" s="1157">
        <f t="shared" si="41"/>
        <v>0</v>
      </c>
      <c r="S185" s="1096">
        <f t="shared" si="32"/>
        <v>0</v>
      </c>
    </row>
    <row r="186" spans="1:19">
      <c r="A186" s="1104"/>
      <c r="B186" s="1105"/>
      <c r="C186" s="1097">
        <f t="shared" si="33"/>
        <v>1</v>
      </c>
      <c r="D186" s="1106"/>
      <c r="E186" s="1097">
        <f t="shared" si="34"/>
        <v>1</v>
      </c>
      <c r="F186" s="1106"/>
      <c r="G186" s="1097">
        <f t="shared" si="35"/>
        <v>1</v>
      </c>
      <c r="H186" s="1106"/>
      <c r="I186" s="1097">
        <f t="shared" si="36"/>
        <v>1</v>
      </c>
      <c r="J186" s="1106"/>
      <c r="K186" s="1097">
        <f t="shared" si="37"/>
        <v>1</v>
      </c>
      <c r="L186" s="1106"/>
      <c r="M186" s="1097">
        <f t="shared" si="38"/>
        <v>1</v>
      </c>
      <c r="N186" s="1106"/>
      <c r="O186" s="1097">
        <f t="shared" si="39"/>
        <v>1</v>
      </c>
      <c r="P186" s="1106"/>
      <c r="Q186" s="1097">
        <f t="shared" si="40"/>
        <v>1</v>
      </c>
      <c r="R186" s="1157">
        <f t="shared" si="41"/>
        <v>0</v>
      </c>
      <c r="S186" s="1096">
        <f t="shared" si="32"/>
        <v>0</v>
      </c>
    </row>
    <row r="187" spans="1:19">
      <c r="A187" s="1104"/>
      <c r="B187" s="1105"/>
      <c r="C187" s="1097">
        <f t="shared" si="33"/>
        <v>1</v>
      </c>
      <c r="D187" s="1106"/>
      <c r="E187" s="1097">
        <f t="shared" si="34"/>
        <v>1</v>
      </c>
      <c r="F187" s="1106"/>
      <c r="G187" s="1097">
        <f t="shared" si="35"/>
        <v>1</v>
      </c>
      <c r="H187" s="1106"/>
      <c r="I187" s="1097">
        <f t="shared" si="36"/>
        <v>1</v>
      </c>
      <c r="J187" s="1106"/>
      <c r="K187" s="1097">
        <f t="shared" si="37"/>
        <v>1</v>
      </c>
      <c r="L187" s="1106"/>
      <c r="M187" s="1097">
        <f t="shared" si="38"/>
        <v>1</v>
      </c>
      <c r="N187" s="1106"/>
      <c r="O187" s="1097">
        <f t="shared" si="39"/>
        <v>1</v>
      </c>
      <c r="P187" s="1106"/>
      <c r="Q187" s="1097">
        <f t="shared" si="40"/>
        <v>1</v>
      </c>
      <c r="R187" s="1157">
        <f t="shared" si="41"/>
        <v>0</v>
      </c>
      <c r="S187" s="1096">
        <f t="shared" ref="S187:S222" si="42">ROUND(R187*B187/10000,0)</f>
        <v>0</v>
      </c>
    </row>
    <row r="188" spans="1:19">
      <c r="A188" s="1104"/>
      <c r="B188" s="1105"/>
      <c r="C188" s="1097">
        <f t="shared" si="33"/>
        <v>1</v>
      </c>
      <c r="D188" s="1106"/>
      <c r="E188" s="1097">
        <f t="shared" si="34"/>
        <v>1</v>
      </c>
      <c r="F188" s="1106"/>
      <c r="G188" s="1097">
        <f t="shared" si="35"/>
        <v>1</v>
      </c>
      <c r="H188" s="1106"/>
      <c r="I188" s="1097">
        <f t="shared" si="36"/>
        <v>1</v>
      </c>
      <c r="J188" s="1106"/>
      <c r="K188" s="1097">
        <f t="shared" si="37"/>
        <v>1</v>
      </c>
      <c r="L188" s="1106"/>
      <c r="M188" s="1097">
        <f t="shared" si="38"/>
        <v>1</v>
      </c>
      <c r="N188" s="1106"/>
      <c r="O188" s="1097">
        <f t="shared" si="39"/>
        <v>1</v>
      </c>
      <c r="P188" s="1106"/>
      <c r="Q188" s="1097">
        <f t="shared" si="40"/>
        <v>1</v>
      </c>
      <c r="R188" s="1157">
        <f t="shared" si="41"/>
        <v>0</v>
      </c>
      <c r="S188" s="1096">
        <f t="shared" si="42"/>
        <v>0</v>
      </c>
    </row>
    <row r="189" spans="1:19">
      <c r="A189" s="1104"/>
      <c r="B189" s="1105"/>
      <c r="C189" s="1097">
        <f t="shared" si="33"/>
        <v>1</v>
      </c>
      <c r="D189" s="1106"/>
      <c r="E189" s="1097">
        <f t="shared" si="34"/>
        <v>1</v>
      </c>
      <c r="F189" s="1106"/>
      <c r="G189" s="1097">
        <f t="shared" si="35"/>
        <v>1</v>
      </c>
      <c r="H189" s="1106"/>
      <c r="I189" s="1097">
        <f t="shared" si="36"/>
        <v>1</v>
      </c>
      <c r="J189" s="1106"/>
      <c r="K189" s="1097">
        <f t="shared" si="37"/>
        <v>1</v>
      </c>
      <c r="L189" s="1106"/>
      <c r="M189" s="1097">
        <f t="shared" si="38"/>
        <v>1</v>
      </c>
      <c r="N189" s="1106"/>
      <c r="O189" s="1097">
        <f t="shared" si="39"/>
        <v>1</v>
      </c>
      <c r="P189" s="1106"/>
      <c r="Q189" s="1097">
        <f t="shared" si="40"/>
        <v>1</v>
      </c>
      <c r="R189" s="1157">
        <f t="shared" si="41"/>
        <v>0</v>
      </c>
      <c r="S189" s="1096">
        <f t="shared" si="42"/>
        <v>0</v>
      </c>
    </row>
    <row r="190" spans="1:19">
      <c r="A190" s="1104"/>
      <c r="B190" s="1105"/>
      <c r="C190" s="1097">
        <f t="shared" si="33"/>
        <v>1</v>
      </c>
      <c r="D190" s="1106"/>
      <c r="E190" s="1097">
        <f t="shared" si="34"/>
        <v>1</v>
      </c>
      <c r="F190" s="1106"/>
      <c r="G190" s="1097">
        <f t="shared" si="35"/>
        <v>1</v>
      </c>
      <c r="H190" s="1106"/>
      <c r="I190" s="1097">
        <f t="shared" si="36"/>
        <v>1</v>
      </c>
      <c r="J190" s="1106"/>
      <c r="K190" s="1097">
        <f t="shared" si="37"/>
        <v>1</v>
      </c>
      <c r="L190" s="1106"/>
      <c r="M190" s="1097">
        <f t="shared" si="38"/>
        <v>1</v>
      </c>
      <c r="N190" s="1106"/>
      <c r="O190" s="1097">
        <f t="shared" si="39"/>
        <v>1</v>
      </c>
      <c r="P190" s="1106"/>
      <c r="Q190" s="1097">
        <f t="shared" si="40"/>
        <v>1</v>
      </c>
      <c r="R190" s="1157">
        <f t="shared" si="41"/>
        <v>0</v>
      </c>
      <c r="S190" s="1096">
        <f t="shared" si="42"/>
        <v>0</v>
      </c>
    </row>
    <row r="191" spans="1:19">
      <c r="A191" s="1104"/>
      <c r="B191" s="1105"/>
      <c r="C191" s="1097">
        <f t="shared" si="33"/>
        <v>1</v>
      </c>
      <c r="D191" s="1106"/>
      <c r="E191" s="1097">
        <f t="shared" si="34"/>
        <v>1</v>
      </c>
      <c r="F191" s="1106"/>
      <c r="G191" s="1097">
        <f t="shared" si="35"/>
        <v>1</v>
      </c>
      <c r="H191" s="1106"/>
      <c r="I191" s="1097">
        <f t="shared" si="36"/>
        <v>1</v>
      </c>
      <c r="J191" s="1106"/>
      <c r="K191" s="1097">
        <f t="shared" si="37"/>
        <v>1</v>
      </c>
      <c r="L191" s="1106"/>
      <c r="M191" s="1097">
        <f t="shared" si="38"/>
        <v>1</v>
      </c>
      <c r="N191" s="1106"/>
      <c r="O191" s="1097">
        <f t="shared" si="39"/>
        <v>1</v>
      </c>
      <c r="P191" s="1106"/>
      <c r="Q191" s="1097">
        <f t="shared" si="40"/>
        <v>1</v>
      </c>
      <c r="R191" s="1157">
        <f t="shared" si="41"/>
        <v>0</v>
      </c>
      <c r="S191" s="1096">
        <f t="shared" si="42"/>
        <v>0</v>
      </c>
    </row>
    <row r="192" spans="1:19">
      <c r="A192" s="1104"/>
      <c r="B192" s="1105"/>
      <c r="C192" s="1097">
        <f t="shared" si="33"/>
        <v>1</v>
      </c>
      <c r="D192" s="1106"/>
      <c r="E192" s="1097">
        <f t="shared" si="34"/>
        <v>1</v>
      </c>
      <c r="F192" s="1106"/>
      <c r="G192" s="1097">
        <f t="shared" si="35"/>
        <v>1</v>
      </c>
      <c r="H192" s="1106"/>
      <c r="I192" s="1097">
        <f t="shared" si="36"/>
        <v>1</v>
      </c>
      <c r="J192" s="1106"/>
      <c r="K192" s="1097">
        <f t="shared" si="37"/>
        <v>1</v>
      </c>
      <c r="L192" s="1106"/>
      <c r="M192" s="1097">
        <f t="shared" si="38"/>
        <v>1</v>
      </c>
      <c r="N192" s="1106"/>
      <c r="O192" s="1097">
        <f t="shared" si="39"/>
        <v>1</v>
      </c>
      <c r="P192" s="1106"/>
      <c r="Q192" s="1097">
        <f t="shared" si="40"/>
        <v>1</v>
      </c>
      <c r="R192" s="1157">
        <f t="shared" si="41"/>
        <v>0</v>
      </c>
      <c r="S192" s="1096">
        <f t="shared" si="42"/>
        <v>0</v>
      </c>
    </row>
    <row r="193" spans="1:19">
      <c r="A193" s="1104"/>
      <c r="B193" s="1105"/>
      <c r="C193" s="1097">
        <f t="shared" si="33"/>
        <v>1</v>
      </c>
      <c r="D193" s="1106"/>
      <c r="E193" s="1097">
        <f t="shared" si="34"/>
        <v>1</v>
      </c>
      <c r="F193" s="1106"/>
      <c r="G193" s="1097">
        <f t="shared" si="35"/>
        <v>1</v>
      </c>
      <c r="H193" s="1106"/>
      <c r="I193" s="1097">
        <f t="shared" si="36"/>
        <v>1</v>
      </c>
      <c r="J193" s="1106"/>
      <c r="K193" s="1097">
        <f t="shared" si="37"/>
        <v>1</v>
      </c>
      <c r="L193" s="1106"/>
      <c r="M193" s="1097">
        <f t="shared" si="38"/>
        <v>1</v>
      </c>
      <c r="N193" s="1106"/>
      <c r="O193" s="1097">
        <f t="shared" si="39"/>
        <v>1</v>
      </c>
      <c r="P193" s="1106"/>
      <c r="Q193" s="1097">
        <f t="shared" si="40"/>
        <v>1</v>
      </c>
      <c r="R193" s="1157">
        <f t="shared" si="41"/>
        <v>0</v>
      </c>
      <c r="S193" s="1096">
        <f t="shared" si="42"/>
        <v>0</v>
      </c>
    </row>
    <row r="194" spans="1:19">
      <c r="A194" s="1104"/>
      <c r="B194" s="1105"/>
      <c r="C194" s="1097">
        <f t="shared" si="33"/>
        <v>1</v>
      </c>
      <c r="D194" s="1106"/>
      <c r="E194" s="1097">
        <f t="shared" si="34"/>
        <v>1</v>
      </c>
      <c r="F194" s="1106"/>
      <c r="G194" s="1097">
        <f t="shared" si="35"/>
        <v>1</v>
      </c>
      <c r="H194" s="1106"/>
      <c r="I194" s="1097">
        <f t="shared" si="36"/>
        <v>1</v>
      </c>
      <c r="J194" s="1106"/>
      <c r="K194" s="1097">
        <f t="shared" si="37"/>
        <v>1</v>
      </c>
      <c r="L194" s="1106"/>
      <c r="M194" s="1097">
        <f t="shared" si="38"/>
        <v>1</v>
      </c>
      <c r="N194" s="1106"/>
      <c r="O194" s="1097">
        <f t="shared" si="39"/>
        <v>1</v>
      </c>
      <c r="P194" s="1106"/>
      <c r="Q194" s="1097">
        <f t="shared" si="40"/>
        <v>1</v>
      </c>
      <c r="R194" s="1157">
        <f t="shared" si="41"/>
        <v>0</v>
      </c>
      <c r="S194" s="1096">
        <f t="shared" si="42"/>
        <v>0</v>
      </c>
    </row>
    <row r="195" spans="1:19">
      <c r="A195" s="1104"/>
      <c r="B195" s="1105"/>
      <c r="C195" s="1097">
        <f t="shared" si="33"/>
        <v>1</v>
      </c>
      <c r="D195" s="1106"/>
      <c r="E195" s="1097">
        <f t="shared" si="34"/>
        <v>1</v>
      </c>
      <c r="F195" s="1106"/>
      <c r="G195" s="1097">
        <f t="shared" si="35"/>
        <v>1</v>
      </c>
      <c r="H195" s="1106"/>
      <c r="I195" s="1097">
        <f t="shared" si="36"/>
        <v>1</v>
      </c>
      <c r="J195" s="1106"/>
      <c r="K195" s="1097">
        <f t="shared" si="37"/>
        <v>1</v>
      </c>
      <c r="L195" s="1106"/>
      <c r="M195" s="1097">
        <f t="shared" si="38"/>
        <v>1</v>
      </c>
      <c r="N195" s="1106"/>
      <c r="O195" s="1097">
        <f t="shared" si="39"/>
        <v>1</v>
      </c>
      <c r="P195" s="1106"/>
      <c r="Q195" s="1097">
        <f t="shared" si="40"/>
        <v>1</v>
      </c>
      <c r="R195" s="1157">
        <f t="shared" si="41"/>
        <v>0</v>
      </c>
      <c r="S195" s="1096">
        <f t="shared" si="42"/>
        <v>0</v>
      </c>
    </row>
    <row r="196" spans="1:19">
      <c r="A196" s="1104"/>
      <c r="B196" s="1105"/>
      <c r="C196" s="1097">
        <f t="shared" si="33"/>
        <v>1</v>
      </c>
      <c r="D196" s="1106"/>
      <c r="E196" s="1097">
        <f t="shared" si="34"/>
        <v>1</v>
      </c>
      <c r="F196" s="1106"/>
      <c r="G196" s="1097">
        <f t="shared" si="35"/>
        <v>1</v>
      </c>
      <c r="H196" s="1106"/>
      <c r="I196" s="1097">
        <f t="shared" si="36"/>
        <v>1</v>
      </c>
      <c r="J196" s="1106"/>
      <c r="K196" s="1097">
        <f t="shared" si="37"/>
        <v>1</v>
      </c>
      <c r="L196" s="1106"/>
      <c r="M196" s="1097">
        <f t="shared" si="38"/>
        <v>1</v>
      </c>
      <c r="N196" s="1106"/>
      <c r="O196" s="1097">
        <f t="shared" si="39"/>
        <v>1</v>
      </c>
      <c r="P196" s="1106"/>
      <c r="Q196" s="1097">
        <f t="shared" si="40"/>
        <v>1</v>
      </c>
      <c r="R196" s="1157">
        <f t="shared" si="41"/>
        <v>0</v>
      </c>
      <c r="S196" s="1096">
        <f t="shared" si="42"/>
        <v>0</v>
      </c>
    </row>
    <row r="197" spans="1:19">
      <c r="A197" s="1104"/>
      <c r="B197" s="1105"/>
      <c r="C197" s="1097">
        <f t="shared" si="33"/>
        <v>1</v>
      </c>
      <c r="D197" s="1106"/>
      <c r="E197" s="1097">
        <f t="shared" si="34"/>
        <v>1</v>
      </c>
      <c r="F197" s="1106"/>
      <c r="G197" s="1097">
        <f t="shared" si="35"/>
        <v>1</v>
      </c>
      <c r="H197" s="1106"/>
      <c r="I197" s="1097">
        <f t="shared" si="36"/>
        <v>1</v>
      </c>
      <c r="J197" s="1106"/>
      <c r="K197" s="1097">
        <f t="shared" si="37"/>
        <v>1</v>
      </c>
      <c r="L197" s="1106"/>
      <c r="M197" s="1097">
        <f t="shared" si="38"/>
        <v>1</v>
      </c>
      <c r="N197" s="1106"/>
      <c r="O197" s="1097">
        <f t="shared" si="39"/>
        <v>1</v>
      </c>
      <c r="P197" s="1106"/>
      <c r="Q197" s="1097">
        <f t="shared" si="40"/>
        <v>1</v>
      </c>
      <c r="R197" s="1157">
        <f t="shared" si="41"/>
        <v>0</v>
      </c>
      <c r="S197" s="1096">
        <f t="shared" si="42"/>
        <v>0</v>
      </c>
    </row>
    <row r="198" spans="1:19">
      <c r="A198" s="1104"/>
      <c r="B198" s="1105"/>
      <c r="C198" s="1097">
        <f t="shared" si="33"/>
        <v>1</v>
      </c>
      <c r="D198" s="1106"/>
      <c r="E198" s="1097">
        <f t="shared" si="34"/>
        <v>1</v>
      </c>
      <c r="F198" s="1106"/>
      <c r="G198" s="1097">
        <f t="shared" si="35"/>
        <v>1</v>
      </c>
      <c r="H198" s="1106"/>
      <c r="I198" s="1097">
        <f t="shared" si="36"/>
        <v>1</v>
      </c>
      <c r="J198" s="1106"/>
      <c r="K198" s="1097">
        <f t="shared" si="37"/>
        <v>1</v>
      </c>
      <c r="L198" s="1106"/>
      <c r="M198" s="1097">
        <f t="shared" si="38"/>
        <v>1</v>
      </c>
      <c r="N198" s="1106"/>
      <c r="O198" s="1097">
        <f t="shared" si="39"/>
        <v>1</v>
      </c>
      <c r="P198" s="1106"/>
      <c r="Q198" s="1097">
        <f t="shared" si="40"/>
        <v>1</v>
      </c>
      <c r="R198" s="1157">
        <f t="shared" si="41"/>
        <v>0</v>
      </c>
      <c r="S198" s="1096">
        <f t="shared" si="42"/>
        <v>0</v>
      </c>
    </row>
    <row r="199" spans="1:19">
      <c r="A199" s="1104"/>
      <c r="B199" s="1105"/>
      <c r="C199" s="1097">
        <f t="shared" si="33"/>
        <v>1</v>
      </c>
      <c r="D199" s="1106"/>
      <c r="E199" s="1097">
        <f t="shared" si="34"/>
        <v>1</v>
      </c>
      <c r="F199" s="1106"/>
      <c r="G199" s="1097">
        <f t="shared" si="35"/>
        <v>1</v>
      </c>
      <c r="H199" s="1106"/>
      <c r="I199" s="1097">
        <f t="shared" si="36"/>
        <v>1</v>
      </c>
      <c r="J199" s="1106"/>
      <c r="K199" s="1097">
        <f t="shared" si="37"/>
        <v>1</v>
      </c>
      <c r="L199" s="1106"/>
      <c r="M199" s="1097">
        <f t="shared" si="38"/>
        <v>1</v>
      </c>
      <c r="N199" s="1106"/>
      <c r="O199" s="1097">
        <f t="shared" si="39"/>
        <v>1</v>
      </c>
      <c r="P199" s="1106"/>
      <c r="Q199" s="1097">
        <f t="shared" si="40"/>
        <v>1</v>
      </c>
      <c r="R199" s="1157">
        <f t="shared" si="41"/>
        <v>0</v>
      </c>
      <c r="S199" s="1096">
        <f t="shared" si="42"/>
        <v>0</v>
      </c>
    </row>
    <row r="200" spans="1:19">
      <c r="A200" s="1104"/>
      <c r="B200" s="1105"/>
      <c r="C200" s="1097">
        <f t="shared" si="33"/>
        <v>1</v>
      </c>
      <c r="D200" s="1106"/>
      <c r="E200" s="1097">
        <f t="shared" si="34"/>
        <v>1</v>
      </c>
      <c r="F200" s="1106"/>
      <c r="G200" s="1097">
        <f t="shared" si="35"/>
        <v>1</v>
      </c>
      <c r="H200" s="1106"/>
      <c r="I200" s="1097">
        <f t="shared" si="36"/>
        <v>1</v>
      </c>
      <c r="J200" s="1106"/>
      <c r="K200" s="1097">
        <f t="shared" si="37"/>
        <v>1</v>
      </c>
      <c r="L200" s="1106"/>
      <c r="M200" s="1097">
        <f t="shared" si="38"/>
        <v>1</v>
      </c>
      <c r="N200" s="1106"/>
      <c r="O200" s="1097">
        <f t="shared" si="39"/>
        <v>1</v>
      </c>
      <c r="P200" s="1106"/>
      <c r="Q200" s="1097">
        <f t="shared" si="40"/>
        <v>1</v>
      </c>
      <c r="R200" s="1157">
        <f t="shared" si="41"/>
        <v>0</v>
      </c>
      <c r="S200" s="1096">
        <f t="shared" si="42"/>
        <v>0</v>
      </c>
    </row>
    <row r="201" spans="1:19">
      <c r="A201" s="1104"/>
      <c r="B201" s="1105"/>
      <c r="C201" s="1097">
        <f t="shared" si="33"/>
        <v>1</v>
      </c>
      <c r="D201" s="1106"/>
      <c r="E201" s="1097">
        <f t="shared" si="34"/>
        <v>1</v>
      </c>
      <c r="F201" s="1106"/>
      <c r="G201" s="1097">
        <f t="shared" si="35"/>
        <v>1</v>
      </c>
      <c r="H201" s="1106"/>
      <c r="I201" s="1097">
        <f t="shared" si="36"/>
        <v>1</v>
      </c>
      <c r="J201" s="1106"/>
      <c r="K201" s="1097">
        <f t="shared" si="37"/>
        <v>1</v>
      </c>
      <c r="L201" s="1106"/>
      <c r="M201" s="1097">
        <f t="shared" si="38"/>
        <v>1</v>
      </c>
      <c r="N201" s="1106"/>
      <c r="O201" s="1097">
        <f t="shared" si="39"/>
        <v>1</v>
      </c>
      <c r="P201" s="1106"/>
      <c r="Q201" s="1097">
        <f t="shared" si="40"/>
        <v>1</v>
      </c>
      <c r="R201" s="1157">
        <f t="shared" si="41"/>
        <v>0</v>
      </c>
      <c r="S201" s="1096">
        <f t="shared" si="42"/>
        <v>0</v>
      </c>
    </row>
    <row r="202" spans="1:19">
      <c r="A202" s="1104"/>
      <c r="B202" s="1105"/>
      <c r="C202" s="1097">
        <f t="shared" si="33"/>
        <v>1</v>
      </c>
      <c r="D202" s="1106"/>
      <c r="E202" s="1097">
        <f t="shared" si="34"/>
        <v>1</v>
      </c>
      <c r="F202" s="1106"/>
      <c r="G202" s="1097">
        <f t="shared" si="35"/>
        <v>1</v>
      </c>
      <c r="H202" s="1106"/>
      <c r="I202" s="1097">
        <f t="shared" si="36"/>
        <v>1</v>
      </c>
      <c r="J202" s="1106"/>
      <c r="K202" s="1097">
        <f t="shared" si="37"/>
        <v>1</v>
      </c>
      <c r="L202" s="1106"/>
      <c r="M202" s="1097">
        <f t="shared" si="38"/>
        <v>1</v>
      </c>
      <c r="N202" s="1106"/>
      <c r="O202" s="1097">
        <f t="shared" si="39"/>
        <v>1</v>
      </c>
      <c r="P202" s="1106"/>
      <c r="Q202" s="1097">
        <f t="shared" si="40"/>
        <v>1</v>
      </c>
      <c r="R202" s="1157">
        <f t="shared" si="41"/>
        <v>0</v>
      </c>
      <c r="S202" s="1096">
        <f t="shared" si="42"/>
        <v>0</v>
      </c>
    </row>
    <row r="203" spans="1:19">
      <c r="A203" s="1104"/>
      <c r="B203" s="1105"/>
      <c r="C203" s="1097">
        <f t="shared" si="33"/>
        <v>1</v>
      </c>
      <c r="D203" s="1106"/>
      <c r="E203" s="1097">
        <f t="shared" si="34"/>
        <v>1</v>
      </c>
      <c r="F203" s="1106"/>
      <c r="G203" s="1097">
        <f t="shared" si="35"/>
        <v>1</v>
      </c>
      <c r="H203" s="1106"/>
      <c r="I203" s="1097">
        <f t="shared" si="36"/>
        <v>1</v>
      </c>
      <c r="J203" s="1106"/>
      <c r="K203" s="1097">
        <f t="shared" si="37"/>
        <v>1</v>
      </c>
      <c r="L203" s="1106"/>
      <c r="M203" s="1097">
        <f t="shared" si="38"/>
        <v>1</v>
      </c>
      <c r="N203" s="1106"/>
      <c r="O203" s="1097">
        <f t="shared" si="39"/>
        <v>1</v>
      </c>
      <c r="P203" s="1106"/>
      <c r="Q203" s="1097">
        <f t="shared" si="40"/>
        <v>1</v>
      </c>
      <c r="R203" s="1157">
        <f t="shared" si="41"/>
        <v>0</v>
      </c>
      <c r="S203" s="1096">
        <f t="shared" si="42"/>
        <v>0</v>
      </c>
    </row>
    <row r="204" spans="1:19">
      <c r="A204" s="1104"/>
      <c r="B204" s="1105"/>
      <c r="C204" s="1097">
        <f t="shared" si="33"/>
        <v>1</v>
      </c>
      <c r="D204" s="1106"/>
      <c r="E204" s="1097">
        <f t="shared" si="34"/>
        <v>1</v>
      </c>
      <c r="F204" s="1106"/>
      <c r="G204" s="1097">
        <f t="shared" si="35"/>
        <v>1</v>
      </c>
      <c r="H204" s="1106"/>
      <c r="I204" s="1097">
        <f t="shared" si="36"/>
        <v>1</v>
      </c>
      <c r="J204" s="1106"/>
      <c r="K204" s="1097">
        <f t="shared" si="37"/>
        <v>1</v>
      </c>
      <c r="L204" s="1106"/>
      <c r="M204" s="1097">
        <f t="shared" si="38"/>
        <v>1</v>
      </c>
      <c r="N204" s="1106"/>
      <c r="O204" s="1097">
        <f t="shared" si="39"/>
        <v>1</v>
      </c>
      <c r="P204" s="1106"/>
      <c r="Q204" s="1097">
        <f t="shared" si="40"/>
        <v>1</v>
      </c>
      <c r="R204" s="1157">
        <f t="shared" si="41"/>
        <v>0</v>
      </c>
      <c r="S204" s="1096">
        <f t="shared" si="42"/>
        <v>0</v>
      </c>
    </row>
    <row r="205" spans="1:19">
      <c r="A205" s="1104"/>
      <c r="B205" s="1105"/>
      <c r="C205" s="1097">
        <f t="shared" si="33"/>
        <v>1</v>
      </c>
      <c r="D205" s="1106"/>
      <c r="E205" s="1097">
        <f t="shared" si="34"/>
        <v>1</v>
      </c>
      <c r="F205" s="1106"/>
      <c r="G205" s="1097">
        <f t="shared" si="35"/>
        <v>1</v>
      </c>
      <c r="H205" s="1106"/>
      <c r="I205" s="1097">
        <f t="shared" si="36"/>
        <v>1</v>
      </c>
      <c r="J205" s="1106"/>
      <c r="K205" s="1097">
        <f t="shared" si="37"/>
        <v>1</v>
      </c>
      <c r="L205" s="1106"/>
      <c r="M205" s="1097">
        <f t="shared" si="38"/>
        <v>1</v>
      </c>
      <c r="N205" s="1106"/>
      <c r="O205" s="1097">
        <f t="shared" si="39"/>
        <v>1</v>
      </c>
      <c r="P205" s="1106"/>
      <c r="Q205" s="1097">
        <f t="shared" si="40"/>
        <v>1</v>
      </c>
      <c r="R205" s="1157">
        <f t="shared" si="41"/>
        <v>0</v>
      </c>
      <c r="S205" s="1096">
        <f t="shared" si="42"/>
        <v>0</v>
      </c>
    </row>
    <row r="206" spans="1:19">
      <c r="A206" s="1104"/>
      <c r="B206" s="1105"/>
      <c r="C206" s="1097">
        <f t="shared" si="33"/>
        <v>1</v>
      </c>
      <c r="D206" s="1106"/>
      <c r="E206" s="1097">
        <f t="shared" si="34"/>
        <v>1</v>
      </c>
      <c r="F206" s="1106"/>
      <c r="G206" s="1097">
        <f t="shared" si="35"/>
        <v>1</v>
      </c>
      <c r="H206" s="1106"/>
      <c r="I206" s="1097">
        <f t="shared" si="36"/>
        <v>1</v>
      </c>
      <c r="J206" s="1106"/>
      <c r="K206" s="1097">
        <f t="shared" si="37"/>
        <v>1</v>
      </c>
      <c r="L206" s="1106"/>
      <c r="M206" s="1097">
        <f t="shared" si="38"/>
        <v>1</v>
      </c>
      <c r="N206" s="1106"/>
      <c r="O206" s="1097">
        <f t="shared" si="39"/>
        <v>1</v>
      </c>
      <c r="P206" s="1106"/>
      <c r="Q206" s="1097">
        <f t="shared" si="40"/>
        <v>1</v>
      </c>
      <c r="R206" s="1157">
        <f t="shared" si="41"/>
        <v>0</v>
      </c>
      <c r="S206" s="1096">
        <f t="shared" si="42"/>
        <v>0</v>
      </c>
    </row>
    <row r="207" spans="1:19">
      <c r="A207" s="1104"/>
      <c r="B207" s="1105"/>
      <c r="C207" s="1097">
        <f t="shared" si="33"/>
        <v>1</v>
      </c>
      <c r="D207" s="1106"/>
      <c r="E207" s="1097">
        <f t="shared" si="34"/>
        <v>1</v>
      </c>
      <c r="F207" s="1106"/>
      <c r="G207" s="1097">
        <f t="shared" si="35"/>
        <v>1</v>
      </c>
      <c r="H207" s="1106"/>
      <c r="I207" s="1097">
        <f t="shared" si="36"/>
        <v>1</v>
      </c>
      <c r="J207" s="1106"/>
      <c r="K207" s="1097">
        <f t="shared" si="37"/>
        <v>1</v>
      </c>
      <c r="L207" s="1106"/>
      <c r="M207" s="1097">
        <f t="shared" si="38"/>
        <v>1</v>
      </c>
      <c r="N207" s="1106"/>
      <c r="O207" s="1097">
        <f t="shared" si="39"/>
        <v>1</v>
      </c>
      <c r="P207" s="1106"/>
      <c r="Q207" s="1097">
        <f t="shared" si="40"/>
        <v>1</v>
      </c>
      <c r="R207" s="1157">
        <f t="shared" si="41"/>
        <v>0</v>
      </c>
      <c r="S207" s="1096">
        <f t="shared" si="42"/>
        <v>0</v>
      </c>
    </row>
    <row r="208" spans="1:19">
      <c r="A208" s="1104"/>
      <c r="B208" s="1105"/>
      <c r="C208" s="1097">
        <f t="shared" si="33"/>
        <v>1</v>
      </c>
      <c r="D208" s="1106"/>
      <c r="E208" s="1097">
        <f t="shared" si="34"/>
        <v>1</v>
      </c>
      <c r="F208" s="1106"/>
      <c r="G208" s="1097">
        <f t="shared" si="35"/>
        <v>1</v>
      </c>
      <c r="H208" s="1106"/>
      <c r="I208" s="1097">
        <f t="shared" si="36"/>
        <v>1</v>
      </c>
      <c r="J208" s="1106"/>
      <c r="K208" s="1097">
        <f t="shared" si="37"/>
        <v>1</v>
      </c>
      <c r="L208" s="1106"/>
      <c r="M208" s="1097">
        <f t="shared" si="38"/>
        <v>1</v>
      </c>
      <c r="N208" s="1106"/>
      <c r="O208" s="1097">
        <f t="shared" si="39"/>
        <v>1</v>
      </c>
      <c r="P208" s="1106"/>
      <c r="Q208" s="1097">
        <f t="shared" si="40"/>
        <v>1</v>
      </c>
      <c r="R208" s="1157">
        <f t="shared" si="41"/>
        <v>0</v>
      </c>
      <c r="S208" s="1096">
        <f t="shared" si="42"/>
        <v>0</v>
      </c>
    </row>
    <row r="209" spans="1:19">
      <c r="A209" s="1104"/>
      <c r="B209" s="1105"/>
      <c r="C209" s="1097">
        <f t="shared" si="33"/>
        <v>1</v>
      </c>
      <c r="D209" s="1106"/>
      <c r="E209" s="1097">
        <f t="shared" si="34"/>
        <v>1</v>
      </c>
      <c r="F209" s="1106"/>
      <c r="G209" s="1097">
        <f t="shared" si="35"/>
        <v>1</v>
      </c>
      <c r="H209" s="1106"/>
      <c r="I209" s="1097">
        <f t="shared" si="36"/>
        <v>1</v>
      </c>
      <c r="J209" s="1106"/>
      <c r="K209" s="1097">
        <f t="shared" si="37"/>
        <v>1</v>
      </c>
      <c r="L209" s="1106"/>
      <c r="M209" s="1097">
        <f t="shared" si="38"/>
        <v>1</v>
      </c>
      <c r="N209" s="1106"/>
      <c r="O209" s="1097">
        <f t="shared" si="39"/>
        <v>1</v>
      </c>
      <c r="P209" s="1106"/>
      <c r="Q209" s="1097">
        <f t="shared" si="40"/>
        <v>1</v>
      </c>
      <c r="R209" s="1157">
        <f t="shared" si="41"/>
        <v>0</v>
      </c>
      <c r="S209" s="1096">
        <f t="shared" si="42"/>
        <v>0</v>
      </c>
    </row>
    <row r="210" spans="1:19">
      <c r="A210" s="1104"/>
      <c r="B210" s="1105"/>
      <c r="C210" s="1097">
        <f t="shared" si="33"/>
        <v>1</v>
      </c>
      <c r="D210" s="1106"/>
      <c r="E210" s="1097">
        <f t="shared" si="34"/>
        <v>1</v>
      </c>
      <c r="F210" s="1106"/>
      <c r="G210" s="1097">
        <f t="shared" si="35"/>
        <v>1</v>
      </c>
      <c r="H210" s="1106"/>
      <c r="I210" s="1097">
        <f t="shared" si="36"/>
        <v>1</v>
      </c>
      <c r="J210" s="1106"/>
      <c r="K210" s="1097">
        <f t="shared" si="37"/>
        <v>1</v>
      </c>
      <c r="L210" s="1106"/>
      <c r="M210" s="1097">
        <f t="shared" si="38"/>
        <v>1</v>
      </c>
      <c r="N210" s="1106"/>
      <c r="O210" s="1097">
        <f t="shared" si="39"/>
        <v>1</v>
      </c>
      <c r="P210" s="1106"/>
      <c r="Q210" s="1097">
        <f t="shared" si="40"/>
        <v>1</v>
      </c>
      <c r="R210" s="1157">
        <f t="shared" si="41"/>
        <v>0</v>
      </c>
      <c r="S210" s="1096">
        <f t="shared" si="42"/>
        <v>0</v>
      </c>
    </row>
    <row r="211" spans="1:19">
      <c r="A211" s="1104"/>
      <c r="B211" s="1105"/>
      <c r="C211" s="1097">
        <f t="shared" si="33"/>
        <v>1</v>
      </c>
      <c r="D211" s="1106"/>
      <c r="E211" s="1097">
        <f t="shared" si="34"/>
        <v>1</v>
      </c>
      <c r="F211" s="1106"/>
      <c r="G211" s="1097">
        <f t="shared" si="35"/>
        <v>1</v>
      </c>
      <c r="H211" s="1106"/>
      <c r="I211" s="1097">
        <f t="shared" si="36"/>
        <v>1</v>
      </c>
      <c r="J211" s="1106"/>
      <c r="K211" s="1097">
        <f t="shared" si="37"/>
        <v>1</v>
      </c>
      <c r="L211" s="1106"/>
      <c r="M211" s="1097">
        <f t="shared" si="38"/>
        <v>1</v>
      </c>
      <c r="N211" s="1106"/>
      <c r="O211" s="1097">
        <f t="shared" si="39"/>
        <v>1</v>
      </c>
      <c r="P211" s="1106"/>
      <c r="Q211" s="1097">
        <f t="shared" si="40"/>
        <v>1</v>
      </c>
      <c r="R211" s="1157">
        <f t="shared" si="41"/>
        <v>0</v>
      </c>
      <c r="S211" s="1096">
        <f t="shared" si="42"/>
        <v>0</v>
      </c>
    </row>
    <row r="212" spans="1:19">
      <c r="A212" s="1104"/>
      <c r="B212" s="1105"/>
      <c r="C212" s="1097">
        <f t="shared" si="33"/>
        <v>1</v>
      </c>
      <c r="D212" s="1106"/>
      <c r="E212" s="1097">
        <f t="shared" si="34"/>
        <v>1</v>
      </c>
      <c r="F212" s="1106"/>
      <c r="G212" s="1097">
        <f t="shared" si="35"/>
        <v>1</v>
      </c>
      <c r="H212" s="1106"/>
      <c r="I212" s="1097">
        <f t="shared" si="36"/>
        <v>1</v>
      </c>
      <c r="J212" s="1106"/>
      <c r="K212" s="1097">
        <f t="shared" si="37"/>
        <v>1</v>
      </c>
      <c r="L212" s="1106"/>
      <c r="M212" s="1097">
        <f t="shared" si="38"/>
        <v>1</v>
      </c>
      <c r="N212" s="1106"/>
      <c r="O212" s="1097">
        <f t="shared" si="39"/>
        <v>1</v>
      </c>
      <c r="P212" s="1106"/>
      <c r="Q212" s="1097">
        <f t="shared" si="40"/>
        <v>1</v>
      </c>
      <c r="R212" s="1157">
        <f t="shared" si="41"/>
        <v>0</v>
      </c>
      <c r="S212" s="1096">
        <f t="shared" si="42"/>
        <v>0</v>
      </c>
    </row>
    <row r="213" spans="1:19">
      <c r="A213" s="1104"/>
      <c r="B213" s="1105"/>
      <c r="C213" s="1097">
        <f t="shared" si="33"/>
        <v>1</v>
      </c>
      <c r="D213" s="1106"/>
      <c r="E213" s="1097">
        <f t="shared" si="34"/>
        <v>1</v>
      </c>
      <c r="F213" s="1106"/>
      <c r="G213" s="1097">
        <f t="shared" si="35"/>
        <v>1</v>
      </c>
      <c r="H213" s="1106"/>
      <c r="I213" s="1097">
        <f t="shared" si="36"/>
        <v>1</v>
      </c>
      <c r="J213" s="1106"/>
      <c r="K213" s="1097">
        <f t="shared" si="37"/>
        <v>1</v>
      </c>
      <c r="L213" s="1106"/>
      <c r="M213" s="1097">
        <f t="shared" si="38"/>
        <v>1</v>
      </c>
      <c r="N213" s="1106"/>
      <c r="O213" s="1097">
        <f t="shared" si="39"/>
        <v>1</v>
      </c>
      <c r="P213" s="1106"/>
      <c r="Q213" s="1097">
        <f t="shared" si="40"/>
        <v>1</v>
      </c>
      <c r="R213" s="1157">
        <f t="shared" si="41"/>
        <v>0</v>
      </c>
      <c r="S213" s="1096">
        <f t="shared" si="42"/>
        <v>0</v>
      </c>
    </row>
    <row r="214" spans="1:19">
      <c r="A214" s="1104"/>
      <c r="B214" s="1105"/>
      <c r="C214" s="1097">
        <f t="shared" si="33"/>
        <v>1</v>
      </c>
      <c r="D214" s="1106"/>
      <c r="E214" s="1097">
        <f t="shared" si="34"/>
        <v>1</v>
      </c>
      <c r="F214" s="1106"/>
      <c r="G214" s="1097">
        <f t="shared" si="35"/>
        <v>1</v>
      </c>
      <c r="H214" s="1106"/>
      <c r="I214" s="1097">
        <f t="shared" si="36"/>
        <v>1</v>
      </c>
      <c r="J214" s="1106"/>
      <c r="K214" s="1097">
        <f t="shared" si="37"/>
        <v>1</v>
      </c>
      <c r="L214" s="1106"/>
      <c r="M214" s="1097">
        <f t="shared" si="38"/>
        <v>1</v>
      </c>
      <c r="N214" s="1106"/>
      <c r="O214" s="1097">
        <f t="shared" si="39"/>
        <v>1</v>
      </c>
      <c r="P214" s="1106"/>
      <c r="Q214" s="1097">
        <f t="shared" si="40"/>
        <v>1</v>
      </c>
      <c r="R214" s="1157">
        <f t="shared" si="41"/>
        <v>0</v>
      </c>
      <c r="S214" s="1096">
        <f t="shared" si="42"/>
        <v>0</v>
      </c>
    </row>
    <row r="215" spans="1:19">
      <c r="A215" s="1104"/>
      <c r="B215" s="1105"/>
      <c r="C215" s="1097">
        <f t="shared" si="33"/>
        <v>1</v>
      </c>
      <c r="D215" s="1106"/>
      <c r="E215" s="1097">
        <f t="shared" si="34"/>
        <v>1</v>
      </c>
      <c r="F215" s="1106"/>
      <c r="G215" s="1097">
        <f t="shared" si="35"/>
        <v>1</v>
      </c>
      <c r="H215" s="1106"/>
      <c r="I215" s="1097">
        <f t="shared" si="36"/>
        <v>1</v>
      </c>
      <c r="J215" s="1106"/>
      <c r="K215" s="1097">
        <f t="shared" si="37"/>
        <v>1</v>
      </c>
      <c r="L215" s="1106"/>
      <c r="M215" s="1097">
        <f t="shared" si="38"/>
        <v>1</v>
      </c>
      <c r="N215" s="1106"/>
      <c r="O215" s="1097">
        <f t="shared" si="39"/>
        <v>1</v>
      </c>
      <c r="P215" s="1106"/>
      <c r="Q215" s="1097">
        <f t="shared" si="40"/>
        <v>1</v>
      </c>
      <c r="R215" s="1157">
        <f t="shared" si="41"/>
        <v>0</v>
      </c>
      <c r="S215" s="1096">
        <f t="shared" si="42"/>
        <v>0</v>
      </c>
    </row>
    <row r="216" spans="1:19">
      <c r="A216" s="1104"/>
      <c r="B216" s="1105"/>
      <c r="C216" s="1097">
        <f t="shared" si="33"/>
        <v>1</v>
      </c>
      <c r="D216" s="1106"/>
      <c r="E216" s="1097">
        <f t="shared" si="34"/>
        <v>1</v>
      </c>
      <c r="F216" s="1106"/>
      <c r="G216" s="1097">
        <f t="shared" si="35"/>
        <v>1</v>
      </c>
      <c r="H216" s="1106"/>
      <c r="I216" s="1097">
        <f t="shared" si="36"/>
        <v>1</v>
      </c>
      <c r="J216" s="1106"/>
      <c r="K216" s="1097">
        <f t="shared" si="37"/>
        <v>1</v>
      </c>
      <c r="L216" s="1106"/>
      <c r="M216" s="1097">
        <f t="shared" si="38"/>
        <v>1</v>
      </c>
      <c r="N216" s="1106"/>
      <c r="O216" s="1097">
        <f t="shared" si="39"/>
        <v>1</v>
      </c>
      <c r="P216" s="1106"/>
      <c r="Q216" s="1097">
        <f t="shared" si="40"/>
        <v>1</v>
      </c>
      <c r="R216" s="1157">
        <f t="shared" si="41"/>
        <v>0</v>
      </c>
      <c r="S216" s="1096">
        <f t="shared" si="42"/>
        <v>0</v>
      </c>
    </row>
    <row r="217" spans="1:19">
      <c r="A217" s="1104"/>
      <c r="B217" s="1105"/>
      <c r="C217" s="1097">
        <f t="shared" si="33"/>
        <v>1</v>
      </c>
      <c r="D217" s="1106"/>
      <c r="E217" s="1097">
        <f t="shared" si="34"/>
        <v>1</v>
      </c>
      <c r="F217" s="1106"/>
      <c r="G217" s="1097">
        <f t="shared" si="35"/>
        <v>1</v>
      </c>
      <c r="H217" s="1106"/>
      <c r="I217" s="1097">
        <f t="shared" si="36"/>
        <v>1</v>
      </c>
      <c r="J217" s="1106"/>
      <c r="K217" s="1097">
        <f t="shared" si="37"/>
        <v>1</v>
      </c>
      <c r="L217" s="1106"/>
      <c r="M217" s="1097">
        <f t="shared" si="38"/>
        <v>1</v>
      </c>
      <c r="N217" s="1106"/>
      <c r="O217" s="1097">
        <f t="shared" si="39"/>
        <v>1</v>
      </c>
      <c r="P217" s="1106"/>
      <c r="Q217" s="1097">
        <f t="shared" si="40"/>
        <v>1</v>
      </c>
      <c r="R217" s="1157">
        <f t="shared" si="41"/>
        <v>0</v>
      </c>
      <c r="S217" s="1096">
        <f t="shared" si="42"/>
        <v>0</v>
      </c>
    </row>
    <row r="218" spans="1:19">
      <c r="A218" s="1104"/>
      <c r="B218" s="1105"/>
      <c r="C218" s="1097">
        <f t="shared" ref="C218:C281" si="43">IF(B218="",1,(LOOKUP(B218,$3:$3,$4:$4)-LOOKUP($B$24,$3:$3,$4:$4)+100)/100)</f>
        <v>1</v>
      </c>
      <c r="D218" s="1106"/>
      <c r="E218" s="1097">
        <f t="shared" ref="E218:E281" si="44">(SUMIF($5:$5,D218,$6:$6)-SUMIF($5:$5,$D$24,$6:$6)+100)/100</f>
        <v>1</v>
      </c>
      <c r="F218" s="1106"/>
      <c r="G218" s="1097">
        <f t="shared" ref="G218:G281" si="45">(SUMIF($7:$7,F218,$8:$8)-SUMIF($7:$7,$F$24,$8:$8)+100)/100</f>
        <v>1</v>
      </c>
      <c r="H218" s="1106"/>
      <c r="I218" s="1097">
        <f t="shared" ref="I218:I281" si="46">(SUMIF($9:$9,H218,$10:$10)-SUMIF($9:$9,$H$24,$10:$10)+100)/100</f>
        <v>1</v>
      </c>
      <c r="J218" s="1106"/>
      <c r="K218" s="1097">
        <f t="shared" ref="K218:K281" si="47">(SUMIF($11:$11,J218,$12:$12)-SUMIF($11:$11,$J$24,$12:$12)+100)/100</f>
        <v>1</v>
      </c>
      <c r="L218" s="1106"/>
      <c r="M218" s="1097">
        <f t="shared" ref="M218:M281" si="48">(SUMIF($13:$13,L218,$14:$14)-SUMIF($13:$13,$L$24,$14:$14)+100)/100</f>
        <v>1</v>
      </c>
      <c r="N218" s="1106"/>
      <c r="O218" s="1097">
        <f t="shared" ref="O218:O281" si="49">(SUMIF($15:$15,N218,$16:$16)-SUMIF($15:$15,$N$24,$16:$16)+100)/100</f>
        <v>1</v>
      </c>
      <c r="P218" s="1106"/>
      <c r="Q218" s="1097">
        <f t="shared" ref="Q218:Q281" si="50">(SUMIF($17:$17,P218,$18:$18)-SUMIF($17:$17,$P$24,$18:$18)+100)/100</f>
        <v>1</v>
      </c>
      <c r="R218" s="1157">
        <f t="shared" ref="R218:R281" si="51">IF(B218="",0,ROUND($R$24*C218*E218*G218*I218*K218*M218*O218*Q218,0))</f>
        <v>0</v>
      </c>
      <c r="S218" s="1096">
        <f t="shared" si="42"/>
        <v>0</v>
      </c>
    </row>
    <row r="219" spans="1:19">
      <c r="A219" s="1104"/>
      <c r="B219" s="1105"/>
      <c r="C219" s="1097">
        <f t="shared" si="43"/>
        <v>1</v>
      </c>
      <c r="D219" s="1106"/>
      <c r="E219" s="1097">
        <f t="shared" si="44"/>
        <v>1</v>
      </c>
      <c r="F219" s="1106"/>
      <c r="G219" s="1097">
        <f t="shared" si="45"/>
        <v>1</v>
      </c>
      <c r="H219" s="1106"/>
      <c r="I219" s="1097">
        <f t="shared" si="46"/>
        <v>1</v>
      </c>
      <c r="J219" s="1106"/>
      <c r="K219" s="1097">
        <f t="shared" si="47"/>
        <v>1</v>
      </c>
      <c r="L219" s="1106"/>
      <c r="M219" s="1097">
        <f t="shared" si="48"/>
        <v>1</v>
      </c>
      <c r="N219" s="1106"/>
      <c r="O219" s="1097">
        <f t="shared" si="49"/>
        <v>1</v>
      </c>
      <c r="P219" s="1106"/>
      <c r="Q219" s="1097">
        <f t="shared" si="50"/>
        <v>1</v>
      </c>
      <c r="R219" s="1157">
        <f t="shared" si="51"/>
        <v>0</v>
      </c>
      <c r="S219" s="1096">
        <f t="shared" si="42"/>
        <v>0</v>
      </c>
    </row>
    <row r="220" spans="1:19">
      <c r="A220" s="1104"/>
      <c r="B220" s="1105"/>
      <c r="C220" s="1097">
        <f t="shared" si="43"/>
        <v>1</v>
      </c>
      <c r="D220" s="1106"/>
      <c r="E220" s="1097">
        <f t="shared" si="44"/>
        <v>1</v>
      </c>
      <c r="F220" s="1106"/>
      <c r="G220" s="1097">
        <f t="shared" si="45"/>
        <v>1</v>
      </c>
      <c r="H220" s="1106"/>
      <c r="I220" s="1097">
        <f t="shared" si="46"/>
        <v>1</v>
      </c>
      <c r="J220" s="1106"/>
      <c r="K220" s="1097">
        <f t="shared" si="47"/>
        <v>1</v>
      </c>
      <c r="L220" s="1106"/>
      <c r="M220" s="1097">
        <f t="shared" si="48"/>
        <v>1</v>
      </c>
      <c r="N220" s="1106"/>
      <c r="O220" s="1097">
        <f t="shared" si="49"/>
        <v>1</v>
      </c>
      <c r="P220" s="1106"/>
      <c r="Q220" s="1097">
        <f t="shared" si="50"/>
        <v>1</v>
      </c>
      <c r="R220" s="1157">
        <f t="shared" si="51"/>
        <v>0</v>
      </c>
      <c r="S220" s="1096">
        <f t="shared" si="42"/>
        <v>0</v>
      </c>
    </row>
    <row r="221" spans="1:19">
      <c r="A221" s="1104"/>
      <c r="B221" s="1105"/>
      <c r="C221" s="1097">
        <f t="shared" si="43"/>
        <v>1</v>
      </c>
      <c r="D221" s="1106"/>
      <c r="E221" s="1097">
        <f t="shared" si="44"/>
        <v>1</v>
      </c>
      <c r="F221" s="1106"/>
      <c r="G221" s="1097">
        <f t="shared" si="45"/>
        <v>1</v>
      </c>
      <c r="H221" s="1106"/>
      <c r="I221" s="1097">
        <f t="shared" si="46"/>
        <v>1</v>
      </c>
      <c r="J221" s="1106"/>
      <c r="K221" s="1097">
        <f t="shared" si="47"/>
        <v>1</v>
      </c>
      <c r="L221" s="1106"/>
      <c r="M221" s="1097">
        <f t="shared" si="48"/>
        <v>1</v>
      </c>
      <c r="N221" s="1106"/>
      <c r="O221" s="1097">
        <f t="shared" si="49"/>
        <v>1</v>
      </c>
      <c r="P221" s="1106"/>
      <c r="Q221" s="1097">
        <f t="shared" si="50"/>
        <v>1</v>
      </c>
      <c r="R221" s="1157">
        <f t="shared" si="51"/>
        <v>0</v>
      </c>
      <c r="S221" s="1096">
        <f t="shared" si="42"/>
        <v>0</v>
      </c>
    </row>
    <row r="222" spans="1:19">
      <c r="A222" s="1104"/>
      <c r="B222" s="1105"/>
      <c r="C222" s="1097">
        <f t="shared" si="43"/>
        <v>1</v>
      </c>
      <c r="D222" s="1106"/>
      <c r="E222" s="1097">
        <f t="shared" si="44"/>
        <v>1</v>
      </c>
      <c r="F222" s="1106"/>
      <c r="G222" s="1097">
        <f t="shared" si="45"/>
        <v>1</v>
      </c>
      <c r="H222" s="1106"/>
      <c r="I222" s="1097">
        <f t="shared" si="46"/>
        <v>1</v>
      </c>
      <c r="J222" s="1106"/>
      <c r="K222" s="1097">
        <f t="shared" si="47"/>
        <v>1</v>
      </c>
      <c r="L222" s="1106"/>
      <c r="M222" s="1097">
        <f t="shared" si="48"/>
        <v>1</v>
      </c>
      <c r="N222" s="1106"/>
      <c r="O222" s="1097">
        <f t="shared" si="49"/>
        <v>1</v>
      </c>
      <c r="P222" s="1106"/>
      <c r="Q222" s="1097">
        <f t="shared" si="50"/>
        <v>1</v>
      </c>
      <c r="R222" s="1157">
        <f t="shared" si="51"/>
        <v>0</v>
      </c>
      <c r="S222" s="1096">
        <f t="shared" si="42"/>
        <v>0</v>
      </c>
    </row>
    <row r="223" spans="1:19">
      <c r="A223" s="1104"/>
      <c r="B223" s="1105"/>
      <c r="C223" s="1097">
        <f t="shared" si="43"/>
        <v>1</v>
      </c>
      <c r="D223" s="1106"/>
      <c r="E223" s="1097">
        <f t="shared" si="44"/>
        <v>1</v>
      </c>
      <c r="F223" s="1106"/>
      <c r="G223" s="1097">
        <f t="shared" si="45"/>
        <v>1</v>
      </c>
      <c r="H223" s="1106"/>
      <c r="I223" s="1097">
        <f t="shared" si="46"/>
        <v>1</v>
      </c>
      <c r="J223" s="1106"/>
      <c r="K223" s="1097">
        <f t="shared" si="47"/>
        <v>1</v>
      </c>
      <c r="L223" s="1106"/>
      <c r="M223" s="1097">
        <f t="shared" si="48"/>
        <v>1</v>
      </c>
      <c r="N223" s="1106"/>
      <c r="O223" s="1097">
        <f t="shared" si="49"/>
        <v>1</v>
      </c>
      <c r="P223" s="1106"/>
      <c r="Q223" s="1097">
        <f t="shared" si="50"/>
        <v>1</v>
      </c>
      <c r="R223" s="1157">
        <f t="shared" si="51"/>
        <v>0</v>
      </c>
      <c r="S223" s="1096">
        <f t="shared" ref="S223:S286" si="52">ROUND(R223*B223/10000,0)</f>
        <v>0</v>
      </c>
    </row>
    <row r="224" spans="1:19">
      <c r="A224" s="1104"/>
      <c r="B224" s="1105"/>
      <c r="C224" s="1097">
        <f t="shared" si="43"/>
        <v>1</v>
      </c>
      <c r="D224" s="1106"/>
      <c r="E224" s="1097">
        <f t="shared" si="44"/>
        <v>1</v>
      </c>
      <c r="F224" s="1106"/>
      <c r="G224" s="1097">
        <f t="shared" si="45"/>
        <v>1</v>
      </c>
      <c r="H224" s="1106"/>
      <c r="I224" s="1097">
        <f t="shared" si="46"/>
        <v>1</v>
      </c>
      <c r="J224" s="1106"/>
      <c r="K224" s="1097">
        <f t="shared" si="47"/>
        <v>1</v>
      </c>
      <c r="L224" s="1106"/>
      <c r="M224" s="1097">
        <f t="shared" si="48"/>
        <v>1</v>
      </c>
      <c r="N224" s="1106"/>
      <c r="O224" s="1097">
        <f t="shared" si="49"/>
        <v>1</v>
      </c>
      <c r="P224" s="1106"/>
      <c r="Q224" s="1097">
        <f t="shared" si="50"/>
        <v>1</v>
      </c>
      <c r="R224" s="1157">
        <f t="shared" si="51"/>
        <v>0</v>
      </c>
      <c r="S224" s="1096">
        <f t="shared" si="52"/>
        <v>0</v>
      </c>
    </row>
    <row r="225" spans="1:19">
      <c r="A225" s="1104"/>
      <c r="B225" s="1105"/>
      <c r="C225" s="1097">
        <f t="shared" si="43"/>
        <v>1</v>
      </c>
      <c r="D225" s="1106"/>
      <c r="E225" s="1097">
        <f t="shared" si="44"/>
        <v>1</v>
      </c>
      <c r="F225" s="1106"/>
      <c r="G225" s="1097">
        <f t="shared" si="45"/>
        <v>1</v>
      </c>
      <c r="H225" s="1106"/>
      <c r="I225" s="1097">
        <f t="shared" si="46"/>
        <v>1</v>
      </c>
      <c r="J225" s="1106"/>
      <c r="K225" s="1097">
        <f t="shared" si="47"/>
        <v>1</v>
      </c>
      <c r="L225" s="1106"/>
      <c r="M225" s="1097">
        <f t="shared" si="48"/>
        <v>1</v>
      </c>
      <c r="N225" s="1106"/>
      <c r="O225" s="1097">
        <f t="shared" si="49"/>
        <v>1</v>
      </c>
      <c r="P225" s="1106"/>
      <c r="Q225" s="1097">
        <f t="shared" si="50"/>
        <v>1</v>
      </c>
      <c r="R225" s="1157">
        <f t="shared" si="51"/>
        <v>0</v>
      </c>
      <c r="S225" s="1096">
        <f t="shared" si="52"/>
        <v>0</v>
      </c>
    </row>
    <row r="226" spans="1:19">
      <c r="A226" s="1104"/>
      <c r="B226" s="1105"/>
      <c r="C226" s="1097">
        <f t="shared" si="43"/>
        <v>1</v>
      </c>
      <c r="D226" s="1106"/>
      <c r="E226" s="1097">
        <f t="shared" si="44"/>
        <v>1</v>
      </c>
      <c r="F226" s="1106"/>
      <c r="G226" s="1097">
        <f t="shared" si="45"/>
        <v>1</v>
      </c>
      <c r="H226" s="1106"/>
      <c r="I226" s="1097">
        <f t="shared" si="46"/>
        <v>1</v>
      </c>
      <c r="J226" s="1106"/>
      <c r="K226" s="1097">
        <f t="shared" si="47"/>
        <v>1</v>
      </c>
      <c r="L226" s="1106"/>
      <c r="M226" s="1097">
        <f t="shared" si="48"/>
        <v>1</v>
      </c>
      <c r="N226" s="1106"/>
      <c r="O226" s="1097">
        <f t="shared" si="49"/>
        <v>1</v>
      </c>
      <c r="P226" s="1106"/>
      <c r="Q226" s="1097">
        <f t="shared" si="50"/>
        <v>1</v>
      </c>
      <c r="R226" s="1157">
        <f t="shared" si="51"/>
        <v>0</v>
      </c>
      <c r="S226" s="1096">
        <f t="shared" si="52"/>
        <v>0</v>
      </c>
    </row>
    <row r="227" spans="1:19">
      <c r="A227" s="1104"/>
      <c r="B227" s="1105"/>
      <c r="C227" s="1097">
        <f t="shared" si="43"/>
        <v>1</v>
      </c>
      <c r="D227" s="1106"/>
      <c r="E227" s="1097">
        <f t="shared" si="44"/>
        <v>1</v>
      </c>
      <c r="F227" s="1106"/>
      <c r="G227" s="1097">
        <f t="shared" si="45"/>
        <v>1</v>
      </c>
      <c r="H227" s="1106"/>
      <c r="I227" s="1097">
        <f t="shared" si="46"/>
        <v>1</v>
      </c>
      <c r="J227" s="1106"/>
      <c r="K227" s="1097">
        <f t="shared" si="47"/>
        <v>1</v>
      </c>
      <c r="L227" s="1106"/>
      <c r="M227" s="1097">
        <f t="shared" si="48"/>
        <v>1</v>
      </c>
      <c r="N227" s="1106"/>
      <c r="O227" s="1097">
        <f t="shared" si="49"/>
        <v>1</v>
      </c>
      <c r="P227" s="1106"/>
      <c r="Q227" s="1097">
        <f t="shared" si="50"/>
        <v>1</v>
      </c>
      <c r="R227" s="1157">
        <f t="shared" si="51"/>
        <v>0</v>
      </c>
      <c r="S227" s="1096">
        <f t="shared" si="52"/>
        <v>0</v>
      </c>
    </row>
    <row r="228" spans="1:19">
      <c r="A228" s="1104"/>
      <c r="B228" s="1105"/>
      <c r="C228" s="1097">
        <f t="shared" si="43"/>
        <v>1</v>
      </c>
      <c r="D228" s="1106"/>
      <c r="E228" s="1097">
        <f t="shared" si="44"/>
        <v>1</v>
      </c>
      <c r="F228" s="1106"/>
      <c r="G228" s="1097">
        <f t="shared" si="45"/>
        <v>1</v>
      </c>
      <c r="H228" s="1106"/>
      <c r="I228" s="1097">
        <f t="shared" si="46"/>
        <v>1</v>
      </c>
      <c r="J228" s="1106"/>
      <c r="K228" s="1097">
        <f t="shared" si="47"/>
        <v>1</v>
      </c>
      <c r="L228" s="1106"/>
      <c r="M228" s="1097">
        <f t="shared" si="48"/>
        <v>1</v>
      </c>
      <c r="N228" s="1106"/>
      <c r="O228" s="1097">
        <f t="shared" si="49"/>
        <v>1</v>
      </c>
      <c r="P228" s="1106"/>
      <c r="Q228" s="1097">
        <f t="shared" si="50"/>
        <v>1</v>
      </c>
      <c r="R228" s="1157">
        <f t="shared" si="51"/>
        <v>0</v>
      </c>
      <c r="S228" s="1096">
        <f t="shared" si="52"/>
        <v>0</v>
      </c>
    </row>
    <row r="229" spans="1:19">
      <c r="A229" s="1104"/>
      <c r="B229" s="1105"/>
      <c r="C229" s="1097">
        <f t="shared" si="43"/>
        <v>1</v>
      </c>
      <c r="D229" s="1106"/>
      <c r="E229" s="1097">
        <f t="shared" si="44"/>
        <v>1</v>
      </c>
      <c r="F229" s="1106"/>
      <c r="G229" s="1097">
        <f t="shared" si="45"/>
        <v>1</v>
      </c>
      <c r="H229" s="1106"/>
      <c r="I229" s="1097">
        <f t="shared" si="46"/>
        <v>1</v>
      </c>
      <c r="J229" s="1106"/>
      <c r="K229" s="1097">
        <f t="shared" si="47"/>
        <v>1</v>
      </c>
      <c r="L229" s="1106"/>
      <c r="M229" s="1097">
        <f t="shared" si="48"/>
        <v>1</v>
      </c>
      <c r="N229" s="1106"/>
      <c r="O229" s="1097">
        <f t="shared" si="49"/>
        <v>1</v>
      </c>
      <c r="P229" s="1106"/>
      <c r="Q229" s="1097">
        <f t="shared" si="50"/>
        <v>1</v>
      </c>
      <c r="R229" s="1157">
        <f t="shared" si="51"/>
        <v>0</v>
      </c>
      <c r="S229" s="1096">
        <f t="shared" si="52"/>
        <v>0</v>
      </c>
    </row>
    <row r="230" spans="1:19">
      <c r="A230" s="1104"/>
      <c r="B230" s="1105"/>
      <c r="C230" s="1097">
        <f t="shared" si="43"/>
        <v>1</v>
      </c>
      <c r="D230" s="1106"/>
      <c r="E230" s="1097">
        <f t="shared" si="44"/>
        <v>1</v>
      </c>
      <c r="F230" s="1106"/>
      <c r="G230" s="1097">
        <f t="shared" si="45"/>
        <v>1</v>
      </c>
      <c r="H230" s="1106"/>
      <c r="I230" s="1097">
        <f t="shared" si="46"/>
        <v>1</v>
      </c>
      <c r="J230" s="1106"/>
      <c r="K230" s="1097">
        <f t="shared" si="47"/>
        <v>1</v>
      </c>
      <c r="L230" s="1106"/>
      <c r="M230" s="1097">
        <f t="shared" si="48"/>
        <v>1</v>
      </c>
      <c r="N230" s="1106"/>
      <c r="O230" s="1097">
        <f t="shared" si="49"/>
        <v>1</v>
      </c>
      <c r="P230" s="1106"/>
      <c r="Q230" s="1097">
        <f t="shared" si="50"/>
        <v>1</v>
      </c>
      <c r="R230" s="1157">
        <f t="shared" si="51"/>
        <v>0</v>
      </c>
      <c r="S230" s="1096">
        <f t="shared" si="52"/>
        <v>0</v>
      </c>
    </row>
    <row r="231" spans="1:19">
      <c r="A231" s="1104"/>
      <c r="B231" s="1105"/>
      <c r="C231" s="1097">
        <f t="shared" si="43"/>
        <v>1</v>
      </c>
      <c r="D231" s="1106"/>
      <c r="E231" s="1097">
        <f t="shared" si="44"/>
        <v>1</v>
      </c>
      <c r="F231" s="1106"/>
      <c r="G231" s="1097">
        <f t="shared" si="45"/>
        <v>1</v>
      </c>
      <c r="H231" s="1106"/>
      <c r="I231" s="1097">
        <f t="shared" si="46"/>
        <v>1</v>
      </c>
      <c r="J231" s="1106"/>
      <c r="K231" s="1097">
        <f t="shared" si="47"/>
        <v>1</v>
      </c>
      <c r="L231" s="1106"/>
      <c r="M231" s="1097">
        <f t="shared" si="48"/>
        <v>1</v>
      </c>
      <c r="N231" s="1106"/>
      <c r="O231" s="1097">
        <f t="shared" si="49"/>
        <v>1</v>
      </c>
      <c r="P231" s="1106"/>
      <c r="Q231" s="1097">
        <f t="shared" si="50"/>
        <v>1</v>
      </c>
      <c r="R231" s="1157">
        <f t="shared" si="51"/>
        <v>0</v>
      </c>
      <c r="S231" s="1096">
        <f t="shared" si="52"/>
        <v>0</v>
      </c>
    </row>
    <row r="232" spans="1:19">
      <c r="A232" s="1104"/>
      <c r="B232" s="1105"/>
      <c r="C232" s="1097">
        <f t="shared" si="43"/>
        <v>1</v>
      </c>
      <c r="D232" s="1106"/>
      <c r="E232" s="1097">
        <f t="shared" si="44"/>
        <v>1</v>
      </c>
      <c r="F232" s="1106"/>
      <c r="G232" s="1097">
        <f t="shared" si="45"/>
        <v>1</v>
      </c>
      <c r="H232" s="1106"/>
      <c r="I232" s="1097">
        <f t="shared" si="46"/>
        <v>1</v>
      </c>
      <c r="J232" s="1106"/>
      <c r="K232" s="1097">
        <f t="shared" si="47"/>
        <v>1</v>
      </c>
      <c r="L232" s="1106"/>
      <c r="M232" s="1097">
        <f t="shared" si="48"/>
        <v>1</v>
      </c>
      <c r="N232" s="1106"/>
      <c r="O232" s="1097">
        <f t="shared" si="49"/>
        <v>1</v>
      </c>
      <c r="P232" s="1106"/>
      <c r="Q232" s="1097">
        <f t="shared" si="50"/>
        <v>1</v>
      </c>
      <c r="R232" s="1157">
        <f t="shared" si="51"/>
        <v>0</v>
      </c>
      <c r="S232" s="1096">
        <f t="shared" si="52"/>
        <v>0</v>
      </c>
    </row>
    <row r="233" spans="1:19">
      <c r="A233" s="1104"/>
      <c r="B233" s="1105"/>
      <c r="C233" s="1097">
        <f t="shared" si="43"/>
        <v>1</v>
      </c>
      <c r="D233" s="1106"/>
      <c r="E233" s="1097">
        <f t="shared" si="44"/>
        <v>1</v>
      </c>
      <c r="F233" s="1106"/>
      <c r="G233" s="1097">
        <f t="shared" si="45"/>
        <v>1</v>
      </c>
      <c r="H233" s="1106"/>
      <c r="I233" s="1097">
        <f t="shared" si="46"/>
        <v>1</v>
      </c>
      <c r="J233" s="1106"/>
      <c r="K233" s="1097">
        <f t="shared" si="47"/>
        <v>1</v>
      </c>
      <c r="L233" s="1106"/>
      <c r="M233" s="1097">
        <f t="shared" si="48"/>
        <v>1</v>
      </c>
      <c r="N233" s="1106"/>
      <c r="O233" s="1097">
        <f t="shared" si="49"/>
        <v>1</v>
      </c>
      <c r="P233" s="1106"/>
      <c r="Q233" s="1097">
        <f t="shared" si="50"/>
        <v>1</v>
      </c>
      <c r="R233" s="1157">
        <f t="shared" si="51"/>
        <v>0</v>
      </c>
      <c r="S233" s="1096">
        <f t="shared" si="52"/>
        <v>0</v>
      </c>
    </row>
    <row r="234" spans="1:19">
      <c r="A234" s="1104"/>
      <c r="B234" s="1105"/>
      <c r="C234" s="1097">
        <f t="shared" si="43"/>
        <v>1</v>
      </c>
      <c r="D234" s="1106"/>
      <c r="E234" s="1097">
        <f t="shared" si="44"/>
        <v>1</v>
      </c>
      <c r="F234" s="1106"/>
      <c r="G234" s="1097">
        <f t="shared" si="45"/>
        <v>1</v>
      </c>
      <c r="H234" s="1106"/>
      <c r="I234" s="1097">
        <f t="shared" si="46"/>
        <v>1</v>
      </c>
      <c r="J234" s="1106"/>
      <c r="K234" s="1097">
        <f t="shared" si="47"/>
        <v>1</v>
      </c>
      <c r="L234" s="1106"/>
      <c r="M234" s="1097">
        <f t="shared" si="48"/>
        <v>1</v>
      </c>
      <c r="N234" s="1106"/>
      <c r="O234" s="1097">
        <f t="shared" si="49"/>
        <v>1</v>
      </c>
      <c r="P234" s="1106"/>
      <c r="Q234" s="1097">
        <f t="shared" si="50"/>
        <v>1</v>
      </c>
      <c r="R234" s="1157">
        <f t="shared" si="51"/>
        <v>0</v>
      </c>
      <c r="S234" s="1096">
        <f t="shared" si="52"/>
        <v>0</v>
      </c>
    </row>
    <row r="235" spans="1:19">
      <c r="A235" s="1104"/>
      <c r="B235" s="1105"/>
      <c r="C235" s="1097">
        <f t="shared" si="43"/>
        <v>1</v>
      </c>
      <c r="D235" s="1106"/>
      <c r="E235" s="1097">
        <f t="shared" si="44"/>
        <v>1</v>
      </c>
      <c r="F235" s="1106"/>
      <c r="G235" s="1097">
        <f t="shared" si="45"/>
        <v>1</v>
      </c>
      <c r="H235" s="1106"/>
      <c r="I235" s="1097">
        <f t="shared" si="46"/>
        <v>1</v>
      </c>
      <c r="J235" s="1106"/>
      <c r="K235" s="1097">
        <f t="shared" si="47"/>
        <v>1</v>
      </c>
      <c r="L235" s="1106"/>
      <c r="M235" s="1097">
        <f t="shared" si="48"/>
        <v>1</v>
      </c>
      <c r="N235" s="1106"/>
      <c r="O235" s="1097">
        <f t="shared" si="49"/>
        <v>1</v>
      </c>
      <c r="P235" s="1106"/>
      <c r="Q235" s="1097">
        <f t="shared" si="50"/>
        <v>1</v>
      </c>
      <c r="R235" s="1157">
        <f t="shared" si="51"/>
        <v>0</v>
      </c>
      <c r="S235" s="1096">
        <f t="shared" si="52"/>
        <v>0</v>
      </c>
    </row>
    <row r="236" spans="1:19">
      <c r="A236" s="1104"/>
      <c r="B236" s="1105"/>
      <c r="C236" s="1097">
        <f t="shared" si="43"/>
        <v>1</v>
      </c>
      <c r="D236" s="1106"/>
      <c r="E236" s="1097">
        <f t="shared" si="44"/>
        <v>1</v>
      </c>
      <c r="F236" s="1106"/>
      <c r="G236" s="1097">
        <f t="shared" si="45"/>
        <v>1</v>
      </c>
      <c r="H236" s="1106"/>
      <c r="I236" s="1097">
        <f t="shared" si="46"/>
        <v>1</v>
      </c>
      <c r="J236" s="1106"/>
      <c r="K236" s="1097">
        <f t="shared" si="47"/>
        <v>1</v>
      </c>
      <c r="L236" s="1106"/>
      <c r="M236" s="1097">
        <f t="shared" si="48"/>
        <v>1</v>
      </c>
      <c r="N236" s="1106"/>
      <c r="O236" s="1097">
        <f t="shared" si="49"/>
        <v>1</v>
      </c>
      <c r="P236" s="1106"/>
      <c r="Q236" s="1097">
        <f t="shared" si="50"/>
        <v>1</v>
      </c>
      <c r="R236" s="1157">
        <f t="shared" si="51"/>
        <v>0</v>
      </c>
      <c r="S236" s="1096">
        <f t="shared" si="52"/>
        <v>0</v>
      </c>
    </row>
    <row r="237" spans="1:19">
      <c r="A237" s="1104"/>
      <c r="B237" s="1105"/>
      <c r="C237" s="1097">
        <f t="shared" si="43"/>
        <v>1</v>
      </c>
      <c r="D237" s="1106"/>
      <c r="E237" s="1097">
        <f t="shared" si="44"/>
        <v>1</v>
      </c>
      <c r="F237" s="1106"/>
      <c r="G237" s="1097">
        <f t="shared" si="45"/>
        <v>1</v>
      </c>
      <c r="H237" s="1106"/>
      <c r="I237" s="1097">
        <f t="shared" si="46"/>
        <v>1</v>
      </c>
      <c r="J237" s="1106"/>
      <c r="K237" s="1097">
        <f t="shared" si="47"/>
        <v>1</v>
      </c>
      <c r="L237" s="1106"/>
      <c r="M237" s="1097">
        <f t="shared" si="48"/>
        <v>1</v>
      </c>
      <c r="N237" s="1106"/>
      <c r="O237" s="1097">
        <f t="shared" si="49"/>
        <v>1</v>
      </c>
      <c r="P237" s="1106"/>
      <c r="Q237" s="1097">
        <f t="shared" si="50"/>
        <v>1</v>
      </c>
      <c r="R237" s="1157">
        <f t="shared" si="51"/>
        <v>0</v>
      </c>
      <c r="S237" s="1096">
        <f t="shared" si="52"/>
        <v>0</v>
      </c>
    </row>
    <row r="238" spans="1:19">
      <c r="A238" s="1104"/>
      <c r="B238" s="1105"/>
      <c r="C238" s="1097">
        <f t="shared" si="43"/>
        <v>1</v>
      </c>
      <c r="D238" s="1106"/>
      <c r="E238" s="1097">
        <f t="shared" si="44"/>
        <v>1</v>
      </c>
      <c r="F238" s="1106"/>
      <c r="G238" s="1097">
        <f t="shared" si="45"/>
        <v>1</v>
      </c>
      <c r="H238" s="1106"/>
      <c r="I238" s="1097">
        <f t="shared" si="46"/>
        <v>1</v>
      </c>
      <c r="J238" s="1106"/>
      <c r="K238" s="1097">
        <f t="shared" si="47"/>
        <v>1</v>
      </c>
      <c r="L238" s="1106"/>
      <c r="M238" s="1097">
        <f t="shared" si="48"/>
        <v>1</v>
      </c>
      <c r="N238" s="1106"/>
      <c r="O238" s="1097">
        <f t="shared" si="49"/>
        <v>1</v>
      </c>
      <c r="P238" s="1106"/>
      <c r="Q238" s="1097">
        <f t="shared" si="50"/>
        <v>1</v>
      </c>
      <c r="R238" s="1157">
        <f t="shared" si="51"/>
        <v>0</v>
      </c>
      <c r="S238" s="1096">
        <f t="shared" si="52"/>
        <v>0</v>
      </c>
    </row>
    <row r="239" spans="1:19">
      <c r="A239" s="1104"/>
      <c r="B239" s="1105"/>
      <c r="C239" s="1097">
        <f t="shared" si="43"/>
        <v>1</v>
      </c>
      <c r="D239" s="1106"/>
      <c r="E239" s="1097">
        <f t="shared" si="44"/>
        <v>1</v>
      </c>
      <c r="F239" s="1106"/>
      <c r="G239" s="1097">
        <f t="shared" si="45"/>
        <v>1</v>
      </c>
      <c r="H239" s="1106"/>
      <c r="I239" s="1097">
        <f t="shared" si="46"/>
        <v>1</v>
      </c>
      <c r="J239" s="1106"/>
      <c r="K239" s="1097">
        <f t="shared" si="47"/>
        <v>1</v>
      </c>
      <c r="L239" s="1106"/>
      <c r="M239" s="1097">
        <f t="shared" si="48"/>
        <v>1</v>
      </c>
      <c r="N239" s="1106"/>
      <c r="O239" s="1097">
        <f t="shared" si="49"/>
        <v>1</v>
      </c>
      <c r="P239" s="1106"/>
      <c r="Q239" s="1097">
        <f t="shared" si="50"/>
        <v>1</v>
      </c>
      <c r="R239" s="1157">
        <f t="shared" si="51"/>
        <v>0</v>
      </c>
      <c r="S239" s="1096">
        <f t="shared" si="52"/>
        <v>0</v>
      </c>
    </row>
    <row r="240" spans="1:19">
      <c r="A240" s="1104"/>
      <c r="B240" s="1105"/>
      <c r="C240" s="1097">
        <f t="shared" si="43"/>
        <v>1</v>
      </c>
      <c r="D240" s="1106"/>
      <c r="E240" s="1097">
        <f t="shared" si="44"/>
        <v>1</v>
      </c>
      <c r="F240" s="1106"/>
      <c r="G240" s="1097">
        <f t="shared" si="45"/>
        <v>1</v>
      </c>
      <c r="H240" s="1106"/>
      <c r="I240" s="1097">
        <f t="shared" si="46"/>
        <v>1</v>
      </c>
      <c r="J240" s="1106"/>
      <c r="K240" s="1097">
        <f t="shared" si="47"/>
        <v>1</v>
      </c>
      <c r="L240" s="1106"/>
      <c r="M240" s="1097">
        <f t="shared" si="48"/>
        <v>1</v>
      </c>
      <c r="N240" s="1106"/>
      <c r="O240" s="1097">
        <f t="shared" si="49"/>
        <v>1</v>
      </c>
      <c r="P240" s="1106"/>
      <c r="Q240" s="1097">
        <f t="shared" si="50"/>
        <v>1</v>
      </c>
      <c r="R240" s="1157">
        <f t="shared" si="51"/>
        <v>0</v>
      </c>
      <c r="S240" s="1096">
        <f t="shared" si="52"/>
        <v>0</v>
      </c>
    </row>
    <row r="241" spans="1:19">
      <c r="A241" s="1104"/>
      <c r="B241" s="1105"/>
      <c r="C241" s="1097">
        <f t="shared" si="43"/>
        <v>1</v>
      </c>
      <c r="D241" s="1106"/>
      <c r="E241" s="1097">
        <f t="shared" si="44"/>
        <v>1</v>
      </c>
      <c r="F241" s="1106"/>
      <c r="G241" s="1097">
        <f t="shared" si="45"/>
        <v>1</v>
      </c>
      <c r="H241" s="1106"/>
      <c r="I241" s="1097">
        <f t="shared" si="46"/>
        <v>1</v>
      </c>
      <c r="J241" s="1106"/>
      <c r="K241" s="1097">
        <f t="shared" si="47"/>
        <v>1</v>
      </c>
      <c r="L241" s="1106"/>
      <c r="M241" s="1097">
        <f t="shared" si="48"/>
        <v>1</v>
      </c>
      <c r="N241" s="1106"/>
      <c r="O241" s="1097">
        <f t="shared" si="49"/>
        <v>1</v>
      </c>
      <c r="P241" s="1106"/>
      <c r="Q241" s="1097">
        <f t="shared" si="50"/>
        <v>1</v>
      </c>
      <c r="R241" s="1157">
        <f t="shared" si="51"/>
        <v>0</v>
      </c>
      <c r="S241" s="1096">
        <f t="shared" si="52"/>
        <v>0</v>
      </c>
    </row>
    <row r="242" spans="1:19">
      <c r="A242" s="1104"/>
      <c r="B242" s="1105"/>
      <c r="C242" s="1097">
        <f t="shared" si="43"/>
        <v>1</v>
      </c>
      <c r="D242" s="1106"/>
      <c r="E242" s="1097">
        <f t="shared" si="44"/>
        <v>1</v>
      </c>
      <c r="F242" s="1106"/>
      <c r="G242" s="1097">
        <f t="shared" si="45"/>
        <v>1</v>
      </c>
      <c r="H242" s="1106"/>
      <c r="I242" s="1097">
        <f t="shared" si="46"/>
        <v>1</v>
      </c>
      <c r="J242" s="1106"/>
      <c r="K242" s="1097">
        <f t="shared" si="47"/>
        <v>1</v>
      </c>
      <c r="L242" s="1106"/>
      <c r="M242" s="1097">
        <f t="shared" si="48"/>
        <v>1</v>
      </c>
      <c r="N242" s="1106"/>
      <c r="O242" s="1097">
        <f t="shared" si="49"/>
        <v>1</v>
      </c>
      <c r="P242" s="1106"/>
      <c r="Q242" s="1097">
        <f t="shared" si="50"/>
        <v>1</v>
      </c>
      <c r="R242" s="1157">
        <f t="shared" si="51"/>
        <v>0</v>
      </c>
      <c r="S242" s="1096">
        <f t="shared" si="52"/>
        <v>0</v>
      </c>
    </row>
    <row r="243" spans="1:19">
      <c r="A243" s="1104"/>
      <c r="B243" s="1105"/>
      <c r="C243" s="1097">
        <f t="shared" si="43"/>
        <v>1</v>
      </c>
      <c r="D243" s="1106"/>
      <c r="E243" s="1097">
        <f t="shared" si="44"/>
        <v>1</v>
      </c>
      <c r="F243" s="1106"/>
      <c r="G243" s="1097">
        <f t="shared" si="45"/>
        <v>1</v>
      </c>
      <c r="H243" s="1106"/>
      <c r="I243" s="1097">
        <f t="shared" si="46"/>
        <v>1</v>
      </c>
      <c r="J243" s="1106"/>
      <c r="K243" s="1097">
        <f t="shared" si="47"/>
        <v>1</v>
      </c>
      <c r="L243" s="1106"/>
      <c r="M243" s="1097">
        <f t="shared" si="48"/>
        <v>1</v>
      </c>
      <c r="N243" s="1106"/>
      <c r="O243" s="1097">
        <f t="shared" si="49"/>
        <v>1</v>
      </c>
      <c r="P243" s="1106"/>
      <c r="Q243" s="1097">
        <f t="shared" si="50"/>
        <v>1</v>
      </c>
      <c r="R243" s="1157">
        <f t="shared" si="51"/>
        <v>0</v>
      </c>
      <c r="S243" s="1096">
        <f t="shared" si="52"/>
        <v>0</v>
      </c>
    </row>
    <row r="244" spans="1:19">
      <c r="A244" s="1104"/>
      <c r="B244" s="1105"/>
      <c r="C244" s="1097">
        <f t="shared" si="43"/>
        <v>1</v>
      </c>
      <c r="D244" s="1106"/>
      <c r="E244" s="1097">
        <f t="shared" si="44"/>
        <v>1</v>
      </c>
      <c r="F244" s="1106"/>
      <c r="G244" s="1097">
        <f t="shared" si="45"/>
        <v>1</v>
      </c>
      <c r="H244" s="1106"/>
      <c r="I244" s="1097">
        <f t="shared" si="46"/>
        <v>1</v>
      </c>
      <c r="J244" s="1106"/>
      <c r="K244" s="1097">
        <f t="shared" si="47"/>
        <v>1</v>
      </c>
      <c r="L244" s="1106"/>
      <c r="M244" s="1097">
        <f t="shared" si="48"/>
        <v>1</v>
      </c>
      <c r="N244" s="1106"/>
      <c r="O244" s="1097">
        <f t="shared" si="49"/>
        <v>1</v>
      </c>
      <c r="P244" s="1106"/>
      <c r="Q244" s="1097">
        <f t="shared" si="50"/>
        <v>1</v>
      </c>
      <c r="R244" s="1157">
        <f t="shared" si="51"/>
        <v>0</v>
      </c>
      <c r="S244" s="1096">
        <f t="shared" si="52"/>
        <v>0</v>
      </c>
    </row>
    <row r="245" spans="1:19">
      <c r="A245" s="1104"/>
      <c r="B245" s="1105"/>
      <c r="C245" s="1097">
        <f t="shared" si="43"/>
        <v>1</v>
      </c>
      <c r="D245" s="1106"/>
      <c r="E245" s="1097">
        <f t="shared" si="44"/>
        <v>1</v>
      </c>
      <c r="F245" s="1106"/>
      <c r="G245" s="1097">
        <f t="shared" si="45"/>
        <v>1</v>
      </c>
      <c r="H245" s="1106"/>
      <c r="I245" s="1097">
        <f t="shared" si="46"/>
        <v>1</v>
      </c>
      <c r="J245" s="1106"/>
      <c r="K245" s="1097">
        <f t="shared" si="47"/>
        <v>1</v>
      </c>
      <c r="L245" s="1106"/>
      <c r="M245" s="1097">
        <f t="shared" si="48"/>
        <v>1</v>
      </c>
      <c r="N245" s="1106"/>
      <c r="O245" s="1097">
        <f t="shared" si="49"/>
        <v>1</v>
      </c>
      <c r="P245" s="1106"/>
      <c r="Q245" s="1097">
        <f t="shared" si="50"/>
        <v>1</v>
      </c>
      <c r="R245" s="1157">
        <f t="shared" si="51"/>
        <v>0</v>
      </c>
      <c r="S245" s="1096">
        <f t="shared" si="52"/>
        <v>0</v>
      </c>
    </row>
    <row r="246" spans="1:19">
      <c r="A246" s="1104"/>
      <c r="B246" s="1105"/>
      <c r="C246" s="1097">
        <f t="shared" si="43"/>
        <v>1</v>
      </c>
      <c r="D246" s="1106"/>
      <c r="E246" s="1097">
        <f t="shared" si="44"/>
        <v>1</v>
      </c>
      <c r="F246" s="1106"/>
      <c r="G246" s="1097">
        <f t="shared" si="45"/>
        <v>1</v>
      </c>
      <c r="H246" s="1106"/>
      <c r="I246" s="1097">
        <f t="shared" si="46"/>
        <v>1</v>
      </c>
      <c r="J246" s="1106"/>
      <c r="K246" s="1097">
        <f t="shared" si="47"/>
        <v>1</v>
      </c>
      <c r="L246" s="1106"/>
      <c r="M246" s="1097">
        <f t="shared" si="48"/>
        <v>1</v>
      </c>
      <c r="N246" s="1106"/>
      <c r="O246" s="1097">
        <f t="shared" si="49"/>
        <v>1</v>
      </c>
      <c r="P246" s="1106"/>
      <c r="Q246" s="1097">
        <f t="shared" si="50"/>
        <v>1</v>
      </c>
      <c r="R246" s="1157">
        <f t="shared" si="51"/>
        <v>0</v>
      </c>
      <c r="S246" s="1096">
        <f t="shared" si="52"/>
        <v>0</v>
      </c>
    </row>
    <row r="247" spans="1:19">
      <c r="A247" s="1104"/>
      <c r="B247" s="1105"/>
      <c r="C247" s="1097">
        <f t="shared" si="43"/>
        <v>1</v>
      </c>
      <c r="D247" s="1106"/>
      <c r="E247" s="1097">
        <f t="shared" si="44"/>
        <v>1</v>
      </c>
      <c r="F247" s="1106"/>
      <c r="G247" s="1097">
        <f t="shared" si="45"/>
        <v>1</v>
      </c>
      <c r="H247" s="1106"/>
      <c r="I247" s="1097">
        <f t="shared" si="46"/>
        <v>1</v>
      </c>
      <c r="J247" s="1106"/>
      <c r="K247" s="1097">
        <f t="shared" si="47"/>
        <v>1</v>
      </c>
      <c r="L247" s="1106"/>
      <c r="M247" s="1097">
        <f t="shared" si="48"/>
        <v>1</v>
      </c>
      <c r="N247" s="1106"/>
      <c r="O247" s="1097">
        <f t="shared" si="49"/>
        <v>1</v>
      </c>
      <c r="P247" s="1106"/>
      <c r="Q247" s="1097">
        <f t="shared" si="50"/>
        <v>1</v>
      </c>
      <c r="R247" s="1157">
        <f t="shared" si="51"/>
        <v>0</v>
      </c>
      <c r="S247" s="1096">
        <f t="shared" si="52"/>
        <v>0</v>
      </c>
    </row>
    <row r="248" spans="1:19">
      <c r="A248" s="1104"/>
      <c r="B248" s="1105"/>
      <c r="C248" s="1097">
        <f t="shared" si="43"/>
        <v>1</v>
      </c>
      <c r="D248" s="1106"/>
      <c r="E248" s="1097">
        <f t="shared" si="44"/>
        <v>1</v>
      </c>
      <c r="F248" s="1106"/>
      <c r="G248" s="1097">
        <f t="shared" si="45"/>
        <v>1</v>
      </c>
      <c r="H248" s="1106"/>
      <c r="I248" s="1097">
        <f t="shared" si="46"/>
        <v>1</v>
      </c>
      <c r="J248" s="1106"/>
      <c r="K248" s="1097">
        <f t="shared" si="47"/>
        <v>1</v>
      </c>
      <c r="L248" s="1106"/>
      <c r="M248" s="1097">
        <f t="shared" si="48"/>
        <v>1</v>
      </c>
      <c r="N248" s="1106"/>
      <c r="O248" s="1097">
        <f t="shared" si="49"/>
        <v>1</v>
      </c>
      <c r="P248" s="1106"/>
      <c r="Q248" s="1097">
        <f t="shared" si="50"/>
        <v>1</v>
      </c>
      <c r="R248" s="1157">
        <f t="shared" si="51"/>
        <v>0</v>
      </c>
      <c r="S248" s="1096">
        <f t="shared" si="52"/>
        <v>0</v>
      </c>
    </row>
    <row r="249" spans="1:19">
      <c r="A249" s="1104"/>
      <c r="B249" s="1105"/>
      <c r="C249" s="1097">
        <f t="shared" si="43"/>
        <v>1</v>
      </c>
      <c r="D249" s="1106"/>
      <c r="E249" s="1097">
        <f t="shared" si="44"/>
        <v>1</v>
      </c>
      <c r="F249" s="1106"/>
      <c r="G249" s="1097">
        <f t="shared" si="45"/>
        <v>1</v>
      </c>
      <c r="H249" s="1106"/>
      <c r="I249" s="1097">
        <f t="shared" si="46"/>
        <v>1</v>
      </c>
      <c r="J249" s="1106"/>
      <c r="K249" s="1097">
        <f t="shared" si="47"/>
        <v>1</v>
      </c>
      <c r="L249" s="1106"/>
      <c r="M249" s="1097">
        <f t="shared" si="48"/>
        <v>1</v>
      </c>
      <c r="N249" s="1106"/>
      <c r="O249" s="1097">
        <f t="shared" si="49"/>
        <v>1</v>
      </c>
      <c r="P249" s="1106"/>
      <c r="Q249" s="1097">
        <f t="shared" si="50"/>
        <v>1</v>
      </c>
      <c r="R249" s="1157">
        <f t="shared" si="51"/>
        <v>0</v>
      </c>
      <c r="S249" s="1096">
        <f t="shared" si="52"/>
        <v>0</v>
      </c>
    </row>
    <row r="250" spans="1:19">
      <c r="A250" s="1104"/>
      <c r="B250" s="1105"/>
      <c r="C250" s="1097">
        <f t="shared" si="43"/>
        <v>1</v>
      </c>
      <c r="D250" s="1106"/>
      <c r="E250" s="1097">
        <f t="shared" si="44"/>
        <v>1</v>
      </c>
      <c r="F250" s="1106"/>
      <c r="G250" s="1097">
        <f t="shared" si="45"/>
        <v>1</v>
      </c>
      <c r="H250" s="1106"/>
      <c r="I250" s="1097">
        <f t="shared" si="46"/>
        <v>1</v>
      </c>
      <c r="J250" s="1106"/>
      <c r="K250" s="1097">
        <f t="shared" si="47"/>
        <v>1</v>
      </c>
      <c r="L250" s="1106"/>
      <c r="M250" s="1097">
        <f t="shared" si="48"/>
        <v>1</v>
      </c>
      <c r="N250" s="1106"/>
      <c r="O250" s="1097">
        <f t="shared" si="49"/>
        <v>1</v>
      </c>
      <c r="P250" s="1106"/>
      <c r="Q250" s="1097">
        <f t="shared" si="50"/>
        <v>1</v>
      </c>
      <c r="R250" s="1157">
        <f t="shared" si="51"/>
        <v>0</v>
      </c>
      <c r="S250" s="1096">
        <f t="shared" si="52"/>
        <v>0</v>
      </c>
    </row>
    <row r="251" spans="1:19">
      <c r="A251" s="1104"/>
      <c r="B251" s="1105"/>
      <c r="C251" s="1097">
        <f t="shared" si="43"/>
        <v>1</v>
      </c>
      <c r="D251" s="1106"/>
      <c r="E251" s="1097">
        <f t="shared" si="44"/>
        <v>1</v>
      </c>
      <c r="F251" s="1106"/>
      <c r="G251" s="1097">
        <f t="shared" si="45"/>
        <v>1</v>
      </c>
      <c r="H251" s="1106"/>
      <c r="I251" s="1097">
        <f t="shared" si="46"/>
        <v>1</v>
      </c>
      <c r="J251" s="1106"/>
      <c r="K251" s="1097">
        <f t="shared" si="47"/>
        <v>1</v>
      </c>
      <c r="L251" s="1106"/>
      <c r="M251" s="1097">
        <f t="shared" si="48"/>
        <v>1</v>
      </c>
      <c r="N251" s="1106"/>
      <c r="O251" s="1097">
        <f t="shared" si="49"/>
        <v>1</v>
      </c>
      <c r="P251" s="1106"/>
      <c r="Q251" s="1097">
        <f t="shared" si="50"/>
        <v>1</v>
      </c>
      <c r="R251" s="1157">
        <f t="shared" si="51"/>
        <v>0</v>
      </c>
      <c r="S251" s="1096">
        <f t="shared" si="52"/>
        <v>0</v>
      </c>
    </row>
    <row r="252" spans="1:19">
      <c r="A252" s="1104"/>
      <c r="B252" s="1105"/>
      <c r="C252" s="1097">
        <f t="shared" si="43"/>
        <v>1</v>
      </c>
      <c r="D252" s="1106"/>
      <c r="E252" s="1097">
        <f t="shared" si="44"/>
        <v>1</v>
      </c>
      <c r="F252" s="1106"/>
      <c r="G252" s="1097">
        <f t="shared" si="45"/>
        <v>1</v>
      </c>
      <c r="H252" s="1106"/>
      <c r="I252" s="1097">
        <f t="shared" si="46"/>
        <v>1</v>
      </c>
      <c r="J252" s="1106"/>
      <c r="K252" s="1097">
        <f t="shared" si="47"/>
        <v>1</v>
      </c>
      <c r="L252" s="1106"/>
      <c r="M252" s="1097">
        <f t="shared" si="48"/>
        <v>1</v>
      </c>
      <c r="N252" s="1106"/>
      <c r="O252" s="1097">
        <f t="shared" si="49"/>
        <v>1</v>
      </c>
      <c r="P252" s="1106"/>
      <c r="Q252" s="1097">
        <f t="shared" si="50"/>
        <v>1</v>
      </c>
      <c r="R252" s="1157">
        <f t="shared" si="51"/>
        <v>0</v>
      </c>
      <c r="S252" s="1096">
        <f t="shared" si="52"/>
        <v>0</v>
      </c>
    </row>
    <row r="253" spans="1:19">
      <c r="A253" s="1104"/>
      <c r="B253" s="1105"/>
      <c r="C253" s="1097">
        <f t="shared" si="43"/>
        <v>1</v>
      </c>
      <c r="D253" s="1106"/>
      <c r="E253" s="1097">
        <f t="shared" si="44"/>
        <v>1</v>
      </c>
      <c r="F253" s="1106"/>
      <c r="G253" s="1097">
        <f t="shared" si="45"/>
        <v>1</v>
      </c>
      <c r="H253" s="1106"/>
      <c r="I253" s="1097">
        <f t="shared" si="46"/>
        <v>1</v>
      </c>
      <c r="J253" s="1106"/>
      <c r="K253" s="1097">
        <f t="shared" si="47"/>
        <v>1</v>
      </c>
      <c r="L253" s="1106"/>
      <c r="M253" s="1097">
        <f t="shared" si="48"/>
        <v>1</v>
      </c>
      <c r="N253" s="1106"/>
      <c r="O253" s="1097">
        <f t="shared" si="49"/>
        <v>1</v>
      </c>
      <c r="P253" s="1106"/>
      <c r="Q253" s="1097">
        <f t="shared" si="50"/>
        <v>1</v>
      </c>
      <c r="R253" s="1157">
        <f t="shared" si="51"/>
        <v>0</v>
      </c>
      <c r="S253" s="1096">
        <f t="shared" si="52"/>
        <v>0</v>
      </c>
    </row>
    <row r="254" spans="1:19">
      <c r="A254" s="1104"/>
      <c r="B254" s="1105"/>
      <c r="C254" s="1097">
        <f t="shared" si="43"/>
        <v>1</v>
      </c>
      <c r="D254" s="1106"/>
      <c r="E254" s="1097">
        <f t="shared" si="44"/>
        <v>1</v>
      </c>
      <c r="F254" s="1106"/>
      <c r="G254" s="1097">
        <f t="shared" si="45"/>
        <v>1</v>
      </c>
      <c r="H254" s="1106"/>
      <c r="I254" s="1097">
        <f t="shared" si="46"/>
        <v>1</v>
      </c>
      <c r="J254" s="1106"/>
      <c r="K254" s="1097">
        <f t="shared" si="47"/>
        <v>1</v>
      </c>
      <c r="L254" s="1106"/>
      <c r="M254" s="1097">
        <f t="shared" si="48"/>
        <v>1</v>
      </c>
      <c r="N254" s="1106"/>
      <c r="O254" s="1097">
        <f t="shared" si="49"/>
        <v>1</v>
      </c>
      <c r="P254" s="1106"/>
      <c r="Q254" s="1097">
        <f t="shared" si="50"/>
        <v>1</v>
      </c>
      <c r="R254" s="1157">
        <f t="shared" si="51"/>
        <v>0</v>
      </c>
      <c r="S254" s="1096">
        <f t="shared" si="52"/>
        <v>0</v>
      </c>
    </row>
    <row r="255" spans="1:19">
      <c r="A255" s="1104"/>
      <c r="B255" s="1105"/>
      <c r="C255" s="1097">
        <f t="shared" si="43"/>
        <v>1</v>
      </c>
      <c r="D255" s="1106"/>
      <c r="E255" s="1097">
        <f t="shared" si="44"/>
        <v>1</v>
      </c>
      <c r="F255" s="1106"/>
      <c r="G255" s="1097">
        <f t="shared" si="45"/>
        <v>1</v>
      </c>
      <c r="H255" s="1106"/>
      <c r="I255" s="1097">
        <f t="shared" si="46"/>
        <v>1</v>
      </c>
      <c r="J255" s="1106"/>
      <c r="K255" s="1097">
        <f t="shared" si="47"/>
        <v>1</v>
      </c>
      <c r="L255" s="1106"/>
      <c r="M255" s="1097">
        <f t="shared" si="48"/>
        <v>1</v>
      </c>
      <c r="N255" s="1106"/>
      <c r="O255" s="1097">
        <f t="shared" si="49"/>
        <v>1</v>
      </c>
      <c r="P255" s="1106"/>
      <c r="Q255" s="1097">
        <f t="shared" si="50"/>
        <v>1</v>
      </c>
      <c r="R255" s="1157">
        <f t="shared" si="51"/>
        <v>0</v>
      </c>
      <c r="S255" s="1096">
        <f t="shared" si="52"/>
        <v>0</v>
      </c>
    </row>
    <row r="256" spans="1:19">
      <c r="A256" s="1104"/>
      <c r="B256" s="1105"/>
      <c r="C256" s="1097">
        <f t="shared" si="43"/>
        <v>1</v>
      </c>
      <c r="D256" s="1106"/>
      <c r="E256" s="1097">
        <f t="shared" si="44"/>
        <v>1</v>
      </c>
      <c r="F256" s="1106"/>
      <c r="G256" s="1097">
        <f t="shared" si="45"/>
        <v>1</v>
      </c>
      <c r="H256" s="1106"/>
      <c r="I256" s="1097">
        <f t="shared" si="46"/>
        <v>1</v>
      </c>
      <c r="J256" s="1106"/>
      <c r="K256" s="1097">
        <f t="shared" si="47"/>
        <v>1</v>
      </c>
      <c r="L256" s="1106"/>
      <c r="M256" s="1097">
        <f t="shared" si="48"/>
        <v>1</v>
      </c>
      <c r="N256" s="1106"/>
      <c r="O256" s="1097">
        <f t="shared" si="49"/>
        <v>1</v>
      </c>
      <c r="P256" s="1106"/>
      <c r="Q256" s="1097">
        <f t="shared" si="50"/>
        <v>1</v>
      </c>
      <c r="R256" s="1157">
        <f t="shared" si="51"/>
        <v>0</v>
      </c>
      <c r="S256" s="1096">
        <f t="shared" si="52"/>
        <v>0</v>
      </c>
    </row>
    <row r="257" spans="1:19">
      <c r="A257" s="1104"/>
      <c r="B257" s="1105"/>
      <c r="C257" s="1097">
        <f t="shared" si="43"/>
        <v>1</v>
      </c>
      <c r="D257" s="1106"/>
      <c r="E257" s="1097">
        <f t="shared" si="44"/>
        <v>1</v>
      </c>
      <c r="F257" s="1106"/>
      <c r="G257" s="1097">
        <f t="shared" si="45"/>
        <v>1</v>
      </c>
      <c r="H257" s="1106"/>
      <c r="I257" s="1097">
        <f t="shared" si="46"/>
        <v>1</v>
      </c>
      <c r="J257" s="1106"/>
      <c r="K257" s="1097">
        <f t="shared" si="47"/>
        <v>1</v>
      </c>
      <c r="L257" s="1106"/>
      <c r="M257" s="1097">
        <f t="shared" si="48"/>
        <v>1</v>
      </c>
      <c r="N257" s="1106"/>
      <c r="O257" s="1097">
        <f t="shared" si="49"/>
        <v>1</v>
      </c>
      <c r="P257" s="1106"/>
      <c r="Q257" s="1097">
        <f t="shared" si="50"/>
        <v>1</v>
      </c>
      <c r="R257" s="1157">
        <f t="shared" si="51"/>
        <v>0</v>
      </c>
      <c r="S257" s="1096">
        <f t="shared" si="52"/>
        <v>0</v>
      </c>
    </row>
    <row r="258" spans="1:19">
      <c r="A258" s="1104"/>
      <c r="B258" s="1105"/>
      <c r="C258" s="1097">
        <f t="shared" si="43"/>
        <v>1</v>
      </c>
      <c r="D258" s="1106"/>
      <c r="E258" s="1097">
        <f t="shared" si="44"/>
        <v>1</v>
      </c>
      <c r="F258" s="1106"/>
      <c r="G258" s="1097">
        <f t="shared" si="45"/>
        <v>1</v>
      </c>
      <c r="H258" s="1106"/>
      <c r="I258" s="1097">
        <f t="shared" si="46"/>
        <v>1</v>
      </c>
      <c r="J258" s="1106"/>
      <c r="K258" s="1097">
        <f t="shared" si="47"/>
        <v>1</v>
      </c>
      <c r="L258" s="1106"/>
      <c r="M258" s="1097">
        <f t="shared" si="48"/>
        <v>1</v>
      </c>
      <c r="N258" s="1106"/>
      <c r="O258" s="1097">
        <f t="shared" si="49"/>
        <v>1</v>
      </c>
      <c r="P258" s="1106"/>
      <c r="Q258" s="1097">
        <f t="shared" si="50"/>
        <v>1</v>
      </c>
      <c r="R258" s="1157">
        <f t="shared" si="51"/>
        <v>0</v>
      </c>
      <c r="S258" s="1096">
        <f t="shared" si="52"/>
        <v>0</v>
      </c>
    </row>
    <row r="259" spans="1:19">
      <c r="A259" s="1104"/>
      <c r="B259" s="1105"/>
      <c r="C259" s="1097">
        <f t="shared" si="43"/>
        <v>1</v>
      </c>
      <c r="D259" s="1106"/>
      <c r="E259" s="1097">
        <f t="shared" si="44"/>
        <v>1</v>
      </c>
      <c r="F259" s="1106"/>
      <c r="G259" s="1097">
        <f t="shared" si="45"/>
        <v>1</v>
      </c>
      <c r="H259" s="1106"/>
      <c r="I259" s="1097">
        <f t="shared" si="46"/>
        <v>1</v>
      </c>
      <c r="J259" s="1106"/>
      <c r="K259" s="1097">
        <f t="shared" si="47"/>
        <v>1</v>
      </c>
      <c r="L259" s="1106"/>
      <c r="M259" s="1097">
        <f t="shared" si="48"/>
        <v>1</v>
      </c>
      <c r="N259" s="1106"/>
      <c r="O259" s="1097">
        <f t="shared" si="49"/>
        <v>1</v>
      </c>
      <c r="P259" s="1106"/>
      <c r="Q259" s="1097">
        <f t="shared" si="50"/>
        <v>1</v>
      </c>
      <c r="R259" s="1157">
        <f t="shared" si="51"/>
        <v>0</v>
      </c>
      <c r="S259" s="1096">
        <f t="shared" si="52"/>
        <v>0</v>
      </c>
    </row>
    <row r="260" spans="1:19">
      <c r="A260" s="1104"/>
      <c r="B260" s="1105"/>
      <c r="C260" s="1097">
        <f t="shared" si="43"/>
        <v>1</v>
      </c>
      <c r="D260" s="1106"/>
      <c r="E260" s="1097">
        <f t="shared" si="44"/>
        <v>1</v>
      </c>
      <c r="F260" s="1106"/>
      <c r="G260" s="1097">
        <f t="shared" si="45"/>
        <v>1</v>
      </c>
      <c r="H260" s="1106"/>
      <c r="I260" s="1097">
        <f t="shared" si="46"/>
        <v>1</v>
      </c>
      <c r="J260" s="1106"/>
      <c r="K260" s="1097">
        <f t="shared" si="47"/>
        <v>1</v>
      </c>
      <c r="L260" s="1106"/>
      <c r="M260" s="1097">
        <f t="shared" si="48"/>
        <v>1</v>
      </c>
      <c r="N260" s="1106"/>
      <c r="O260" s="1097">
        <f t="shared" si="49"/>
        <v>1</v>
      </c>
      <c r="P260" s="1106"/>
      <c r="Q260" s="1097">
        <f t="shared" si="50"/>
        <v>1</v>
      </c>
      <c r="R260" s="1157">
        <f t="shared" si="51"/>
        <v>0</v>
      </c>
      <c r="S260" s="1096">
        <f t="shared" si="52"/>
        <v>0</v>
      </c>
    </row>
    <row r="261" spans="1:19">
      <c r="A261" s="1104"/>
      <c r="B261" s="1105"/>
      <c r="C261" s="1097">
        <f t="shared" si="43"/>
        <v>1</v>
      </c>
      <c r="D261" s="1106"/>
      <c r="E261" s="1097">
        <f t="shared" si="44"/>
        <v>1</v>
      </c>
      <c r="F261" s="1106"/>
      <c r="G261" s="1097">
        <f t="shared" si="45"/>
        <v>1</v>
      </c>
      <c r="H261" s="1106"/>
      <c r="I261" s="1097">
        <f t="shared" si="46"/>
        <v>1</v>
      </c>
      <c r="J261" s="1106"/>
      <c r="K261" s="1097">
        <f t="shared" si="47"/>
        <v>1</v>
      </c>
      <c r="L261" s="1106"/>
      <c r="M261" s="1097">
        <f t="shared" si="48"/>
        <v>1</v>
      </c>
      <c r="N261" s="1106"/>
      <c r="O261" s="1097">
        <f t="shared" si="49"/>
        <v>1</v>
      </c>
      <c r="P261" s="1106"/>
      <c r="Q261" s="1097">
        <f t="shared" si="50"/>
        <v>1</v>
      </c>
      <c r="R261" s="1157">
        <f t="shared" si="51"/>
        <v>0</v>
      </c>
      <c r="S261" s="1096">
        <f t="shared" si="52"/>
        <v>0</v>
      </c>
    </row>
    <row r="262" spans="1:19">
      <c r="A262" s="1104"/>
      <c r="B262" s="1105"/>
      <c r="C262" s="1097">
        <f t="shared" si="43"/>
        <v>1</v>
      </c>
      <c r="D262" s="1106"/>
      <c r="E262" s="1097">
        <f t="shared" si="44"/>
        <v>1</v>
      </c>
      <c r="F262" s="1106"/>
      <c r="G262" s="1097">
        <f t="shared" si="45"/>
        <v>1</v>
      </c>
      <c r="H262" s="1106"/>
      <c r="I262" s="1097">
        <f t="shared" si="46"/>
        <v>1</v>
      </c>
      <c r="J262" s="1106"/>
      <c r="K262" s="1097">
        <f t="shared" si="47"/>
        <v>1</v>
      </c>
      <c r="L262" s="1106"/>
      <c r="M262" s="1097">
        <f t="shared" si="48"/>
        <v>1</v>
      </c>
      <c r="N262" s="1106"/>
      <c r="O262" s="1097">
        <f t="shared" si="49"/>
        <v>1</v>
      </c>
      <c r="P262" s="1106"/>
      <c r="Q262" s="1097">
        <f t="shared" si="50"/>
        <v>1</v>
      </c>
      <c r="R262" s="1157">
        <f t="shared" si="51"/>
        <v>0</v>
      </c>
      <c r="S262" s="1096">
        <f t="shared" si="52"/>
        <v>0</v>
      </c>
    </row>
    <row r="263" spans="1:19">
      <c r="A263" s="1104"/>
      <c r="B263" s="1105"/>
      <c r="C263" s="1097">
        <f t="shared" si="43"/>
        <v>1</v>
      </c>
      <c r="D263" s="1106"/>
      <c r="E263" s="1097">
        <f t="shared" si="44"/>
        <v>1</v>
      </c>
      <c r="F263" s="1106"/>
      <c r="G263" s="1097">
        <f t="shared" si="45"/>
        <v>1</v>
      </c>
      <c r="H263" s="1106"/>
      <c r="I263" s="1097">
        <f t="shared" si="46"/>
        <v>1</v>
      </c>
      <c r="J263" s="1106"/>
      <c r="K263" s="1097">
        <f t="shared" si="47"/>
        <v>1</v>
      </c>
      <c r="L263" s="1106"/>
      <c r="M263" s="1097">
        <f t="shared" si="48"/>
        <v>1</v>
      </c>
      <c r="N263" s="1106"/>
      <c r="O263" s="1097">
        <f t="shared" si="49"/>
        <v>1</v>
      </c>
      <c r="P263" s="1106"/>
      <c r="Q263" s="1097">
        <f t="shared" si="50"/>
        <v>1</v>
      </c>
      <c r="R263" s="1157">
        <f t="shared" si="51"/>
        <v>0</v>
      </c>
      <c r="S263" s="1096">
        <f t="shared" si="52"/>
        <v>0</v>
      </c>
    </row>
    <row r="264" spans="1:19">
      <c r="A264" s="1104"/>
      <c r="B264" s="1105"/>
      <c r="C264" s="1097">
        <f t="shared" si="43"/>
        <v>1</v>
      </c>
      <c r="D264" s="1106"/>
      <c r="E264" s="1097">
        <f t="shared" si="44"/>
        <v>1</v>
      </c>
      <c r="F264" s="1106"/>
      <c r="G264" s="1097">
        <f t="shared" si="45"/>
        <v>1</v>
      </c>
      <c r="H264" s="1106"/>
      <c r="I264" s="1097">
        <f t="shared" si="46"/>
        <v>1</v>
      </c>
      <c r="J264" s="1106"/>
      <c r="K264" s="1097">
        <f t="shared" si="47"/>
        <v>1</v>
      </c>
      <c r="L264" s="1106"/>
      <c r="M264" s="1097">
        <f t="shared" si="48"/>
        <v>1</v>
      </c>
      <c r="N264" s="1106"/>
      <c r="O264" s="1097">
        <f t="shared" si="49"/>
        <v>1</v>
      </c>
      <c r="P264" s="1106"/>
      <c r="Q264" s="1097">
        <f t="shared" si="50"/>
        <v>1</v>
      </c>
      <c r="R264" s="1157">
        <f t="shared" si="51"/>
        <v>0</v>
      </c>
      <c r="S264" s="1096">
        <f t="shared" si="52"/>
        <v>0</v>
      </c>
    </row>
    <row r="265" spans="1:19">
      <c r="A265" s="1104"/>
      <c r="B265" s="1105"/>
      <c r="C265" s="1097">
        <f t="shared" si="43"/>
        <v>1</v>
      </c>
      <c r="D265" s="1106"/>
      <c r="E265" s="1097">
        <f t="shared" si="44"/>
        <v>1</v>
      </c>
      <c r="F265" s="1106"/>
      <c r="G265" s="1097">
        <f t="shared" si="45"/>
        <v>1</v>
      </c>
      <c r="H265" s="1106"/>
      <c r="I265" s="1097">
        <f t="shared" si="46"/>
        <v>1</v>
      </c>
      <c r="J265" s="1106"/>
      <c r="K265" s="1097">
        <f t="shared" si="47"/>
        <v>1</v>
      </c>
      <c r="L265" s="1106"/>
      <c r="M265" s="1097">
        <f t="shared" si="48"/>
        <v>1</v>
      </c>
      <c r="N265" s="1106"/>
      <c r="O265" s="1097">
        <f t="shared" si="49"/>
        <v>1</v>
      </c>
      <c r="P265" s="1106"/>
      <c r="Q265" s="1097">
        <f t="shared" si="50"/>
        <v>1</v>
      </c>
      <c r="R265" s="1157">
        <f t="shared" si="51"/>
        <v>0</v>
      </c>
      <c r="S265" s="1096">
        <f t="shared" si="52"/>
        <v>0</v>
      </c>
    </row>
    <row r="266" spans="1:19">
      <c r="A266" s="1104"/>
      <c r="B266" s="1105"/>
      <c r="C266" s="1097">
        <f t="shared" si="43"/>
        <v>1</v>
      </c>
      <c r="D266" s="1106"/>
      <c r="E266" s="1097">
        <f t="shared" si="44"/>
        <v>1</v>
      </c>
      <c r="F266" s="1106"/>
      <c r="G266" s="1097">
        <f t="shared" si="45"/>
        <v>1</v>
      </c>
      <c r="H266" s="1106"/>
      <c r="I266" s="1097">
        <f t="shared" si="46"/>
        <v>1</v>
      </c>
      <c r="J266" s="1106"/>
      <c r="K266" s="1097">
        <f t="shared" si="47"/>
        <v>1</v>
      </c>
      <c r="L266" s="1106"/>
      <c r="M266" s="1097">
        <f t="shared" si="48"/>
        <v>1</v>
      </c>
      <c r="N266" s="1106"/>
      <c r="O266" s="1097">
        <f t="shared" si="49"/>
        <v>1</v>
      </c>
      <c r="P266" s="1106"/>
      <c r="Q266" s="1097">
        <f t="shared" si="50"/>
        <v>1</v>
      </c>
      <c r="R266" s="1157">
        <f t="shared" si="51"/>
        <v>0</v>
      </c>
      <c r="S266" s="1096">
        <f t="shared" si="52"/>
        <v>0</v>
      </c>
    </row>
    <row r="267" spans="1:19">
      <c r="A267" s="1104"/>
      <c r="B267" s="1105"/>
      <c r="C267" s="1097">
        <f t="shared" si="43"/>
        <v>1</v>
      </c>
      <c r="D267" s="1106"/>
      <c r="E267" s="1097">
        <f t="shared" si="44"/>
        <v>1</v>
      </c>
      <c r="F267" s="1106"/>
      <c r="G267" s="1097">
        <f t="shared" si="45"/>
        <v>1</v>
      </c>
      <c r="H267" s="1106"/>
      <c r="I267" s="1097">
        <f t="shared" si="46"/>
        <v>1</v>
      </c>
      <c r="J267" s="1106"/>
      <c r="K267" s="1097">
        <f t="shared" si="47"/>
        <v>1</v>
      </c>
      <c r="L267" s="1106"/>
      <c r="M267" s="1097">
        <f t="shared" si="48"/>
        <v>1</v>
      </c>
      <c r="N267" s="1106"/>
      <c r="O267" s="1097">
        <f t="shared" si="49"/>
        <v>1</v>
      </c>
      <c r="P267" s="1106"/>
      <c r="Q267" s="1097">
        <f t="shared" si="50"/>
        <v>1</v>
      </c>
      <c r="R267" s="1157">
        <f t="shared" si="51"/>
        <v>0</v>
      </c>
      <c r="S267" s="1096">
        <f t="shared" si="52"/>
        <v>0</v>
      </c>
    </row>
    <row r="268" spans="1:19">
      <c r="A268" s="1104"/>
      <c r="B268" s="1105"/>
      <c r="C268" s="1097">
        <f t="shared" si="43"/>
        <v>1</v>
      </c>
      <c r="D268" s="1106"/>
      <c r="E268" s="1097">
        <f t="shared" si="44"/>
        <v>1</v>
      </c>
      <c r="F268" s="1106"/>
      <c r="G268" s="1097">
        <f t="shared" si="45"/>
        <v>1</v>
      </c>
      <c r="H268" s="1106"/>
      <c r="I268" s="1097">
        <f t="shared" si="46"/>
        <v>1</v>
      </c>
      <c r="J268" s="1106"/>
      <c r="K268" s="1097">
        <f t="shared" si="47"/>
        <v>1</v>
      </c>
      <c r="L268" s="1106"/>
      <c r="M268" s="1097">
        <f t="shared" si="48"/>
        <v>1</v>
      </c>
      <c r="N268" s="1106"/>
      <c r="O268" s="1097">
        <f t="shared" si="49"/>
        <v>1</v>
      </c>
      <c r="P268" s="1106"/>
      <c r="Q268" s="1097">
        <f t="shared" si="50"/>
        <v>1</v>
      </c>
      <c r="R268" s="1157">
        <f t="shared" si="51"/>
        <v>0</v>
      </c>
      <c r="S268" s="1096">
        <f t="shared" si="52"/>
        <v>0</v>
      </c>
    </row>
    <row r="269" spans="1:19">
      <c r="A269" s="1104"/>
      <c r="B269" s="1105"/>
      <c r="C269" s="1097">
        <f t="shared" si="43"/>
        <v>1</v>
      </c>
      <c r="D269" s="1106"/>
      <c r="E269" s="1097">
        <f t="shared" si="44"/>
        <v>1</v>
      </c>
      <c r="F269" s="1106"/>
      <c r="G269" s="1097">
        <f t="shared" si="45"/>
        <v>1</v>
      </c>
      <c r="H269" s="1106"/>
      <c r="I269" s="1097">
        <f t="shared" si="46"/>
        <v>1</v>
      </c>
      <c r="J269" s="1106"/>
      <c r="K269" s="1097">
        <f t="shared" si="47"/>
        <v>1</v>
      </c>
      <c r="L269" s="1106"/>
      <c r="M269" s="1097">
        <f t="shared" si="48"/>
        <v>1</v>
      </c>
      <c r="N269" s="1106"/>
      <c r="O269" s="1097">
        <f t="shared" si="49"/>
        <v>1</v>
      </c>
      <c r="P269" s="1106"/>
      <c r="Q269" s="1097">
        <f t="shared" si="50"/>
        <v>1</v>
      </c>
      <c r="R269" s="1157">
        <f t="shared" si="51"/>
        <v>0</v>
      </c>
      <c r="S269" s="1096">
        <f t="shared" si="52"/>
        <v>0</v>
      </c>
    </row>
    <row r="270" spans="1:19">
      <c r="A270" s="1104"/>
      <c r="B270" s="1105"/>
      <c r="C270" s="1097">
        <f t="shared" si="43"/>
        <v>1</v>
      </c>
      <c r="D270" s="1106"/>
      <c r="E270" s="1097">
        <f t="shared" si="44"/>
        <v>1</v>
      </c>
      <c r="F270" s="1106"/>
      <c r="G270" s="1097">
        <f t="shared" si="45"/>
        <v>1</v>
      </c>
      <c r="H270" s="1106"/>
      <c r="I270" s="1097">
        <f t="shared" si="46"/>
        <v>1</v>
      </c>
      <c r="J270" s="1106"/>
      <c r="K270" s="1097">
        <f t="shared" si="47"/>
        <v>1</v>
      </c>
      <c r="L270" s="1106"/>
      <c r="M270" s="1097">
        <f t="shared" si="48"/>
        <v>1</v>
      </c>
      <c r="N270" s="1106"/>
      <c r="O270" s="1097">
        <f t="shared" si="49"/>
        <v>1</v>
      </c>
      <c r="P270" s="1106"/>
      <c r="Q270" s="1097">
        <f t="shared" si="50"/>
        <v>1</v>
      </c>
      <c r="R270" s="1157">
        <f t="shared" si="51"/>
        <v>0</v>
      </c>
      <c r="S270" s="1096">
        <f t="shared" si="52"/>
        <v>0</v>
      </c>
    </row>
    <row r="271" spans="1:19">
      <c r="A271" s="1104"/>
      <c r="B271" s="1105"/>
      <c r="C271" s="1097">
        <f t="shared" si="43"/>
        <v>1</v>
      </c>
      <c r="D271" s="1106"/>
      <c r="E271" s="1097">
        <f t="shared" si="44"/>
        <v>1</v>
      </c>
      <c r="F271" s="1106"/>
      <c r="G271" s="1097">
        <f t="shared" si="45"/>
        <v>1</v>
      </c>
      <c r="H271" s="1106"/>
      <c r="I271" s="1097">
        <f t="shared" si="46"/>
        <v>1</v>
      </c>
      <c r="J271" s="1106"/>
      <c r="K271" s="1097">
        <f t="shared" si="47"/>
        <v>1</v>
      </c>
      <c r="L271" s="1106"/>
      <c r="M271" s="1097">
        <f t="shared" si="48"/>
        <v>1</v>
      </c>
      <c r="N271" s="1106"/>
      <c r="O271" s="1097">
        <f t="shared" si="49"/>
        <v>1</v>
      </c>
      <c r="P271" s="1106"/>
      <c r="Q271" s="1097">
        <f t="shared" si="50"/>
        <v>1</v>
      </c>
      <c r="R271" s="1157">
        <f t="shared" si="51"/>
        <v>0</v>
      </c>
      <c r="S271" s="1096">
        <f t="shared" si="52"/>
        <v>0</v>
      </c>
    </row>
    <row r="272" spans="1:19">
      <c r="A272" s="1104"/>
      <c r="B272" s="1105"/>
      <c r="C272" s="1097">
        <f t="shared" si="43"/>
        <v>1</v>
      </c>
      <c r="D272" s="1106"/>
      <c r="E272" s="1097">
        <f t="shared" si="44"/>
        <v>1</v>
      </c>
      <c r="F272" s="1106"/>
      <c r="G272" s="1097">
        <f t="shared" si="45"/>
        <v>1</v>
      </c>
      <c r="H272" s="1106"/>
      <c r="I272" s="1097">
        <f t="shared" si="46"/>
        <v>1</v>
      </c>
      <c r="J272" s="1106"/>
      <c r="K272" s="1097">
        <f t="shared" si="47"/>
        <v>1</v>
      </c>
      <c r="L272" s="1106"/>
      <c r="M272" s="1097">
        <f t="shared" si="48"/>
        <v>1</v>
      </c>
      <c r="N272" s="1106"/>
      <c r="O272" s="1097">
        <f t="shared" si="49"/>
        <v>1</v>
      </c>
      <c r="P272" s="1106"/>
      <c r="Q272" s="1097">
        <f t="shared" si="50"/>
        <v>1</v>
      </c>
      <c r="R272" s="1157">
        <f t="shared" si="51"/>
        <v>0</v>
      </c>
      <c r="S272" s="1096">
        <f t="shared" si="52"/>
        <v>0</v>
      </c>
    </row>
    <row r="273" spans="1:19">
      <c r="A273" s="1104"/>
      <c r="B273" s="1105"/>
      <c r="C273" s="1097">
        <f t="shared" si="43"/>
        <v>1</v>
      </c>
      <c r="D273" s="1106"/>
      <c r="E273" s="1097">
        <f t="shared" si="44"/>
        <v>1</v>
      </c>
      <c r="F273" s="1106"/>
      <c r="G273" s="1097">
        <f t="shared" si="45"/>
        <v>1</v>
      </c>
      <c r="H273" s="1106"/>
      <c r="I273" s="1097">
        <f t="shared" si="46"/>
        <v>1</v>
      </c>
      <c r="J273" s="1106"/>
      <c r="K273" s="1097">
        <f t="shared" si="47"/>
        <v>1</v>
      </c>
      <c r="L273" s="1106"/>
      <c r="M273" s="1097">
        <f t="shared" si="48"/>
        <v>1</v>
      </c>
      <c r="N273" s="1106"/>
      <c r="O273" s="1097">
        <f t="shared" si="49"/>
        <v>1</v>
      </c>
      <c r="P273" s="1106"/>
      <c r="Q273" s="1097">
        <f t="shared" si="50"/>
        <v>1</v>
      </c>
      <c r="R273" s="1157">
        <f t="shared" si="51"/>
        <v>0</v>
      </c>
      <c r="S273" s="1096">
        <f t="shared" si="52"/>
        <v>0</v>
      </c>
    </row>
    <row r="274" spans="1:19">
      <c r="A274" s="1104"/>
      <c r="B274" s="1105"/>
      <c r="C274" s="1097">
        <f t="shared" si="43"/>
        <v>1</v>
      </c>
      <c r="D274" s="1106"/>
      <c r="E274" s="1097">
        <f t="shared" si="44"/>
        <v>1</v>
      </c>
      <c r="F274" s="1106"/>
      <c r="G274" s="1097">
        <f t="shared" si="45"/>
        <v>1</v>
      </c>
      <c r="H274" s="1106"/>
      <c r="I274" s="1097">
        <f t="shared" si="46"/>
        <v>1</v>
      </c>
      <c r="J274" s="1106"/>
      <c r="K274" s="1097">
        <f t="shared" si="47"/>
        <v>1</v>
      </c>
      <c r="L274" s="1106"/>
      <c r="M274" s="1097">
        <f t="shared" si="48"/>
        <v>1</v>
      </c>
      <c r="N274" s="1106"/>
      <c r="O274" s="1097">
        <f t="shared" si="49"/>
        <v>1</v>
      </c>
      <c r="P274" s="1106"/>
      <c r="Q274" s="1097">
        <f t="shared" si="50"/>
        <v>1</v>
      </c>
      <c r="R274" s="1157">
        <f t="shared" si="51"/>
        <v>0</v>
      </c>
      <c r="S274" s="1096">
        <f t="shared" si="52"/>
        <v>0</v>
      </c>
    </row>
    <row r="275" spans="1:19">
      <c r="A275" s="1104"/>
      <c r="B275" s="1105"/>
      <c r="C275" s="1097">
        <f t="shared" si="43"/>
        <v>1</v>
      </c>
      <c r="D275" s="1106"/>
      <c r="E275" s="1097">
        <f t="shared" si="44"/>
        <v>1</v>
      </c>
      <c r="F275" s="1106"/>
      <c r="G275" s="1097">
        <f t="shared" si="45"/>
        <v>1</v>
      </c>
      <c r="H275" s="1106"/>
      <c r="I275" s="1097">
        <f t="shared" si="46"/>
        <v>1</v>
      </c>
      <c r="J275" s="1106"/>
      <c r="K275" s="1097">
        <f t="shared" si="47"/>
        <v>1</v>
      </c>
      <c r="L275" s="1106"/>
      <c r="M275" s="1097">
        <f t="shared" si="48"/>
        <v>1</v>
      </c>
      <c r="N275" s="1106"/>
      <c r="O275" s="1097">
        <f t="shared" si="49"/>
        <v>1</v>
      </c>
      <c r="P275" s="1106"/>
      <c r="Q275" s="1097">
        <f t="shared" si="50"/>
        <v>1</v>
      </c>
      <c r="R275" s="1157">
        <f t="shared" si="51"/>
        <v>0</v>
      </c>
      <c r="S275" s="1096">
        <f t="shared" si="52"/>
        <v>0</v>
      </c>
    </row>
    <row r="276" spans="1:19">
      <c r="A276" s="1104"/>
      <c r="B276" s="1105"/>
      <c r="C276" s="1097">
        <f t="shared" si="43"/>
        <v>1</v>
      </c>
      <c r="D276" s="1106"/>
      <c r="E276" s="1097">
        <f t="shared" si="44"/>
        <v>1</v>
      </c>
      <c r="F276" s="1106"/>
      <c r="G276" s="1097">
        <f t="shared" si="45"/>
        <v>1</v>
      </c>
      <c r="H276" s="1106"/>
      <c r="I276" s="1097">
        <f t="shared" si="46"/>
        <v>1</v>
      </c>
      <c r="J276" s="1106"/>
      <c r="K276" s="1097">
        <f t="shared" si="47"/>
        <v>1</v>
      </c>
      <c r="L276" s="1106"/>
      <c r="M276" s="1097">
        <f t="shared" si="48"/>
        <v>1</v>
      </c>
      <c r="N276" s="1106"/>
      <c r="O276" s="1097">
        <f t="shared" si="49"/>
        <v>1</v>
      </c>
      <c r="P276" s="1106"/>
      <c r="Q276" s="1097">
        <f t="shared" si="50"/>
        <v>1</v>
      </c>
      <c r="R276" s="1157">
        <f t="shared" si="51"/>
        <v>0</v>
      </c>
      <c r="S276" s="1096">
        <f t="shared" si="52"/>
        <v>0</v>
      </c>
    </row>
    <row r="277" spans="1:19">
      <c r="A277" s="1104"/>
      <c r="B277" s="1105"/>
      <c r="C277" s="1097">
        <f t="shared" si="43"/>
        <v>1</v>
      </c>
      <c r="D277" s="1106"/>
      <c r="E277" s="1097">
        <f t="shared" si="44"/>
        <v>1</v>
      </c>
      <c r="F277" s="1106"/>
      <c r="G277" s="1097">
        <f t="shared" si="45"/>
        <v>1</v>
      </c>
      <c r="H277" s="1106"/>
      <c r="I277" s="1097">
        <f t="shared" si="46"/>
        <v>1</v>
      </c>
      <c r="J277" s="1106"/>
      <c r="K277" s="1097">
        <f t="shared" si="47"/>
        <v>1</v>
      </c>
      <c r="L277" s="1106"/>
      <c r="M277" s="1097">
        <f t="shared" si="48"/>
        <v>1</v>
      </c>
      <c r="N277" s="1106"/>
      <c r="O277" s="1097">
        <f t="shared" si="49"/>
        <v>1</v>
      </c>
      <c r="P277" s="1106"/>
      <c r="Q277" s="1097">
        <f t="shared" si="50"/>
        <v>1</v>
      </c>
      <c r="R277" s="1157">
        <f t="shared" si="51"/>
        <v>0</v>
      </c>
      <c r="S277" s="1096">
        <f t="shared" si="52"/>
        <v>0</v>
      </c>
    </row>
    <row r="278" spans="1:19">
      <c r="A278" s="1104"/>
      <c r="B278" s="1105"/>
      <c r="C278" s="1097">
        <f t="shared" si="43"/>
        <v>1</v>
      </c>
      <c r="D278" s="1106"/>
      <c r="E278" s="1097">
        <f t="shared" si="44"/>
        <v>1</v>
      </c>
      <c r="F278" s="1106"/>
      <c r="G278" s="1097">
        <f t="shared" si="45"/>
        <v>1</v>
      </c>
      <c r="H278" s="1106"/>
      <c r="I278" s="1097">
        <f t="shared" si="46"/>
        <v>1</v>
      </c>
      <c r="J278" s="1106"/>
      <c r="K278" s="1097">
        <f t="shared" si="47"/>
        <v>1</v>
      </c>
      <c r="L278" s="1106"/>
      <c r="M278" s="1097">
        <f t="shared" si="48"/>
        <v>1</v>
      </c>
      <c r="N278" s="1106"/>
      <c r="O278" s="1097">
        <f t="shared" si="49"/>
        <v>1</v>
      </c>
      <c r="P278" s="1106"/>
      <c r="Q278" s="1097">
        <f t="shared" si="50"/>
        <v>1</v>
      </c>
      <c r="R278" s="1157">
        <f t="shared" si="51"/>
        <v>0</v>
      </c>
      <c r="S278" s="1096">
        <f t="shared" si="52"/>
        <v>0</v>
      </c>
    </row>
    <row r="279" spans="1:19">
      <c r="A279" s="1104"/>
      <c r="B279" s="1105"/>
      <c r="C279" s="1097">
        <f t="shared" si="43"/>
        <v>1</v>
      </c>
      <c r="D279" s="1106"/>
      <c r="E279" s="1097">
        <f t="shared" si="44"/>
        <v>1</v>
      </c>
      <c r="F279" s="1106"/>
      <c r="G279" s="1097">
        <f t="shared" si="45"/>
        <v>1</v>
      </c>
      <c r="H279" s="1106"/>
      <c r="I279" s="1097">
        <f t="shared" si="46"/>
        <v>1</v>
      </c>
      <c r="J279" s="1106"/>
      <c r="K279" s="1097">
        <f t="shared" si="47"/>
        <v>1</v>
      </c>
      <c r="L279" s="1106"/>
      <c r="M279" s="1097">
        <f t="shared" si="48"/>
        <v>1</v>
      </c>
      <c r="N279" s="1106"/>
      <c r="O279" s="1097">
        <f t="shared" si="49"/>
        <v>1</v>
      </c>
      <c r="P279" s="1106"/>
      <c r="Q279" s="1097">
        <f t="shared" si="50"/>
        <v>1</v>
      </c>
      <c r="R279" s="1157">
        <f t="shared" si="51"/>
        <v>0</v>
      </c>
      <c r="S279" s="1096">
        <f t="shared" si="52"/>
        <v>0</v>
      </c>
    </row>
    <row r="280" spans="1:19">
      <c r="A280" s="1104"/>
      <c r="B280" s="1105"/>
      <c r="C280" s="1097">
        <f t="shared" si="43"/>
        <v>1</v>
      </c>
      <c r="D280" s="1106"/>
      <c r="E280" s="1097">
        <f t="shared" si="44"/>
        <v>1</v>
      </c>
      <c r="F280" s="1106"/>
      <c r="G280" s="1097">
        <f t="shared" si="45"/>
        <v>1</v>
      </c>
      <c r="H280" s="1106"/>
      <c r="I280" s="1097">
        <f t="shared" si="46"/>
        <v>1</v>
      </c>
      <c r="J280" s="1106"/>
      <c r="K280" s="1097">
        <f t="shared" si="47"/>
        <v>1</v>
      </c>
      <c r="L280" s="1106"/>
      <c r="M280" s="1097">
        <f t="shared" si="48"/>
        <v>1</v>
      </c>
      <c r="N280" s="1106"/>
      <c r="O280" s="1097">
        <f t="shared" si="49"/>
        <v>1</v>
      </c>
      <c r="P280" s="1106"/>
      <c r="Q280" s="1097">
        <f t="shared" si="50"/>
        <v>1</v>
      </c>
      <c r="R280" s="1157">
        <f t="shared" si="51"/>
        <v>0</v>
      </c>
      <c r="S280" s="1096">
        <f t="shared" si="52"/>
        <v>0</v>
      </c>
    </row>
    <row r="281" spans="1:19">
      <c r="A281" s="1104"/>
      <c r="B281" s="1105"/>
      <c r="C281" s="1097">
        <f t="shared" si="43"/>
        <v>1</v>
      </c>
      <c r="D281" s="1106"/>
      <c r="E281" s="1097">
        <f t="shared" si="44"/>
        <v>1</v>
      </c>
      <c r="F281" s="1106"/>
      <c r="G281" s="1097">
        <f t="shared" si="45"/>
        <v>1</v>
      </c>
      <c r="H281" s="1106"/>
      <c r="I281" s="1097">
        <f t="shared" si="46"/>
        <v>1</v>
      </c>
      <c r="J281" s="1106"/>
      <c r="K281" s="1097">
        <f t="shared" si="47"/>
        <v>1</v>
      </c>
      <c r="L281" s="1106"/>
      <c r="M281" s="1097">
        <f t="shared" si="48"/>
        <v>1</v>
      </c>
      <c r="N281" s="1106"/>
      <c r="O281" s="1097">
        <f t="shared" si="49"/>
        <v>1</v>
      </c>
      <c r="P281" s="1106"/>
      <c r="Q281" s="1097">
        <f t="shared" si="50"/>
        <v>1</v>
      </c>
      <c r="R281" s="1157">
        <f t="shared" si="51"/>
        <v>0</v>
      </c>
      <c r="S281" s="1096">
        <f t="shared" si="52"/>
        <v>0</v>
      </c>
    </row>
    <row r="282" spans="1:19">
      <c r="A282" s="1104"/>
      <c r="B282" s="1105"/>
      <c r="C282" s="1097">
        <f t="shared" ref="C282:C345" si="53">IF(B282="",1,(LOOKUP(B282,$3:$3,$4:$4)-LOOKUP($B$24,$3:$3,$4:$4)+100)/100)</f>
        <v>1</v>
      </c>
      <c r="D282" s="1106"/>
      <c r="E282" s="1097">
        <f t="shared" ref="E282:E345" si="54">(SUMIF($5:$5,D282,$6:$6)-SUMIF($5:$5,$D$24,$6:$6)+100)/100</f>
        <v>1</v>
      </c>
      <c r="F282" s="1106"/>
      <c r="G282" s="1097">
        <f t="shared" ref="G282:G345" si="55">(SUMIF($7:$7,F282,$8:$8)-SUMIF($7:$7,$F$24,$8:$8)+100)/100</f>
        <v>1</v>
      </c>
      <c r="H282" s="1106"/>
      <c r="I282" s="1097">
        <f t="shared" ref="I282:I345" si="56">(SUMIF($9:$9,H282,$10:$10)-SUMIF($9:$9,$H$24,$10:$10)+100)/100</f>
        <v>1</v>
      </c>
      <c r="J282" s="1106"/>
      <c r="K282" s="1097">
        <f t="shared" ref="K282:K345" si="57">(SUMIF($11:$11,J282,$12:$12)-SUMIF($11:$11,$J$24,$12:$12)+100)/100</f>
        <v>1</v>
      </c>
      <c r="L282" s="1106"/>
      <c r="M282" s="1097">
        <f t="shared" ref="M282:M345" si="58">(SUMIF($13:$13,L282,$14:$14)-SUMIF($13:$13,$L$24,$14:$14)+100)/100</f>
        <v>1</v>
      </c>
      <c r="N282" s="1106"/>
      <c r="O282" s="1097">
        <f t="shared" ref="O282:O345" si="59">(SUMIF($15:$15,N282,$16:$16)-SUMIF($15:$15,$N$24,$16:$16)+100)/100</f>
        <v>1</v>
      </c>
      <c r="P282" s="1106"/>
      <c r="Q282" s="1097">
        <f t="shared" ref="Q282:Q345" si="60">(SUMIF($17:$17,P282,$18:$18)-SUMIF($17:$17,$P$24,$18:$18)+100)/100</f>
        <v>1</v>
      </c>
      <c r="R282" s="1157">
        <f t="shared" ref="R282:R345" si="61">IF(B282="",0,ROUND($R$24*C282*E282*G282*I282*K282*M282*O282*Q282,0))</f>
        <v>0</v>
      </c>
      <c r="S282" s="1096">
        <f t="shared" si="52"/>
        <v>0</v>
      </c>
    </row>
    <row r="283" spans="1:19">
      <c r="A283" s="1104"/>
      <c r="B283" s="1105"/>
      <c r="C283" s="1097">
        <f t="shared" si="53"/>
        <v>1</v>
      </c>
      <c r="D283" s="1106"/>
      <c r="E283" s="1097">
        <f t="shared" si="54"/>
        <v>1</v>
      </c>
      <c r="F283" s="1106"/>
      <c r="G283" s="1097">
        <f t="shared" si="55"/>
        <v>1</v>
      </c>
      <c r="H283" s="1106"/>
      <c r="I283" s="1097">
        <f t="shared" si="56"/>
        <v>1</v>
      </c>
      <c r="J283" s="1106"/>
      <c r="K283" s="1097">
        <f t="shared" si="57"/>
        <v>1</v>
      </c>
      <c r="L283" s="1106"/>
      <c r="M283" s="1097">
        <f t="shared" si="58"/>
        <v>1</v>
      </c>
      <c r="N283" s="1106"/>
      <c r="O283" s="1097">
        <f t="shared" si="59"/>
        <v>1</v>
      </c>
      <c r="P283" s="1106"/>
      <c r="Q283" s="1097">
        <f t="shared" si="60"/>
        <v>1</v>
      </c>
      <c r="R283" s="1157">
        <f t="shared" si="61"/>
        <v>0</v>
      </c>
      <c r="S283" s="1096">
        <f t="shared" si="52"/>
        <v>0</v>
      </c>
    </row>
    <row r="284" spans="1:19">
      <c r="A284" s="1104"/>
      <c r="B284" s="1105"/>
      <c r="C284" s="1097">
        <f t="shared" si="53"/>
        <v>1</v>
      </c>
      <c r="D284" s="1106"/>
      <c r="E284" s="1097">
        <f t="shared" si="54"/>
        <v>1</v>
      </c>
      <c r="F284" s="1106"/>
      <c r="G284" s="1097">
        <f t="shared" si="55"/>
        <v>1</v>
      </c>
      <c r="H284" s="1106"/>
      <c r="I284" s="1097">
        <f t="shared" si="56"/>
        <v>1</v>
      </c>
      <c r="J284" s="1106"/>
      <c r="K284" s="1097">
        <f t="shared" si="57"/>
        <v>1</v>
      </c>
      <c r="L284" s="1106"/>
      <c r="M284" s="1097">
        <f t="shared" si="58"/>
        <v>1</v>
      </c>
      <c r="N284" s="1106"/>
      <c r="O284" s="1097">
        <f t="shared" si="59"/>
        <v>1</v>
      </c>
      <c r="P284" s="1106"/>
      <c r="Q284" s="1097">
        <f t="shared" si="60"/>
        <v>1</v>
      </c>
      <c r="R284" s="1157">
        <f t="shared" si="61"/>
        <v>0</v>
      </c>
      <c r="S284" s="1096">
        <f t="shared" si="52"/>
        <v>0</v>
      </c>
    </row>
    <row r="285" spans="1:19">
      <c r="A285" s="1104"/>
      <c r="B285" s="1105"/>
      <c r="C285" s="1097">
        <f t="shared" si="53"/>
        <v>1</v>
      </c>
      <c r="D285" s="1106"/>
      <c r="E285" s="1097">
        <f t="shared" si="54"/>
        <v>1</v>
      </c>
      <c r="F285" s="1106"/>
      <c r="G285" s="1097">
        <f t="shared" si="55"/>
        <v>1</v>
      </c>
      <c r="H285" s="1106"/>
      <c r="I285" s="1097">
        <f t="shared" si="56"/>
        <v>1</v>
      </c>
      <c r="J285" s="1106"/>
      <c r="K285" s="1097">
        <f t="shared" si="57"/>
        <v>1</v>
      </c>
      <c r="L285" s="1106"/>
      <c r="M285" s="1097">
        <f t="shared" si="58"/>
        <v>1</v>
      </c>
      <c r="N285" s="1106"/>
      <c r="O285" s="1097">
        <f t="shared" si="59"/>
        <v>1</v>
      </c>
      <c r="P285" s="1106"/>
      <c r="Q285" s="1097">
        <f t="shared" si="60"/>
        <v>1</v>
      </c>
      <c r="R285" s="1157">
        <f t="shared" si="61"/>
        <v>0</v>
      </c>
      <c r="S285" s="1096">
        <f t="shared" si="52"/>
        <v>0</v>
      </c>
    </row>
    <row r="286" spans="1:19">
      <c r="A286" s="1104"/>
      <c r="B286" s="1105"/>
      <c r="C286" s="1097">
        <f t="shared" si="53"/>
        <v>1</v>
      </c>
      <c r="D286" s="1106"/>
      <c r="E286" s="1097">
        <f t="shared" si="54"/>
        <v>1</v>
      </c>
      <c r="F286" s="1106"/>
      <c r="G286" s="1097">
        <f t="shared" si="55"/>
        <v>1</v>
      </c>
      <c r="H286" s="1106"/>
      <c r="I286" s="1097">
        <f t="shared" si="56"/>
        <v>1</v>
      </c>
      <c r="J286" s="1106"/>
      <c r="K286" s="1097">
        <f t="shared" si="57"/>
        <v>1</v>
      </c>
      <c r="L286" s="1106"/>
      <c r="M286" s="1097">
        <f t="shared" si="58"/>
        <v>1</v>
      </c>
      <c r="N286" s="1106"/>
      <c r="O286" s="1097">
        <f t="shared" si="59"/>
        <v>1</v>
      </c>
      <c r="P286" s="1106"/>
      <c r="Q286" s="1097">
        <f t="shared" si="60"/>
        <v>1</v>
      </c>
      <c r="R286" s="1157">
        <f t="shared" si="61"/>
        <v>0</v>
      </c>
      <c r="S286" s="1096">
        <f t="shared" si="52"/>
        <v>0</v>
      </c>
    </row>
    <row r="287" spans="1:19">
      <c r="A287" s="1104"/>
      <c r="B287" s="1105"/>
      <c r="C287" s="1097">
        <f t="shared" si="53"/>
        <v>1</v>
      </c>
      <c r="D287" s="1106"/>
      <c r="E287" s="1097">
        <f t="shared" si="54"/>
        <v>1</v>
      </c>
      <c r="F287" s="1106"/>
      <c r="G287" s="1097">
        <f t="shared" si="55"/>
        <v>1</v>
      </c>
      <c r="H287" s="1106"/>
      <c r="I287" s="1097">
        <f t="shared" si="56"/>
        <v>1</v>
      </c>
      <c r="J287" s="1106"/>
      <c r="K287" s="1097">
        <f t="shared" si="57"/>
        <v>1</v>
      </c>
      <c r="L287" s="1106"/>
      <c r="M287" s="1097">
        <f t="shared" si="58"/>
        <v>1</v>
      </c>
      <c r="N287" s="1106"/>
      <c r="O287" s="1097">
        <f t="shared" si="59"/>
        <v>1</v>
      </c>
      <c r="P287" s="1106"/>
      <c r="Q287" s="1097">
        <f t="shared" si="60"/>
        <v>1</v>
      </c>
      <c r="R287" s="1157">
        <f t="shared" si="61"/>
        <v>0</v>
      </c>
      <c r="S287" s="1096">
        <f t="shared" ref="S287:S320" si="62">ROUND(R287*B287/10000,0)</f>
        <v>0</v>
      </c>
    </row>
    <row r="288" spans="1:19">
      <c r="A288" s="1104"/>
      <c r="B288" s="1105"/>
      <c r="C288" s="1097">
        <f t="shared" si="53"/>
        <v>1</v>
      </c>
      <c r="D288" s="1106"/>
      <c r="E288" s="1097">
        <f t="shared" si="54"/>
        <v>1</v>
      </c>
      <c r="F288" s="1106"/>
      <c r="G288" s="1097">
        <f t="shared" si="55"/>
        <v>1</v>
      </c>
      <c r="H288" s="1106"/>
      <c r="I288" s="1097">
        <f t="shared" si="56"/>
        <v>1</v>
      </c>
      <c r="J288" s="1106"/>
      <c r="K288" s="1097">
        <f t="shared" si="57"/>
        <v>1</v>
      </c>
      <c r="L288" s="1106"/>
      <c r="M288" s="1097">
        <f t="shared" si="58"/>
        <v>1</v>
      </c>
      <c r="N288" s="1106"/>
      <c r="O288" s="1097">
        <f t="shared" si="59"/>
        <v>1</v>
      </c>
      <c r="P288" s="1106"/>
      <c r="Q288" s="1097">
        <f t="shared" si="60"/>
        <v>1</v>
      </c>
      <c r="R288" s="1157">
        <f t="shared" si="61"/>
        <v>0</v>
      </c>
      <c r="S288" s="1096">
        <f t="shared" si="62"/>
        <v>0</v>
      </c>
    </row>
    <row r="289" spans="1:19">
      <c r="A289" s="1104"/>
      <c r="B289" s="1105"/>
      <c r="C289" s="1097">
        <f t="shared" si="53"/>
        <v>1</v>
      </c>
      <c r="D289" s="1106"/>
      <c r="E289" s="1097">
        <f t="shared" si="54"/>
        <v>1</v>
      </c>
      <c r="F289" s="1106"/>
      <c r="G289" s="1097">
        <f t="shared" si="55"/>
        <v>1</v>
      </c>
      <c r="H289" s="1106"/>
      <c r="I289" s="1097">
        <f t="shared" si="56"/>
        <v>1</v>
      </c>
      <c r="J289" s="1106"/>
      <c r="K289" s="1097">
        <f t="shared" si="57"/>
        <v>1</v>
      </c>
      <c r="L289" s="1106"/>
      <c r="M289" s="1097">
        <f t="shared" si="58"/>
        <v>1</v>
      </c>
      <c r="N289" s="1106"/>
      <c r="O289" s="1097">
        <f t="shared" si="59"/>
        <v>1</v>
      </c>
      <c r="P289" s="1106"/>
      <c r="Q289" s="1097">
        <f t="shared" si="60"/>
        <v>1</v>
      </c>
      <c r="R289" s="1157">
        <f t="shared" si="61"/>
        <v>0</v>
      </c>
      <c r="S289" s="1096">
        <f t="shared" si="62"/>
        <v>0</v>
      </c>
    </row>
    <row r="290" spans="1:19">
      <c r="A290" s="1104"/>
      <c r="B290" s="1105"/>
      <c r="C290" s="1097">
        <f t="shared" si="53"/>
        <v>1</v>
      </c>
      <c r="D290" s="1106"/>
      <c r="E290" s="1097">
        <f t="shared" si="54"/>
        <v>1</v>
      </c>
      <c r="F290" s="1106"/>
      <c r="G290" s="1097">
        <f t="shared" si="55"/>
        <v>1</v>
      </c>
      <c r="H290" s="1106"/>
      <c r="I290" s="1097">
        <f t="shared" si="56"/>
        <v>1</v>
      </c>
      <c r="J290" s="1106"/>
      <c r="K290" s="1097">
        <f t="shared" si="57"/>
        <v>1</v>
      </c>
      <c r="L290" s="1106"/>
      <c r="M290" s="1097">
        <f t="shared" si="58"/>
        <v>1</v>
      </c>
      <c r="N290" s="1106"/>
      <c r="O290" s="1097">
        <f t="shared" si="59"/>
        <v>1</v>
      </c>
      <c r="P290" s="1106"/>
      <c r="Q290" s="1097">
        <f t="shared" si="60"/>
        <v>1</v>
      </c>
      <c r="R290" s="1157">
        <f t="shared" si="61"/>
        <v>0</v>
      </c>
      <c r="S290" s="1096">
        <f t="shared" si="62"/>
        <v>0</v>
      </c>
    </row>
    <row r="291" spans="1:19">
      <c r="A291" s="1104"/>
      <c r="B291" s="1105"/>
      <c r="C291" s="1097">
        <f t="shared" si="53"/>
        <v>1</v>
      </c>
      <c r="D291" s="1106"/>
      <c r="E291" s="1097">
        <f t="shared" si="54"/>
        <v>1</v>
      </c>
      <c r="F291" s="1106"/>
      <c r="G291" s="1097">
        <f t="shared" si="55"/>
        <v>1</v>
      </c>
      <c r="H291" s="1106"/>
      <c r="I291" s="1097">
        <f t="shared" si="56"/>
        <v>1</v>
      </c>
      <c r="J291" s="1106"/>
      <c r="K291" s="1097">
        <f t="shared" si="57"/>
        <v>1</v>
      </c>
      <c r="L291" s="1106"/>
      <c r="M291" s="1097">
        <f t="shared" si="58"/>
        <v>1</v>
      </c>
      <c r="N291" s="1106"/>
      <c r="O291" s="1097">
        <f t="shared" si="59"/>
        <v>1</v>
      </c>
      <c r="P291" s="1106"/>
      <c r="Q291" s="1097">
        <f t="shared" si="60"/>
        <v>1</v>
      </c>
      <c r="R291" s="1157">
        <f t="shared" si="61"/>
        <v>0</v>
      </c>
      <c r="S291" s="1096">
        <f t="shared" si="62"/>
        <v>0</v>
      </c>
    </row>
    <row r="292" spans="1:19">
      <c r="A292" s="1104"/>
      <c r="B292" s="1105"/>
      <c r="C292" s="1097">
        <f t="shared" si="53"/>
        <v>1</v>
      </c>
      <c r="D292" s="1106"/>
      <c r="E292" s="1097">
        <f t="shared" si="54"/>
        <v>1</v>
      </c>
      <c r="F292" s="1106"/>
      <c r="G292" s="1097">
        <f t="shared" si="55"/>
        <v>1</v>
      </c>
      <c r="H292" s="1106"/>
      <c r="I292" s="1097">
        <f t="shared" si="56"/>
        <v>1</v>
      </c>
      <c r="J292" s="1106"/>
      <c r="K292" s="1097">
        <f t="shared" si="57"/>
        <v>1</v>
      </c>
      <c r="L292" s="1106"/>
      <c r="M292" s="1097">
        <f t="shared" si="58"/>
        <v>1</v>
      </c>
      <c r="N292" s="1106"/>
      <c r="O292" s="1097">
        <f t="shared" si="59"/>
        <v>1</v>
      </c>
      <c r="P292" s="1106"/>
      <c r="Q292" s="1097">
        <f t="shared" si="60"/>
        <v>1</v>
      </c>
      <c r="R292" s="1157">
        <f t="shared" si="61"/>
        <v>0</v>
      </c>
      <c r="S292" s="1096">
        <f t="shared" si="62"/>
        <v>0</v>
      </c>
    </row>
    <row r="293" spans="1:19">
      <c r="A293" s="1104"/>
      <c r="B293" s="1105"/>
      <c r="C293" s="1097">
        <f t="shared" si="53"/>
        <v>1</v>
      </c>
      <c r="D293" s="1106"/>
      <c r="E293" s="1097">
        <f t="shared" si="54"/>
        <v>1</v>
      </c>
      <c r="F293" s="1106"/>
      <c r="G293" s="1097">
        <f t="shared" si="55"/>
        <v>1</v>
      </c>
      <c r="H293" s="1106"/>
      <c r="I293" s="1097">
        <f t="shared" si="56"/>
        <v>1</v>
      </c>
      <c r="J293" s="1106"/>
      <c r="K293" s="1097">
        <f t="shared" si="57"/>
        <v>1</v>
      </c>
      <c r="L293" s="1106"/>
      <c r="M293" s="1097">
        <f t="shared" si="58"/>
        <v>1</v>
      </c>
      <c r="N293" s="1106"/>
      <c r="O293" s="1097">
        <f t="shared" si="59"/>
        <v>1</v>
      </c>
      <c r="P293" s="1106"/>
      <c r="Q293" s="1097">
        <f t="shared" si="60"/>
        <v>1</v>
      </c>
      <c r="R293" s="1157">
        <f t="shared" si="61"/>
        <v>0</v>
      </c>
      <c r="S293" s="1096">
        <f t="shared" si="62"/>
        <v>0</v>
      </c>
    </row>
    <row r="294" spans="1:19">
      <c r="A294" s="1104"/>
      <c r="B294" s="1105"/>
      <c r="C294" s="1097">
        <f t="shared" si="53"/>
        <v>1</v>
      </c>
      <c r="D294" s="1106"/>
      <c r="E294" s="1097">
        <f t="shared" si="54"/>
        <v>1</v>
      </c>
      <c r="F294" s="1106"/>
      <c r="G294" s="1097">
        <f t="shared" si="55"/>
        <v>1</v>
      </c>
      <c r="H294" s="1106"/>
      <c r="I294" s="1097">
        <f t="shared" si="56"/>
        <v>1</v>
      </c>
      <c r="J294" s="1106"/>
      <c r="K294" s="1097">
        <f t="shared" si="57"/>
        <v>1</v>
      </c>
      <c r="L294" s="1106"/>
      <c r="M294" s="1097">
        <f t="shared" si="58"/>
        <v>1</v>
      </c>
      <c r="N294" s="1106"/>
      <c r="O294" s="1097">
        <f t="shared" si="59"/>
        <v>1</v>
      </c>
      <c r="P294" s="1106"/>
      <c r="Q294" s="1097">
        <f t="shared" si="60"/>
        <v>1</v>
      </c>
      <c r="R294" s="1157">
        <f t="shared" si="61"/>
        <v>0</v>
      </c>
      <c r="S294" s="1096">
        <f t="shared" si="62"/>
        <v>0</v>
      </c>
    </row>
    <row r="295" spans="1:19">
      <c r="A295" s="1104"/>
      <c r="B295" s="1105"/>
      <c r="C295" s="1097">
        <f t="shared" si="53"/>
        <v>1</v>
      </c>
      <c r="D295" s="1106"/>
      <c r="E295" s="1097">
        <f t="shared" si="54"/>
        <v>1</v>
      </c>
      <c r="F295" s="1106"/>
      <c r="G295" s="1097">
        <f t="shared" si="55"/>
        <v>1</v>
      </c>
      <c r="H295" s="1106"/>
      <c r="I295" s="1097">
        <f t="shared" si="56"/>
        <v>1</v>
      </c>
      <c r="J295" s="1106"/>
      <c r="K295" s="1097">
        <f t="shared" si="57"/>
        <v>1</v>
      </c>
      <c r="L295" s="1106"/>
      <c r="M295" s="1097">
        <f t="shared" si="58"/>
        <v>1</v>
      </c>
      <c r="N295" s="1106"/>
      <c r="O295" s="1097">
        <f t="shared" si="59"/>
        <v>1</v>
      </c>
      <c r="P295" s="1106"/>
      <c r="Q295" s="1097">
        <f t="shared" si="60"/>
        <v>1</v>
      </c>
      <c r="R295" s="1157">
        <f t="shared" si="61"/>
        <v>0</v>
      </c>
      <c r="S295" s="1096">
        <f t="shared" si="62"/>
        <v>0</v>
      </c>
    </row>
    <row r="296" spans="1:19">
      <c r="A296" s="1104"/>
      <c r="B296" s="1105"/>
      <c r="C296" s="1097">
        <f t="shared" si="53"/>
        <v>1</v>
      </c>
      <c r="D296" s="1106"/>
      <c r="E296" s="1097">
        <f t="shared" si="54"/>
        <v>1</v>
      </c>
      <c r="F296" s="1106"/>
      <c r="G296" s="1097">
        <f t="shared" si="55"/>
        <v>1</v>
      </c>
      <c r="H296" s="1106"/>
      <c r="I296" s="1097">
        <f t="shared" si="56"/>
        <v>1</v>
      </c>
      <c r="J296" s="1106"/>
      <c r="K296" s="1097">
        <f t="shared" si="57"/>
        <v>1</v>
      </c>
      <c r="L296" s="1106"/>
      <c r="M296" s="1097">
        <f t="shared" si="58"/>
        <v>1</v>
      </c>
      <c r="N296" s="1106"/>
      <c r="O296" s="1097">
        <f t="shared" si="59"/>
        <v>1</v>
      </c>
      <c r="P296" s="1106"/>
      <c r="Q296" s="1097">
        <f t="shared" si="60"/>
        <v>1</v>
      </c>
      <c r="R296" s="1157">
        <f t="shared" si="61"/>
        <v>0</v>
      </c>
      <c r="S296" s="1096">
        <f t="shared" si="62"/>
        <v>0</v>
      </c>
    </row>
    <row r="297" spans="1:19">
      <c r="A297" s="1104"/>
      <c r="B297" s="1105"/>
      <c r="C297" s="1097">
        <f t="shared" si="53"/>
        <v>1</v>
      </c>
      <c r="D297" s="1106"/>
      <c r="E297" s="1097">
        <f t="shared" si="54"/>
        <v>1</v>
      </c>
      <c r="F297" s="1106"/>
      <c r="G297" s="1097">
        <f t="shared" si="55"/>
        <v>1</v>
      </c>
      <c r="H297" s="1106"/>
      <c r="I297" s="1097">
        <f t="shared" si="56"/>
        <v>1</v>
      </c>
      <c r="J297" s="1106"/>
      <c r="K297" s="1097">
        <f t="shared" si="57"/>
        <v>1</v>
      </c>
      <c r="L297" s="1106"/>
      <c r="M297" s="1097">
        <f t="shared" si="58"/>
        <v>1</v>
      </c>
      <c r="N297" s="1106"/>
      <c r="O297" s="1097">
        <f t="shared" si="59"/>
        <v>1</v>
      </c>
      <c r="P297" s="1106"/>
      <c r="Q297" s="1097">
        <f t="shared" si="60"/>
        <v>1</v>
      </c>
      <c r="R297" s="1157">
        <f t="shared" si="61"/>
        <v>0</v>
      </c>
      <c r="S297" s="1096">
        <f t="shared" si="62"/>
        <v>0</v>
      </c>
    </row>
    <row r="298" spans="1:19">
      <c r="A298" s="1104"/>
      <c r="B298" s="1105"/>
      <c r="C298" s="1097">
        <f t="shared" si="53"/>
        <v>1</v>
      </c>
      <c r="D298" s="1106"/>
      <c r="E298" s="1097">
        <f t="shared" si="54"/>
        <v>1</v>
      </c>
      <c r="F298" s="1106"/>
      <c r="G298" s="1097">
        <f t="shared" si="55"/>
        <v>1</v>
      </c>
      <c r="H298" s="1106"/>
      <c r="I298" s="1097">
        <f t="shared" si="56"/>
        <v>1</v>
      </c>
      <c r="J298" s="1106"/>
      <c r="K298" s="1097">
        <f t="shared" si="57"/>
        <v>1</v>
      </c>
      <c r="L298" s="1106"/>
      <c r="M298" s="1097">
        <f t="shared" si="58"/>
        <v>1</v>
      </c>
      <c r="N298" s="1106"/>
      <c r="O298" s="1097">
        <f t="shared" si="59"/>
        <v>1</v>
      </c>
      <c r="P298" s="1106"/>
      <c r="Q298" s="1097">
        <f t="shared" si="60"/>
        <v>1</v>
      </c>
      <c r="R298" s="1157">
        <f t="shared" si="61"/>
        <v>0</v>
      </c>
      <c r="S298" s="1096">
        <f t="shared" si="62"/>
        <v>0</v>
      </c>
    </row>
    <row r="299" spans="1:19">
      <c r="A299" s="1104"/>
      <c r="B299" s="1105"/>
      <c r="C299" s="1097">
        <f t="shared" si="53"/>
        <v>1</v>
      </c>
      <c r="D299" s="1106"/>
      <c r="E299" s="1097">
        <f t="shared" si="54"/>
        <v>1</v>
      </c>
      <c r="F299" s="1106"/>
      <c r="G299" s="1097">
        <f t="shared" si="55"/>
        <v>1</v>
      </c>
      <c r="H299" s="1106"/>
      <c r="I299" s="1097">
        <f t="shared" si="56"/>
        <v>1</v>
      </c>
      <c r="J299" s="1106"/>
      <c r="K299" s="1097">
        <f t="shared" si="57"/>
        <v>1</v>
      </c>
      <c r="L299" s="1106"/>
      <c r="M299" s="1097">
        <f t="shared" si="58"/>
        <v>1</v>
      </c>
      <c r="N299" s="1106"/>
      <c r="O299" s="1097">
        <f t="shared" si="59"/>
        <v>1</v>
      </c>
      <c r="P299" s="1106"/>
      <c r="Q299" s="1097">
        <f t="shared" si="60"/>
        <v>1</v>
      </c>
      <c r="R299" s="1157">
        <f t="shared" si="61"/>
        <v>0</v>
      </c>
      <c r="S299" s="1096">
        <f t="shared" si="62"/>
        <v>0</v>
      </c>
    </row>
    <row r="300" spans="1:19">
      <c r="A300" s="1104"/>
      <c r="B300" s="1105"/>
      <c r="C300" s="1097">
        <f t="shared" si="53"/>
        <v>1</v>
      </c>
      <c r="D300" s="1106"/>
      <c r="E300" s="1097">
        <f t="shared" si="54"/>
        <v>1</v>
      </c>
      <c r="F300" s="1106"/>
      <c r="G300" s="1097">
        <f t="shared" si="55"/>
        <v>1</v>
      </c>
      <c r="H300" s="1106"/>
      <c r="I300" s="1097">
        <f t="shared" si="56"/>
        <v>1</v>
      </c>
      <c r="J300" s="1106"/>
      <c r="K300" s="1097">
        <f t="shared" si="57"/>
        <v>1</v>
      </c>
      <c r="L300" s="1106"/>
      <c r="M300" s="1097">
        <f t="shared" si="58"/>
        <v>1</v>
      </c>
      <c r="N300" s="1106"/>
      <c r="O300" s="1097">
        <f t="shared" si="59"/>
        <v>1</v>
      </c>
      <c r="P300" s="1106"/>
      <c r="Q300" s="1097">
        <f t="shared" si="60"/>
        <v>1</v>
      </c>
      <c r="R300" s="1157">
        <f t="shared" si="61"/>
        <v>0</v>
      </c>
      <c r="S300" s="1096">
        <f t="shared" si="62"/>
        <v>0</v>
      </c>
    </row>
    <row r="301" spans="1:19">
      <c r="A301" s="1104"/>
      <c r="B301" s="1105"/>
      <c r="C301" s="1097">
        <f t="shared" si="53"/>
        <v>1</v>
      </c>
      <c r="D301" s="1106"/>
      <c r="E301" s="1097">
        <f t="shared" si="54"/>
        <v>1</v>
      </c>
      <c r="F301" s="1106"/>
      <c r="G301" s="1097">
        <f t="shared" si="55"/>
        <v>1</v>
      </c>
      <c r="H301" s="1106"/>
      <c r="I301" s="1097">
        <f t="shared" si="56"/>
        <v>1</v>
      </c>
      <c r="J301" s="1106"/>
      <c r="K301" s="1097">
        <f t="shared" si="57"/>
        <v>1</v>
      </c>
      <c r="L301" s="1106"/>
      <c r="M301" s="1097">
        <f t="shared" si="58"/>
        <v>1</v>
      </c>
      <c r="N301" s="1106"/>
      <c r="O301" s="1097">
        <f t="shared" si="59"/>
        <v>1</v>
      </c>
      <c r="P301" s="1106"/>
      <c r="Q301" s="1097">
        <f t="shared" si="60"/>
        <v>1</v>
      </c>
      <c r="R301" s="1157">
        <f t="shared" si="61"/>
        <v>0</v>
      </c>
      <c r="S301" s="1096">
        <f t="shared" si="62"/>
        <v>0</v>
      </c>
    </row>
    <row r="302" spans="1:19">
      <c r="A302" s="1104"/>
      <c r="B302" s="1105"/>
      <c r="C302" s="1097">
        <f t="shared" si="53"/>
        <v>1</v>
      </c>
      <c r="D302" s="1106"/>
      <c r="E302" s="1097">
        <f t="shared" si="54"/>
        <v>1</v>
      </c>
      <c r="F302" s="1106"/>
      <c r="G302" s="1097">
        <f t="shared" si="55"/>
        <v>1</v>
      </c>
      <c r="H302" s="1106"/>
      <c r="I302" s="1097">
        <f t="shared" si="56"/>
        <v>1</v>
      </c>
      <c r="J302" s="1106"/>
      <c r="K302" s="1097">
        <f t="shared" si="57"/>
        <v>1</v>
      </c>
      <c r="L302" s="1106"/>
      <c r="M302" s="1097">
        <f t="shared" si="58"/>
        <v>1</v>
      </c>
      <c r="N302" s="1106"/>
      <c r="O302" s="1097">
        <f t="shared" si="59"/>
        <v>1</v>
      </c>
      <c r="P302" s="1106"/>
      <c r="Q302" s="1097">
        <f t="shared" si="60"/>
        <v>1</v>
      </c>
      <c r="R302" s="1157">
        <f t="shared" si="61"/>
        <v>0</v>
      </c>
      <c r="S302" s="1096">
        <f t="shared" si="62"/>
        <v>0</v>
      </c>
    </row>
    <row r="303" spans="1:19">
      <c r="A303" s="1104"/>
      <c r="B303" s="1105"/>
      <c r="C303" s="1097">
        <f t="shared" si="53"/>
        <v>1</v>
      </c>
      <c r="D303" s="1106"/>
      <c r="E303" s="1097">
        <f t="shared" si="54"/>
        <v>1</v>
      </c>
      <c r="F303" s="1106"/>
      <c r="G303" s="1097">
        <f t="shared" si="55"/>
        <v>1</v>
      </c>
      <c r="H303" s="1106"/>
      <c r="I303" s="1097">
        <f t="shared" si="56"/>
        <v>1</v>
      </c>
      <c r="J303" s="1106"/>
      <c r="K303" s="1097">
        <f t="shared" si="57"/>
        <v>1</v>
      </c>
      <c r="L303" s="1106"/>
      <c r="M303" s="1097">
        <f t="shared" si="58"/>
        <v>1</v>
      </c>
      <c r="N303" s="1106"/>
      <c r="O303" s="1097">
        <f t="shared" si="59"/>
        <v>1</v>
      </c>
      <c r="P303" s="1106"/>
      <c r="Q303" s="1097">
        <f t="shared" si="60"/>
        <v>1</v>
      </c>
      <c r="R303" s="1157">
        <f t="shared" si="61"/>
        <v>0</v>
      </c>
      <c r="S303" s="1096">
        <f t="shared" si="62"/>
        <v>0</v>
      </c>
    </row>
    <row r="304" spans="1:19">
      <c r="A304" s="1104"/>
      <c r="B304" s="1105"/>
      <c r="C304" s="1097">
        <f t="shared" si="53"/>
        <v>1</v>
      </c>
      <c r="D304" s="1106"/>
      <c r="E304" s="1097">
        <f t="shared" si="54"/>
        <v>1</v>
      </c>
      <c r="F304" s="1106"/>
      <c r="G304" s="1097">
        <f t="shared" si="55"/>
        <v>1</v>
      </c>
      <c r="H304" s="1106"/>
      <c r="I304" s="1097">
        <f t="shared" si="56"/>
        <v>1</v>
      </c>
      <c r="J304" s="1106"/>
      <c r="K304" s="1097">
        <f t="shared" si="57"/>
        <v>1</v>
      </c>
      <c r="L304" s="1106"/>
      <c r="M304" s="1097">
        <f t="shared" si="58"/>
        <v>1</v>
      </c>
      <c r="N304" s="1106"/>
      <c r="O304" s="1097">
        <f t="shared" si="59"/>
        <v>1</v>
      </c>
      <c r="P304" s="1106"/>
      <c r="Q304" s="1097">
        <f t="shared" si="60"/>
        <v>1</v>
      </c>
      <c r="R304" s="1157">
        <f t="shared" si="61"/>
        <v>0</v>
      </c>
      <c r="S304" s="1096">
        <f t="shared" si="62"/>
        <v>0</v>
      </c>
    </row>
    <row r="305" spans="1:19">
      <c r="A305" s="1104"/>
      <c r="B305" s="1105"/>
      <c r="C305" s="1097">
        <f t="shared" si="53"/>
        <v>1</v>
      </c>
      <c r="D305" s="1106"/>
      <c r="E305" s="1097">
        <f t="shared" si="54"/>
        <v>1</v>
      </c>
      <c r="F305" s="1106"/>
      <c r="G305" s="1097">
        <f t="shared" si="55"/>
        <v>1</v>
      </c>
      <c r="H305" s="1106"/>
      <c r="I305" s="1097">
        <f t="shared" si="56"/>
        <v>1</v>
      </c>
      <c r="J305" s="1106"/>
      <c r="K305" s="1097">
        <f t="shared" si="57"/>
        <v>1</v>
      </c>
      <c r="L305" s="1106"/>
      <c r="M305" s="1097">
        <f t="shared" si="58"/>
        <v>1</v>
      </c>
      <c r="N305" s="1106"/>
      <c r="O305" s="1097">
        <f t="shared" si="59"/>
        <v>1</v>
      </c>
      <c r="P305" s="1106"/>
      <c r="Q305" s="1097">
        <f t="shared" si="60"/>
        <v>1</v>
      </c>
      <c r="R305" s="1157">
        <f t="shared" si="61"/>
        <v>0</v>
      </c>
      <c r="S305" s="1096">
        <f t="shared" si="62"/>
        <v>0</v>
      </c>
    </row>
    <row r="306" spans="1:19">
      <c r="A306" s="1104"/>
      <c r="B306" s="1105"/>
      <c r="C306" s="1097">
        <f t="shared" si="53"/>
        <v>1</v>
      </c>
      <c r="D306" s="1106"/>
      <c r="E306" s="1097">
        <f t="shared" si="54"/>
        <v>1</v>
      </c>
      <c r="F306" s="1106"/>
      <c r="G306" s="1097">
        <f t="shared" si="55"/>
        <v>1</v>
      </c>
      <c r="H306" s="1106"/>
      <c r="I306" s="1097">
        <f t="shared" si="56"/>
        <v>1</v>
      </c>
      <c r="J306" s="1106"/>
      <c r="K306" s="1097">
        <f t="shared" si="57"/>
        <v>1</v>
      </c>
      <c r="L306" s="1106"/>
      <c r="M306" s="1097">
        <f t="shared" si="58"/>
        <v>1</v>
      </c>
      <c r="N306" s="1106"/>
      <c r="O306" s="1097">
        <f t="shared" si="59"/>
        <v>1</v>
      </c>
      <c r="P306" s="1106"/>
      <c r="Q306" s="1097">
        <f t="shared" si="60"/>
        <v>1</v>
      </c>
      <c r="R306" s="1157">
        <f t="shared" si="61"/>
        <v>0</v>
      </c>
      <c r="S306" s="1096">
        <f t="shared" si="62"/>
        <v>0</v>
      </c>
    </row>
    <row r="307" spans="1:19">
      <c r="A307" s="1104"/>
      <c r="B307" s="1105"/>
      <c r="C307" s="1097">
        <f t="shared" si="53"/>
        <v>1</v>
      </c>
      <c r="D307" s="1106"/>
      <c r="E307" s="1097">
        <f t="shared" si="54"/>
        <v>1</v>
      </c>
      <c r="F307" s="1106"/>
      <c r="G307" s="1097">
        <f t="shared" si="55"/>
        <v>1</v>
      </c>
      <c r="H307" s="1106"/>
      <c r="I307" s="1097">
        <f t="shared" si="56"/>
        <v>1</v>
      </c>
      <c r="J307" s="1106"/>
      <c r="K307" s="1097">
        <f t="shared" si="57"/>
        <v>1</v>
      </c>
      <c r="L307" s="1106"/>
      <c r="M307" s="1097">
        <f t="shared" si="58"/>
        <v>1</v>
      </c>
      <c r="N307" s="1106"/>
      <c r="O307" s="1097">
        <f t="shared" si="59"/>
        <v>1</v>
      </c>
      <c r="P307" s="1106"/>
      <c r="Q307" s="1097">
        <f t="shared" si="60"/>
        <v>1</v>
      </c>
      <c r="R307" s="1157">
        <f t="shared" si="61"/>
        <v>0</v>
      </c>
      <c r="S307" s="1096">
        <f t="shared" si="62"/>
        <v>0</v>
      </c>
    </row>
    <row r="308" spans="1:19">
      <c r="A308" s="1104"/>
      <c r="B308" s="1105"/>
      <c r="C308" s="1097">
        <f t="shared" si="53"/>
        <v>1</v>
      </c>
      <c r="D308" s="1106"/>
      <c r="E308" s="1097">
        <f t="shared" si="54"/>
        <v>1</v>
      </c>
      <c r="F308" s="1106"/>
      <c r="G308" s="1097">
        <f t="shared" si="55"/>
        <v>1</v>
      </c>
      <c r="H308" s="1106"/>
      <c r="I308" s="1097">
        <f t="shared" si="56"/>
        <v>1</v>
      </c>
      <c r="J308" s="1106"/>
      <c r="K308" s="1097">
        <f t="shared" si="57"/>
        <v>1</v>
      </c>
      <c r="L308" s="1106"/>
      <c r="M308" s="1097">
        <f t="shared" si="58"/>
        <v>1</v>
      </c>
      <c r="N308" s="1106"/>
      <c r="O308" s="1097">
        <f t="shared" si="59"/>
        <v>1</v>
      </c>
      <c r="P308" s="1106"/>
      <c r="Q308" s="1097">
        <f t="shared" si="60"/>
        <v>1</v>
      </c>
      <c r="R308" s="1157">
        <f t="shared" si="61"/>
        <v>0</v>
      </c>
      <c r="S308" s="1096">
        <f t="shared" si="62"/>
        <v>0</v>
      </c>
    </row>
    <row r="309" spans="1:19">
      <c r="A309" s="1104"/>
      <c r="B309" s="1105"/>
      <c r="C309" s="1097">
        <f t="shared" si="53"/>
        <v>1</v>
      </c>
      <c r="D309" s="1106"/>
      <c r="E309" s="1097">
        <f t="shared" si="54"/>
        <v>1</v>
      </c>
      <c r="F309" s="1106"/>
      <c r="G309" s="1097">
        <f t="shared" si="55"/>
        <v>1</v>
      </c>
      <c r="H309" s="1106"/>
      <c r="I309" s="1097">
        <f t="shared" si="56"/>
        <v>1</v>
      </c>
      <c r="J309" s="1106"/>
      <c r="K309" s="1097">
        <f t="shared" si="57"/>
        <v>1</v>
      </c>
      <c r="L309" s="1106"/>
      <c r="M309" s="1097">
        <f t="shared" si="58"/>
        <v>1</v>
      </c>
      <c r="N309" s="1106"/>
      <c r="O309" s="1097">
        <f t="shared" si="59"/>
        <v>1</v>
      </c>
      <c r="P309" s="1106"/>
      <c r="Q309" s="1097">
        <f t="shared" si="60"/>
        <v>1</v>
      </c>
      <c r="R309" s="1157">
        <f t="shared" si="61"/>
        <v>0</v>
      </c>
      <c r="S309" s="1096">
        <f t="shared" si="62"/>
        <v>0</v>
      </c>
    </row>
    <row r="310" spans="1:19">
      <c r="A310" s="1104"/>
      <c r="B310" s="1105"/>
      <c r="C310" s="1097">
        <f t="shared" si="53"/>
        <v>1</v>
      </c>
      <c r="D310" s="1106"/>
      <c r="E310" s="1097">
        <f t="shared" si="54"/>
        <v>1</v>
      </c>
      <c r="F310" s="1106"/>
      <c r="G310" s="1097">
        <f t="shared" si="55"/>
        <v>1</v>
      </c>
      <c r="H310" s="1106"/>
      <c r="I310" s="1097">
        <f t="shared" si="56"/>
        <v>1</v>
      </c>
      <c r="J310" s="1106"/>
      <c r="K310" s="1097">
        <f t="shared" si="57"/>
        <v>1</v>
      </c>
      <c r="L310" s="1106"/>
      <c r="M310" s="1097">
        <f t="shared" si="58"/>
        <v>1</v>
      </c>
      <c r="N310" s="1106"/>
      <c r="O310" s="1097">
        <f t="shared" si="59"/>
        <v>1</v>
      </c>
      <c r="P310" s="1106"/>
      <c r="Q310" s="1097">
        <f t="shared" si="60"/>
        <v>1</v>
      </c>
      <c r="R310" s="1157">
        <f t="shared" si="61"/>
        <v>0</v>
      </c>
      <c r="S310" s="1096">
        <f t="shared" si="62"/>
        <v>0</v>
      </c>
    </row>
    <row r="311" spans="1:19">
      <c r="A311" s="1104"/>
      <c r="B311" s="1105"/>
      <c r="C311" s="1097">
        <f t="shared" si="53"/>
        <v>1</v>
      </c>
      <c r="D311" s="1106"/>
      <c r="E311" s="1097">
        <f t="shared" si="54"/>
        <v>1</v>
      </c>
      <c r="F311" s="1106"/>
      <c r="G311" s="1097">
        <f t="shared" si="55"/>
        <v>1</v>
      </c>
      <c r="H311" s="1106"/>
      <c r="I311" s="1097">
        <f t="shared" si="56"/>
        <v>1</v>
      </c>
      <c r="J311" s="1106"/>
      <c r="K311" s="1097">
        <f t="shared" si="57"/>
        <v>1</v>
      </c>
      <c r="L311" s="1106"/>
      <c r="M311" s="1097">
        <f t="shared" si="58"/>
        <v>1</v>
      </c>
      <c r="N311" s="1106"/>
      <c r="O311" s="1097">
        <f t="shared" si="59"/>
        <v>1</v>
      </c>
      <c r="P311" s="1106"/>
      <c r="Q311" s="1097">
        <f t="shared" si="60"/>
        <v>1</v>
      </c>
      <c r="R311" s="1157">
        <f t="shared" si="61"/>
        <v>0</v>
      </c>
      <c r="S311" s="1096">
        <f t="shared" si="62"/>
        <v>0</v>
      </c>
    </row>
    <row r="312" spans="1:19">
      <c r="A312" s="1104"/>
      <c r="B312" s="1105"/>
      <c r="C312" s="1097">
        <f t="shared" si="53"/>
        <v>1</v>
      </c>
      <c r="D312" s="1106"/>
      <c r="E312" s="1097">
        <f t="shared" si="54"/>
        <v>1</v>
      </c>
      <c r="F312" s="1106"/>
      <c r="G312" s="1097">
        <f t="shared" si="55"/>
        <v>1</v>
      </c>
      <c r="H312" s="1106"/>
      <c r="I312" s="1097">
        <f t="shared" si="56"/>
        <v>1</v>
      </c>
      <c r="J312" s="1106"/>
      <c r="K312" s="1097">
        <f t="shared" si="57"/>
        <v>1</v>
      </c>
      <c r="L312" s="1106"/>
      <c r="M312" s="1097">
        <f t="shared" si="58"/>
        <v>1</v>
      </c>
      <c r="N312" s="1106"/>
      <c r="O312" s="1097">
        <f t="shared" si="59"/>
        <v>1</v>
      </c>
      <c r="P312" s="1106"/>
      <c r="Q312" s="1097">
        <f t="shared" si="60"/>
        <v>1</v>
      </c>
      <c r="R312" s="1157">
        <f t="shared" si="61"/>
        <v>0</v>
      </c>
      <c r="S312" s="1096">
        <f t="shared" si="62"/>
        <v>0</v>
      </c>
    </row>
    <row r="313" spans="1:19">
      <c r="A313" s="1104"/>
      <c r="B313" s="1105"/>
      <c r="C313" s="1097">
        <f t="shared" si="53"/>
        <v>1</v>
      </c>
      <c r="D313" s="1106"/>
      <c r="E313" s="1097">
        <f t="shared" si="54"/>
        <v>1</v>
      </c>
      <c r="F313" s="1106"/>
      <c r="G313" s="1097">
        <f t="shared" si="55"/>
        <v>1</v>
      </c>
      <c r="H313" s="1106"/>
      <c r="I313" s="1097">
        <f t="shared" si="56"/>
        <v>1</v>
      </c>
      <c r="J313" s="1106"/>
      <c r="K313" s="1097">
        <f t="shared" si="57"/>
        <v>1</v>
      </c>
      <c r="L313" s="1106"/>
      <c r="M313" s="1097">
        <f t="shared" si="58"/>
        <v>1</v>
      </c>
      <c r="N313" s="1106"/>
      <c r="O313" s="1097">
        <f t="shared" si="59"/>
        <v>1</v>
      </c>
      <c r="P313" s="1106"/>
      <c r="Q313" s="1097">
        <f t="shared" si="60"/>
        <v>1</v>
      </c>
      <c r="R313" s="1157">
        <f t="shared" si="61"/>
        <v>0</v>
      </c>
      <c r="S313" s="1096">
        <f t="shared" si="62"/>
        <v>0</v>
      </c>
    </row>
    <row r="314" spans="1:19">
      <c r="A314" s="1104"/>
      <c r="B314" s="1105"/>
      <c r="C314" s="1097">
        <f t="shared" si="53"/>
        <v>1</v>
      </c>
      <c r="D314" s="1106"/>
      <c r="E314" s="1097">
        <f t="shared" si="54"/>
        <v>1</v>
      </c>
      <c r="F314" s="1106"/>
      <c r="G314" s="1097">
        <f t="shared" si="55"/>
        <v>1</v>
      </c>
      <c r="H314" s="1106"/>
      <c r="I314" s="1097">
        <f t="shared" si="56"/>
        <v>1</v>
      </c>
      <c r="J314" s="1106"/>
      <c r="K314" s="1097">
        <f t="shared" si="57"/>
        <v>1</v>
      </c>
      <c r="L314" s="1106"/>
      <c r="M314" s="1097">
        <f t="shared" si="58"/>
        <v>1</v>
      </c>
      <c r="N314" s="1106"/>
      <c r="O314" s="1097">
        <f t="shared" si="59"/>
        <v>1</v>
      </c>
      <c r="P314" s="1106"/>
      <c r="Q314" s="1097">
        <f t="shared" si="60"/>
        <v>1</v>
      </c>
      <c r="R314" s="1157">
        <f t="shared" si="61"/>
        <v>0</v>
      </c>
      <c r="S314" s="1096">
        <f t="shared" si="62"/>
        <v>0</v>
      </c>
    </row>
    <row r="315" spans="1:19">
      <c r="A315" s="1104"/>
      <c r="B315" s="1105"/>
      <c r="C315" s="1097">
        <f t="shared" si="53"/>
        <v>1</v>
      </c>
      <c r="D315" s="1106"/>
      <c r="E315" s="1097">
        <f t="shared" si="54"/>
        <v>1</v>
      </c>
      <c r="F315" s="1106"/>
      <c r="G315" s="1097">
        <f t="shared" si="55"/>
        <v>1</v>
      </c>
      <c r="H315" s="1106"/>
      <c r="I315" s="1097">
        <f t="shared" si="56"/>
        <v>1</v>
      </c>
      <c r="J315" s="1106"/>
      <c r="K315" s="1097">
        <f t="shared" si="57"/>
        <v>1</v>
      </c>
      <c r="L315" s="1106"/>
      <c r="M315" s="1097">
        <f t="shared" si="58"/>
        <v>1</v>
      </c>
      <c r="N315" s="1106"/>
      <c r="O315" s="1097">
        <f t="shared" si="59"/>
        <v>1</v>
      </c>
      <c r="P315" s="1106"/>
      <c r="Q315" s="1097">
        <f t="shared" si="60"/>
        <v>1</v>
      </c>
      <c r="R315" s="1157">
        <f t="shared" si="61"/>
        <v>0</v>
      </c>
      <c r="S315" s="1096">
        <f t="shared" si="62"/>
        <v>0</v>
      </c>
    </row>
    <row r="316" spans="1:19">
      <c r="A316" s="1104"/>
      <c r="B316" s="1105"/>
      <c r="C316" s="1097">
        <f t="shared" si="53"/>
        <v>1</v>
      </c>
      <c r="D316" s="1106"/>
      <c r="E316" s="1097">
        <f t="shared" si="54"/>
        <v>1</v>
      </c>
      <c r="F316" s="1106"/>
      <c r="G316" s="1097">
        <f t="shared" si="55"/>
        <v>1</v>
      </c>
      <c r="H316" s="1106"/>
      <c r="I316" s="1097">
        <f t="shared" si="56"/>
        <v>1</v>
      </c>
      <c r="J316" s="1106"/>
      <c r="K316" s="1097">
        <f t="shared" si="57"/>
        <v>1</v>
      </c>
      <c r="L316" s="1106"/>
      <c r="M316" s="1097">
        <f t="shared" si="58"/>
        <v>1</v>
      </c>
      <c r="N316" s="1106"/>
      <c r="O316" s="1097">
        <f t="shared" si="59"/>
        <v>1</v>
      </c>
      <c r="P316" s="1106"/>
      <c r="Q316" s="1097">
        <f t="shared" si="60"/>
        <v>1</v>
      </c>
      <c r="R316" s="1157">
        <f t="shared" si="61"/>
        <v>0</v>
      </c>
      <c r="S316" s="1096">
        <f t="shared" si="62"/>
        <v>0</v>
      </c>
    </row>
    <row r="317" spans="1:19">
      <c r="A317" s="1104"/>
      <c r="B317" s="1105"/>
      <c r="C317" s="1097">
        <f t="shared" si="53"/>
        <v>1</v>
      </c>
      <c r="D317" s="1106"/>
      <c r="E317" s="1097">
        <f t="shared" si="54"/>
        <v>1</v>
      </c>
      <c r="F317" s="1106"/>
      <c r="G317" s="1097">
        <f t="shared" si="55"/>
        <v>1</v>
      </c>
      <c r="H317" s="1106"/>
      <c r="I317" s="1097">
        <f t="shared" si="56"/>
        <v>1</v>
      </c>
      <c r="J317" s="1106"/>
      <c r="K317" s="1097">
        <f t="shared" si="57"/>
        <v>1</v>
      </c>
      <c r="L317" s="1106"/>
      <c r="M317" s="1097">
        <f t="shared" si="58"/>
        <v>1</v>
      </c>
      <c r="N317" s="1106"/>
      <c r="O317" s="1097">
        <f t="shared" si="59"/>
        <v>1</v>
      </c>
      <c r="P317" s="1106"/>
      <c r="Q317" s="1097">
        <f t="shared" si="60"/>
        <v>1</v>
      </c>
      <c r="R317" s="1157">
        <f t="shared" si="61"/>
        <v>0</v>
      </c>
      <c r="S317" s="1096">
        <f t="shared" si="62"/>
        <v>0</v>
      </c>
    </row>
    <row r="318" spans="1:19">
      <c r="A318" s="1104"/>
      <c r="B318" s="1105"/>
      <c r="C318" s="1097">
        <f t="shared" si="53"/>
        <v>1</v>
      </c>
      <c r="D318" s="1106"/>
      <c r="E318" s="1097">
        <f t="shared" si="54"/>
        <v>1</v>
      </c>
      <c r="F318" s="1106"/>
      <c r="G318" s="1097">
        <f t="shared" si="55"/>
        <v>1</v>
      </c>
      <c r="H318" s="1106"/>
      <c r="I318" s="1097">
        <f t="shared" si="56"/>
        <v>1</v>
      </c>
      <c r="J318" s="1106"/>
      <c r="K318" s="1097">
        <f t="shared" si="57"/>
        <v>1</v>
      </c>
      <c r="L318" s="1106"/>
      <c r="M318" s="1097">
        <f t="shared" si="58"/>
        <v>1</v>
      </c>
      <c r="N318" s="1106"/>
      <c r="O318" s="1097">
        <f t="shared" si="59"/>
        <v>1</v>
      </c>
      <c r="P318" s="1106"/>
      <c r="Q318" s="1097">
        <f t="shared" si="60"/>
        <v>1</v>
      </c>
      <c r="R318" s="1157">
        <f t="shared" si="61"/>
        <v>0</v>
      </c>
      <c r="S318" s="1096">
        <f t="shared" si="62"/>
        <v>0</v>
      </c>
    </row>
    <row r="319" spans="1:19">
      <c r="A319" s="1104"/>
      <c r="B319" s="1105"/>
      <c r="C319" s="1097">
        <f t="shared" si="53"/>
        <v>1</v>
      </c>
      <c r="D319" s="1106"/>
      <c r="E319" s="1097">
        <f t="shared" si="54"/>
        <v>1</v>
      </c>
      <c r="F319" s="1106"/>
      <c r="G319" s="1097">
        <f t="shared" si="55"/>
        <v>1</v>
      </c>
      <c r="H319" s="1106"/>
      <c r="I319" s="1097">
        <f t="shared" si="56"/>
        <v>1</v>
      </c>
      <c r="J319" s="1106"/>
      <c r="K319" s="1097">
        <f t="shared" si="57"/>
        <v>1</v>
      </c>
      <c r="L319" s="1106"/>
      <c r="M319" s="1097">
        <f t="shared" si="58"/>
        <v>1</v>
      </c>
      <c r="N319" s="1106"/>
      <c r="O319" s="1097">
        <f t="shared" si="59"/>
        <v>1</v>
      </c>
      <c r="P319" s="1106"/>
      <c r="Q319" s="1097">
        <f t="shared" si="60"/>
        <v>1</v>
      </c>
      <c r="R319" s="1157">
        <f t="shared" si="61"/>
        <v>0</v>
      </c>
      <c r="S319" s="1096">
        <f t="shared" si="62"/>
        <v>0</v>
      </c>
    </row>
    <row r="320" spans="1:19">
      <c r="A320" s="1104"/>
      <c r="B320" s="1105"/>
      <c r="C320" s="1097">
        <f t="shared" si="53"/>
        <v>1</v>
      </c>
      <c r="D320" s="1106"/>
      <c r="E320" s="1097">
        <f t="shared" si="54"/>
        <v>1</v>
      </c>
      <c r="F320" s="1106"/>
      <c r="G320" s="1097">
        <f t="shared" si="55"/>
        <v>1</v>
      </c>
      <c r="H320" s="1106"/>
      <c r="I320" s="1097">
        <f t="shared" si="56"/>
        <v>1</v>
      </c>
      <c r="J320" s="1106"/>
      <c r="K320" s="1097">
        <f t="shared" si="57"/>
        <v>1</v>
      </c>
      <c r="L320" s="1106"/>
      <c r="M320" s="1097">
        <f t="shared" si="58"/>
        <v>1</v>
      </c>
      <c r="N320" s="1106"/>
      <c r="O320" s="1097">
        <f t="shared" si="59"/>
        <v>1</v>
      </c>
      <c r="P320" s="1106"/>
      <c r="Q320" s="1097">
        <f t="shared" si="60"/>
        <v>1</v>
      </c>
      <c r="R320" s="1157">
        <f t="shared" si="61"/>
        <v>0</v>
      </c>
      <c r="S320" s="1096">
        <f t="shared" si="62"/>
        <v>0</v>
      </c>
    </row>
    <row r="321" spans="1:19">
      <c r="A321" s="1104"/>
      <c r="B321" s="1105"/>
      <c r="C321" s="1097">
        <f t="shared" si="53"/>
        <v>1</v>
      </c>
      <c r="D321" s="1106"/>
      <c r="E321" s="1097">
        <f t="shared" si="54"/>
        <v>1</v>
      </c>
      <c r="F321" s="1106"/>
      <c r="G321" s="1097">
        <f t="shared" si="55"/>
        <v>1</v>
      </c>
      <c r="H321" s="1106"/>
      <c r="I321" s="1097">
        <f t="shared" si="56"/>
        <v>1</v>
      </c>
      <c r="J321" s="1106"/>
      <c r="K321" s="1097">
        <f t="shared" si="57"/>
        <v>1</v>
      </c>
      <c r="L321" s="1106"/>
      <c r="M321" s="1097">
        <f t="shared" si="58"/>
        <v>1</v>
      </c>
      <c r="N321" s="1106"/>
      <c r="O321" s="1097">
        <f t="shared" si="59"/>
        <v>1</v>
      </c>
      <c r="P321" s="1106"/>
      <c r="Q321" s="1097">
        <f t="shared" si="60"/>
        <v>1</v>
      </c>
      <c r="R321" s="1157">
        <f t="shared" si="61"/>
        <v>0</v>
      </c>
      <c r="S321" s="1096">
        <f t="shared" ref="S321:S384" si="63">ROUND(R321*B321/10000,0)</f>
        <v>0</v>
      </c>
    </row>
    <row r="322" spans="1:19">
      <c r="A322" s="1104"/>
      <c r="B322" s="1105"/>
      <c r="C322" s="1097">
        <f t="shared" si="53"/>
        <v>1</v>
      </c>
      <c r="D322" s="1106"/>
      <c r="E322" s="1097">
        <f t="shared" si="54"/>
        <v>1</v>
      </c>
      <c r="F322" s="1106"/>
      <c r="G322" s="1097">
        <f t="shared" si="55"/>
        <v>1</v>
      </c>
      <c r="H322" s="1106"/>
      <c r="I322" s="1097">
        <f t="shared" si="56"/>
        <v>1</v>
      </c>
      <c r="J322" s="1106"/>
      <c r="K322" s="1097">
        <f t="shared" si="57"/>
        <v>1</v>
      </c>
      <c r="L322" s="1106"/>
      <c r="M322" s="1097">
        <f t="shared" si="58"/>
        <v>1</v>
      </c>
      <c r="N322" s="1106"/>
      <c r="O322" s="1097">
        <f t="shared" si="59"/>
        <v>1</v>
      </c>
      <c r="P322" s="1106"/>
      <c r="Q322" s="1097">
        <f t="shared" si="60"/>
        <v>1</v>
      </c>
      <c r="R322" s="1157">
        <f t="shared" si="61"/>
        <v>0</v>
      </c>
      <c r="S322" s="1096">
        <f t="shared" si="63"/>
        <v>0</v>
      </c>
    </row>
    <row r="323" spans="1:19">
      <c r="A323" s="1104"/>
      <c r="B323" s="1105"/>
      <c r="C323" s="1097">
        <f t="shared" si="53"/>
        <v>1</v>
      </c>
      <c r="D323" s="1106"/>
      <c r="E323" s="1097">
        <f t="shared" si="54"/>
        <v>1</v>
      </c>
      <c r="F323" s="1106"/>
      <c r="G323" s="1097">
        <f t="shared" si="55"/>
        <v>1</v>
      </c>
      <c r="H323" s="1106"/>
      <c r="I323" s="1097">
        <f t="shared" si="56"/>
        <v>1</v>
      </c>
      <c r="J323" s="1106"/>
      <c r="K323" s="1097">
        <f t="shared" si="57"/>
        <v>1</v>
      </c>
      <c r="L323" s="1106"/>
      <c r="M323" s="1097">
        <f t="shared" si="58"/>
        <v>1</v>
      </c>
      <c r="N323" s="1106"/>
      <c r="O323" s="1097">
        <f t="shared" si="59"/>
        <v>1</v>
      </c>
      <c r="P323" s="1106"/>
      <c r="Q323" s="1097">
        <f t="shared" si="60"/>
        <v>1</v>
      </c>
      <c r="R323" s="1157">
        <f t="shared" si="61"/>
        <v>0</v>
      </c>
      <c r="S323" s="1096">
        <f t="shared" si="63"/>
        <v>0</v>
      </c>
    </row>
    <row r="324" spans="1:19">
      <c r="A324" s="1104"/>
      <c r="B324" s="1105"/>
      <c r="C324" s="1097">
        <f t="shared" si="53"/>
        <v>1</v>
      </c>
      <c r="D324" s="1106"/>
      <c r="E324" s="1097">
        <f t="shared" si="54"/>
        <v>1</v>
      </c>
      <c r="F324" s="1106"/>
      <c r="G324" s="1097">
        <f t="shared" si="55"/>
        <v>1</v>
      </c>
      <c r="H324" s="1106"/>
      <c r="I324" s="1097">
        <f t="shared" si="56"/>
        <v>1</v>
      </c>
      <c r="J324" s="1106"/>
      <c r="K324" s="1097">
        <f t="shared" si="57"/>
        <v>1</v>
      </c>
      <c r="L324" s="1106"/>
      <c r="M324" s="1097">
        <f t="shared" si="58"/>
        <v>1</v>
      </c>
      <c r="N324" s="1106"/>
      <c r="O324" s="1097">
        <f t="shared" si="59"/>
        <v>1</v>
      </c>
      <c r="P324" s="1106"/>
      <c r="Q324" s="1097">
        <f t="shared" si="60"/>
        <v>1</v>
      </c>
      <c r="R324" s="1157">
        <f t="shared" si="61"/>
        <v>0</v>
      </c>
      <c r="S324" s="1096">
        <f t="shared" si="63"/>
        <v>0</v>
      </c>
    </row>
    <row r="325" spans="1:19">
      <c r="A325" s="1104"/>
      <c r="B325" s="1105"/>
      <c r="C325" s="1097">
        <f t="shared" si="53"/>
        <v>1</v>
      </c>
      <c r="D325" s="1106"/>
      <c r="E325" s="1097">
        <f t="shared" si="54"/>
        <v>1</v>
      </c>
      <c r="F325" s="1106"/>
      <c r="G325" s="1097">
        <f t="shared" si="55"/>
        <v>1</v>
      </c>
      <c r="H325" s="1106"/>
      <c r="I325" s="1097">
        <f t="shared" si="56"/>
        <v>1</v>
      </c>
      <c r="J325" s="1106"/>
      <c r="K325" s="1097">
        <f t="shared" si="57"/>
        <v>1</v>
      </c>
      <c r="L325" s="1106"/>
      <c r="M325" s="1097">
        <f t="shared" si="58"/>
        <v>1</v>
      </c>
      <c r="N325" s="1106"/>
      <c r="O325" s="1097">
        <f t="shared" si="59"/>
        <v>1</v>
      </c>
      <c r="P325" s="1106"/>
      <c r="Q325" s="1097">
        <f t="shared" si="60"/>
        <v>1</v>
      </c>
      <c r="R325" s="1157">
        <f t="shared" si="61"/>
        <v>0</v>
      </c>
      <c r="S325" s="1096">
        <f t="shared" si="63"/>
        <v>0</v>
      </c>
    </row>
    <row r="326" spans="1:19">
      <c r="A326" s="1104"/>
      <c r="B326" s="1105"/>
      <c r="C326" s="1097">
        <f t="shared" si="53"/>
        <v>1</v>
      </c>
      <c r="D326" s="1106"/>
      <c r="E326" s="1097">
        <f t="shared" si="54"/>
        <v>1</v>
      </c>
      <c r="F326" s="1106"/>
      <c r="G326" s="1097">
        <f t="shared" si="55"/>
        <v>1</v>
      </c>
      <c r="H326" s="1106"/>
      <c r="I326" s="1097">
        <f t="shared" si="56"/>
        <v>1</v>
      </c>
      <c r="J326" s="1106"/>
      <c r="K326" s="1097">
        <f t="shared" si="57"/>
        <v>1</v>
      </c>
      <c r="L326" s="1106"/>
      <c r="M326" s="1097">
        <f t="shared" si="58"/>
        <v>1</v>
      </c>
      <c r="N326" s="1106"/>
      <c r="O326" s="1097">
        <f t="shared" si="59"/>
        <v>1</v>
      </c>
      <c r="P326" s="1106"/>
      <c r="Q326" s="1097">
        <f t="shared" si="60"/>
        <v>1</v>
      </c>
      <c r="R326" s="1157">
        <f t="shared" si="61"/>
        <v>0</v>
      </c>
      <c r="S326" s="1096">
        <f t="shared" si="63"/>
        <v>0</v>
      </c>
    </row>
    <row r="327" spans="1:19">
      <c r="A327" s="1104"/>
      <c r="B327" s="1105"/>
      <c r="C327" s="1097">
        <f t="shared" si="53"/>
        <v>1</v>
      </c>
      <c r="D327" s="1106"/>
      <c r="E327" s="1097">
        <f t="shared" si="54"/>
        <v>1</v>
      </c>
      <c r="F327" s="1106"/>
      <c r="G327" s="1097">
        <f t="shared" si="55"/>
        <v>1</v>
      </c>
      <c r="H327" s="1106"/>
      <c r="I327" s="1097">
        <f t="shared" si="56"/>
        <v>1</v>
      </c>
      <c r="J327" s="1106"/>
      <c r="K327" s="1097">
        <f t="shared" si="57"/>
        <v>1</v>
      </c>
      <c r="L327" s="1106"/>
      <c r="M327" s="1097">
        <f t="shared" si="58"/>
        <v>1</v>
      </c>
      <c r="N327" s="1106"/>
      <c r="O327" s="1097">
        <f t="shared" si="59"/>
        <v>1</v>
      </c>
      <c r="P327" s="1106"/>
      <c r="Q327" s="1097">
        <f t="shared" si="60"/>
        <v>1</v>
      </c>
      <c r="R327" s="1157">
        <f t="shared" si="61"/>
        <v>0</v>
      </c>
      <c r="S327" s="1096">
        <f t="shared" si="63"/>
        <v>0</v>
      </c>
    </row>
    <row r="328" spans="1:19">
      <c r="A328" s="1104"/>
      <c r="B328" s="1105"/>
      <c r="C328" s="1097">
        <f t="shared" si="53"/>
        <v>1</v>
      </c>
      <c r="D328" s="1106"/>
      <c r="E328" s="1097">
        <f t="shared" si="54"/>
        <v>1</v>
      </c>
      <c r="F328" s="1106"/>
      <c r="G328" s="1097">
        <f t="shared" si="55"/>
        <v>1</v>
      </c>
      <c r="H328" s="1106"/>
      <c r="I328" s="1097">
        <f t="shared" si="56"/>
        <v>1</v>
      </c>
      <c r="J328" s="1106"/>
      <c r="K328" s="1097">
        <f t="shared" si="57"/>
        <v>1</v>
      </c>
      <c r="L328" s="1106"/>
      <c r="M328" s="1097">
        <f t="shared" si="58"/>
        <v>1</v>
      </c>
      <c r="N328" s="1106"/>
      <c r="O328" s="1097">
        <f t="shared" si="59"/>
        <v>1</v>
      </c>
      <c r="P328" s="1106"/>
      <c r="Q328" s="1097">
        <f t="shared" si="60"/>
        <v>1</v>
      </c>
      <c r="R328" s="1157">
        <f t="shared" si="61"/>
        <v>0</v>
      </c>
      <c r="S328" s="1096">
        <f t="shared" si="63"/>
        <v>0</v>
      </c>
    </row>
    <row r="329" spans="1:19">
      <c r="A329" s="1104"/>
      <c r="B329" s="1105"/>
      <c r="C329" s="1097">
        <f t="shared" si="53"/>
        <v>1</v>
      </c>
      <c r="D329" s="1106"/>
      <c r="E329" s="1097">
        <f t="shared" si="54"/>
        <v>1</v>
      </c>
      <c r="F329" s="1106"/>
      <c r="G329" s="1097">
        <f t="shared" si="55"/>
        <v>1</v>
      </c>
      <c r="H329" s="1106"/>
      <c r="I329" s="1097">
        <f t="shared" si="56"/>
        <v>1</v>
      </c>
      <c r="J329" s="1106"/>
      <c r="K329" s="1097">
        <f t="shared" si="57"/>
        <v>1</v>
      </c>
      <c r="L329" s="1106"/>
      <c r="M329" s="1097">
        <f t="shared" si="58"/>
        <v>1</v>
      </c>
      <c r="N329" s="1106"/>
      <c r="O329" s="1097">
        <f t="shared" si="59"/>
        <v>1</v>
      </c>
      <c r="P329" s="1106"/>
      <c r="Q329" s="1097">
        <f t="shared" si="60"/>
        <v>1</v>
      </c>
      <c r="R329" s="1157">
        <f t="shared" si="61"/>
        <v>0</v>
      </c>
      <c r="S329" s="1096">
        <f t="shared" si="63"/>
        <v>0</v>
      </c>
    </row>
    <row r="330" spans="1:19">
      <c r="A330" s="1104"/>
      <c r="B330" s="1105"/>
      <c r="C330" s="1097">
        <f t="shared" si="53"/>
        <v>1</v>
      </c>
      <c r="D330" s="1106"/>
      <c r="E330" s="1097">
        <f t="shared" si="54"/>
        <v>1</v>
      </c>
      <c r="F330" s="1106"/>
      <c r="G330" s="1097">
        <f t="shared" si="55"/>
        <v>1</v>
      </c>
      <c r="H330" s="1106"/>
      <c r="I330" s="1097">
        <f t="shared" si="56"/>
        <v>1</v>
      </c>
      <c r="J330" s="1106"/>
      <c r="K330" s="1097">
        <f t="shared" si="57"/>
        <v>1</v>
      </c>
      <c r="L330" s="1106"/>
      <c r="M330" s="1097">
        <f t="shared" si="58"/>
        <v>1</v>
      </c>
      <c r="N330" s="1106"/>
      <c r="O330" s="1097">
        <f t="shared" si="59"/>
        <v>1</v>
      </c>
      <c r="P330" s="1106"/>
      <c r="Q330" s="1097">
        <f t="shared" si="60"/>
        <v>1</v>
      </c>
      <c r="R330" s="1157">
        <f t="shared" si="61"/>
        <v>0</v>
      </c>
      <c r="S330" s="1096">
        <f t="shared" si="63"/>
        <v>0</v>
      </c>
    </row>
    <row r="331" spans="1:19">
      <c r="A331" s="1104"/>
      <c r="B331" s="1105"/>
      <c r="C331" s="1097">
        <f t="shared" si="53"/>
        <v>1</v>
      </c>
      <c r="D331" s="1106"/>
      <c r="E331" s="1097">
        <f t="shared" si="54"/>
        <v>1</v>
      </c>
      <c r="F331" s="1106"/>
      <c r="G331" s="1097">
        <f t="shared" si="55"/>
        <v>1</v>
      </c>
      <c r="H331" s="1106"/>
      <c r="I331" s="1097">
        <f t="shared" si="56"/>
        <v>1</v>
      </c>
      <c r="J331" s="1106"/>
      <c r="K331" s="1097">
        <f t="shared" si="57"/>
        <v>1</v>
      </c>
      <c r="L331" s="1106"/>
      <c r="M331" s="1097">
        <f t="shared" si="58"/>
        <v>1</v>
      </c>
      <c r="N331" s="1106"/>
      <c r="O331" s="1097">
        <f t="shared" si="59"/>
        <v>1</v>
      </c>
      <c r="P331" s="1106"/>
      <c r="Q331" s="1097">
        <f t="shared" si="60"/>
        <v>1</v>
      </c>
      <c r="R331" s="1157">
        <f t="shared" si="61"/>
        <v>0</v>
      </c>
      <c r="S331" s="1096">
        <f t="shared" si="63"/>
        <v>0</v>
      </c>
    </row>
    <row r="332" spans="1:19">
      <c r="A332" s="1104"/>
      <c r="B332" s="1105"/>
      <c r="C332" s="1097">
        <f t="shared" si="53"/>
        <v>1</v>
      </c>
      <c r="D332" s="1106"/>
      <c r="E332" s="1097">
        <f t="shared" si="54"/>
        <v>1</v>
      </c>
      <c r="F332" s="1106"/>
      <c r="G332" s="1097">
        <f t="shared" si="55"/>
        <v>1</v>
      </c>
      <c r="H332" s="1106"/>
      <c r="I332" s="1097">
        <f t="shared" si="56"/>
        <v>1</v>
      </c>
      <c r="J332" s="1106"/>
      <c r="K332" s="1097">
        <f t="shared" si="57"/>
        <v>1</v>
      </c>
      <c r="L332" s="1106"/>
      <c r="M332" s="1097">
        <f t="shared" si="58"/>
        <v>1</v>
      </c>
      <c r="N332" s="1106"/>
      <c r="O332" s="1097">
        <f t="shared" si="59"/>
        <v>1</v>
      </c>
      <c r="P332" s="1106"/>
      <c r="Q332" s="1097">
        <f t="shared" si="60"/>
        <v>1</v>
      </c>
      <c r="R332" s="1157">
        <f t="shared" si="61"/>
        <v>0</v>
      </c>
      <c r="S332" s="1096">
        <f t="shared" si="63"/>
        <v>0</v>
      </c>
    </row>
    <row r="333" spans="1:19">
      <c r="A333" s="1104"/>
      <c r="B333" s="1105"/>
      <c r="C333" s="1097">
        <f t="shared" si="53"/>
        <v>1</v>
      </c>
      <c r="D333" s="1106"/>
      <c r="E333" s="1097">
        <f t="shared" si="54"/>
        <v>1</v>
      </c>
      <c r="F333" s="1106"/>
      <c r="G333" s="1097">
        <f t="shared" si="55"/>
        <v>1</v>
      </c>
      <c r="H333" s="1106"/>
      <c r="I333" s="1097">
        <f t="shared" si="56"/>
        <v>1</v>
      </c>
      <c r="J333" s="1106"/>
      <c r="K333" s="1097">
        <f t="shared" si="57"/>
        <v>1</v>
      </c>
      <c r="L333" s="1106"/>
      <c r="M333" s="1097">
        <f t="shared" si="58"/>
        <v>1</v>
      </c>
      <c r="N333" s="1106"/>
      <c r="O333" s="1097">
        <f t="shared" si="59"/>
        <v>1</v>
      </c>
      <c r="P333" s="1106"/>
      <c r="Q333" s="1097">
        <f t="shared" si="60"/>
        <v>1</v>
      </c>
      <c r="R333" s="1157">
        <f t="shared" si="61"/>
        <v>0</v>
      </c>
      <c r="S333" s="1096">
        <f t="shared" si="63"/>
        <v>0</v>
      </c>
    </row>
    <row r="334" spans="1:19">
      <c r="A334" s="1104"/>
      <c r="B334" s="1105"/>
      <c r="C334" s="1097">
        <f t="shared" si="53"/>
        <v>1</v>
      </c>
      <c r="D334" s="1106"/>
      <c r="E334" s="1097">
        <f t="shared" si="54"/>
        <v>1</v>
      </c>
      <c r="F334" s="1106"/>
      <c r="G334" s="1097">
        <f t="shared" si="55"/>
        <v>1</v>
      </c>
      <c r="H334" s="1106"/>
      <c r="I334" s="1097">
        <f t="shared" si="56"/>
        <v>1</v>
      </c>
      <c r="J334" s="1106"/>
      <c r="K334" s="1097">
        <f t="shared" si="57"/>
        <v>1</v>
      </c>
      <c r="L334" s="1106"/>
      <c r="M334" s="1097">
        <f t="shared" si="58"/>
        <v>1</v>
      </c>
      <c r="N334" s="1106"/>
      <c r="O334" s="1097">
        <f t="shared" si="59"/>
        <v>1</v>
      </c>
      <c r="P334" s="1106"/>
      <c r="Q334" s="1097">
        <f t="shared" si="60"/>
        <v>1</v>
      </c>
      <c r="R334" s="1157">
        <f t="shared" si="61"/>
        <v>0</v>
      </c>
      <c r="S334" s="1096">
        <f t="shared" si="63"/>
        <v>0</v>
      </c>
    </row>
    <row r="335" spans="1:19">
      <c r="A335" s="1104"/>
      <c r="B335" s="1105"/>
      <c r="C335" s="1097">
        <f t="shared" si="53"/>
        <v>1</v>
      </c>
      <c r="D335" s="1106"/>
      <c r="E335" s="1097">
        <f t="shared" si="54"/>
        <v>1</v>
      </c>
      <c r="F335" s="1106"/>
      <c r="G335" s="1097">
        <f t="shared" si="55"/>
        <v>1</v>
      </c>
      <c r="H335" s="1106"/>
      <c r="I335" s="1097">
        <f t="shared" si="56"/>
        <v>1</v>
      </c>
      <c r="J335" s="1106"/>
      <c r="K335" s="1097">
        <f t="shared" si="57"/>
        <v>1</v>
      </c>
      <c r="L335" s="1106"/>
      <c r="M335" s="1097">
        <f t="shared" si="58"/>
        <v>1</v>
      </c>
      <c r="N335" s="1106"/>
      <c r="O335" s="1097">
        <f t="shared" si="59"/>
        <v>1</v>
      </c>
      <c r="P335" s="1106"/>
      <c r="Q335" s="1097">
        <f t="shared" si="60"/>
        <v>1</v>
      </c>
      <c r="R335" s="1157">
        <f t="shared" si="61"/>
        <v>0</v>
      </c>
      <c r="S335" s="1096">
        <f t="shared" si="63"/>
        <v>0</v>
      </c>
    </row>
    <row r="336" spans="1:19">
      <c r="A336" s="1104"/>
      <c r="B336" s="1105"/>
      <c r="C336" s="1097">
        <f t="shared" si="53"/>
        <v>1</v>
      </c>
      <c r="D336" s="1106"/>
      <c r="E336" s="1097">
        <f t="shared" si="54"/>
        <v>1</v>
      </c>
      <c r="F336" s="1106"/>
      <c r="G336" s="1097">
        <f t="shared" si="55"/>
        <v>1</v>
      </c>
      <c r="H336" s="1106"/>
      <c r="I336" s="1097">
        <f t="shared" si="56"/>
        <v>1</v>
      </c>
      <c r="J336" s="1106"/>
      <c r="K336" s="1097">
        <f t="shared" si="57"/>
        <v>1</v>
      </c>
      <c r="L336" s="1106"/>
      <c r="M336" s="1097">
        <f t="shared" si="58"/>
        <v>1</v>
      </c>
      <c r="N336" s="1106"/>
      <c r="O336" s="1097">
        <f t="shared" si="59"/>
        <v>1</v>
      </c>
      <c r="P336" s="1106"/>
      <c r="Q336" s="1097">
        <f t="shared" si="60"/>
        <v>1</v>
      </c>
      <c r="R336" s="1157">
        <f t="shared" si="61"/>
        <v>0</v>
      </c>
      <c r="S336" s="1096">
        <f t="shared" si="63"/>
        <v>0</v>
      </c>
    </row>
    <row r="337" spans="1:19">
      <c r="A337" s="1104"/>
      <c r="B337" s="1105"/>
      <c r="C337" s="1097">
        <f t="shared" si="53"/>
        <v>1</v>
      </c>
      <c r="D337" s="1106"/>
      <c r="E337" s="1097">
        <f t="shared" si="54"/>
        <v>1</v>
      </c>
      <c r="F337" s="1106"/>
      <c r="G337" s="1097">
        <f t="shared" si="55"/>
        <v>1</v>
      </c>
      <c r="H337" s="1106"/>
      <c r="I337" s="1097">
        <f t="shared" si="56"/>
        <v>1</v>
      </c>
      <c r="J337" s="1106"/>
      <c r="K337" s="1097">
        <f t="shared" si="57"/>
        <v>1</v>
      </c>
      <c r="L337" s="1106"/>
      <c r="M337" s="1097">
        <f t="shared" si="58"/>
        <v>1</v>
      </c>
      <c r="N337" s="1106"/>
      <c r="O337" s="1097">
        <f t="shared" si="59"/>
        <v>1</v>
      </c>
      <c r="P337" s="1106"/>
      <c r="Q337" s="1097">
        <f t="shared" si="60"/>
        <v>1</v>
      </c>
      <c r="R337" s="1157">
        <f t="shared" si="61"/>
        <v>0</v>
      </c>
      <c r="S337" s="1096">
        <f t="shared" si="63"/>
        <v>0</v>
      </c>
    </row>
    <row r="338" spans="1:19">
      <c r="A338" s="1104"/>
      <c r="B338" s="1105"/>
      <c r="C338" s="1097">
        <f t="shared" si="53"/>
        <v>1</v>
      </c>
      <c r="D338" s="1106"/>
      <c r="E338" s="1097">
        <f t="shared" si="54"/>
        <v>1</v>
      </c>
      <c r="F338" s="1106"/>
      <c r="G338" s="1097">
        <f t="shared" si="55"/>
        <v>1</v>
      </c>
      <c r="H338" s="1106"/>
      <c r="I338" s="1097">
        <f t="shared" si="56"/>
        <v>1</v>
      </c>
      <c r="J338" s="1106"/>
      <c r="K338" s="1097">
        <f t="shared" si="57"/>
        <v>1</v>
      </c>
      <c r="L338" s="1106"/>
      <c r="M338" s="1097">
        <f t="shared" si="58"/>
        <v>1</v>
      </c>
      <c r="N338" s="1106"/>
      <c r="O338" s="1097">
        <f t="shared" si="59"/>
        <v>1</v>
      </c>
      <c r="P338" s="1106"/>
      <c r="Q338" s="1097">
        <f t="shared" si="60"/>
        <v>1</v>
      </c>
      <c r="R338" s="1157">
        <f t="shared" si="61"/>
        <v>0</v>
      </c>
      <c r="S338" s="1096">
        <f t="shared" si="63"/>
        <v>0</v>
      </c>
    </row>
    <row r="339" spans="1:19">
      <c r="A339" s="1104"/>
      <c r="B339" s="1105"/>
      <c r="C339" s="1097">
        <f t="shared" si="53"/>
        <v>1</v>
      </c>
      <c r="D339" s="1106"/>
      <c r="E339" s="1097">
        <f t="shared" si="54"/>
        <v>1</v>
      </c>
      <c r="F339" s="1106"/>
      <c r="G339" s="1097">
        <f t="shared" si="55"/>
        <v>1</v>
      </c>
      <c r="H339" s="1106"/>
      <c r="I339" s="1097">
        <f t="shared" si="56"/>
        <v>1</v>
      </c>
      <c r="J339" s="1106"/>
      <c r="K339" s="1097">
        <f t="shared" si="57"/>
        <v>1</v>
      </c>
      <c r="L339" s="1106"/>
      <c r="M339" s="1097">
        <f t="shared" si="58"/>
        <v>1</v>
      </c>
      <c r="N339" s="1106"/>
      <c r="O339" s="1097">
        <f t="shared" si="59"/>
        <v>1</v>
      </c>
      <c r="P339" s="1106"/>
      <c r="Q339" s="1097">
        <f t="shared" si="60"/>
        <v>1</v>
      </c>
      <c r="R339" s="1157">
        <f t="shared" si="61"/>
        <v>0</v>
      </c>
      <c r="S339" s="1096">
        <f t="shared" si="63"/>
        <v>0</v>
      </c>
    </row>
    <row r="340" spans="1:19">
      <c r="A340" s="1104"/>
      <c r="B340" s="1105"/>
      <c r="C340" s="1097">
        <f t="shared" si="53"/>
        <v>1</v>
      </c>
      <c r="D340" s="1106"/>
      <c r="E340" s="1097">
        <f t="shared" si="54"/>
        <v>1</v>
      </c>
      <c r="F340" s="1106"/>
      <c r="G340" s="1097">
        <f t="shared" si="55"/>
        <v>1</v>
      </c>
      <c r="H340" s="1106"/>
      <c r="I340" s="1097">
        <f t="shared" si="56"/>
        <v>1</v>
      </c>
      <c r="J340" s="1106"/>
      <c r="K340" s="1097">
        <f t="shared" si="57"/>
        <v>1</v>
      </c>
      <c r="L340" s="1106"/>
      <c r="M340" s="1097">
        <f t="shared" si="58"/>
        <v>1</v>
      </c>
      <c r="N340" s="1106"/>
      <c r="O340" s="1097">
        <f t="shared" si="59"/>
        <v>1</v>
      </c>
      <c r="P340" s="1106"/>
      <c r="Q340" s="1097">
        <f t="shared" si="60"/>
        <v>1</v>
      </c>
      <c r="R340" s="1157">
        <f t="shared" si="61"/>
        <v>0</v>
      </c>
      <c r="S340" s="1096">
        <f t="shared" si="63"/>
        <v>0</v>
      </c>
    </row>
    <row r="341" spans="1:19">
      <c r="A341" s="1104"/>
      <c r="B341" s="1105"/>
      <c r="C341" s="1097">
        <f t="shared" si="53"/>
        <v>1</v>
      </c>
      <c r="D341" s="1106"/>
      <c r="E341" s="1097">
        <f t="shared" si="54"/>
        <v>1</v>
      </c>
      <c r="F341" s="1106"/>
      <c r="G341" s="1097">
        <f t="shared" si="55"/>
        <v>1</v>
      </c>
      <c r="H341" s="1106"/>
      <c r="I341" s="1097">
        <f t="shared" si="56"/>
        <v>1</v>
      </c>
      <c r="J341" s="1106"/>
      <c r="K341" s="1097">
        <f t="shared" si="57"/>
        <v>1</v>
      </c>
      <c r="L341" s="1106"/>
      <c r="M341" s="1097">
        <f t="shared" si="58"/>
        <v>1</v>
      </c>
      <c r="N341" s="1106"/>
      <c r="O341" s="1097">
        <f t="shared" si="59"/>
        <v>1</v>
      </c>
      <c r="P341" s="1106"/>
      <c r="Q341" s="1097">
        <f t="shared" si="60"/>
        <v>1</v>
      </c>
      <c r="R341" s="1157">
        <f t="shared" si="61"/>
        <v>0</v>
      </c>
      <c r="S341" s="1096">
        <f t="shared" si="63"/>
        <v>0</v>
      </c>
    </row>
    <row r="342" spans="1:19">
      <c r="A342" s="1104"/>
      <c r="B342" s="1105"/>
      <c r="C342" s="1097">
        <f t="shared" si="53"/>
        <v>1</v>
      </c>
      <c r="D342" s="1106"/>
      <c r="E342" s="1097">
        <f t="shared" si="54"/>
        <v>1</v>
      </c>
      <c r="F342" s="1106"/>
      <c r="G342" s="1097">
        <f t="shared" si="55"/>
        <v>1</v>
      </c>
      <c r="H342" s="1106"/>
      <c r="I342" s="1097">
        <f t="shared" si="56"/>
        <v>1</v>
      </c>
      <c r="J342" s="1106"/>
      <c r="K342" s="1097">
        <f t="shared" si="57"/>
        <v>1</v>
      </c>
      <c r="L342" s="1106"/>
      <c r="M342" s="1097">
        <f t="shared" si="58"/>
        <v>1</v>
      </c>
      <c r="N342" s="1106"/>
      <c r="O342" s="1097">
        <f t="shared" si="59"/>
        <v>1</v>
      </c>
      <c r="P342" s="1106"/>
      <c r="Q342" s="1097">
        <f t="shared" si="60"/>
        <v>1</v>
      </c>
      <c r="R342" s="1157">
        <f t="shared" si="61"/>
        <v>0</v>
      </c>
      <c r="S342" s="1096">
        <f t="shared" si="63"/>
        <v>0</v>
      </c>
    </row>
    <row r="343" spans="1:19">
      <c r="A343" s="1104"/>
      <c r="B343" s="1105"/>
      <c r="C343" s="1097">
        <f t="shared" si="53"/>
        <v>1</v>
      </c>
      <c r="D343" s="1106"/>
      <c r="E343" s="1097">
        <f t="shared" si="54"/>
        <v>1</v>
      </c>
      <c r="F343" s="1106"/>
      <c r="G343" s="1097">
        <f t="shared" si="55"/>
        <v>1</v>
      </c>
      <c r="H343" s="1106"/>
      <c r="I343" s="1097">
        <f t="shared" si="56"/>
        <v>1</v>
      </c>
      <c r="J343" s="1106"/>
      <c r="K343" s="1097">
        <f t="shared" si="57"/>
        <v>1</v>
      </c>
      <c r="L343" s="1106"/>
      <c r="M343" s="1097">
        <f t="shared" si="58"/>
        <v>1</v>
      </c>
      <c r="N343" s="1106"/>
      <c r="O343" s="1097">
        <f t="shared" si="59"/>
        <v>1</v>
      </c>
      <c r="P343" s="1106"/>
      <c r="Q343" s="1097">
        <f t="shared" si="60"/>
        <v>1</v>
      </c>
      <c r="R343" s="1157">
        <f t="shared" si="61"/>
        <v>0</v>
      </c>
      <c r="S343" s="1096">
        <f t="shared" si="63"/>
        <v>0</v>
      </c>
    </row>
    <row r="344" spans="1:19">
      <c r="A344" s="1104"/>
      <c r="B344" s="1105"/>
      <c r="C344" s="1097">
        <f t="shared" si="53"/>
        <v>1</v>
      </c>
      <c r="D344" s="1106"/>
      <c r="E344" s="1097">
        <f t="shared" si="54"/>
        <v>1</v>
      </c>
      <c r="F344" s="1106"/>
      <c r="G344" s="1097">
        <f t="shared" si="55"/>
        <v>1</v>
      </c>
      <c r="H344" s="1106"/>
      <c r="I344" s="1097">
        <f t="shared" si="56"/>
        <v>1</v>
      </c>
      <c r="J344" s="1106"/>
      <c r="K344" s="1097">
        <f t="shared" si="57"/>
        <v>1</v>
      </c>
      <c r="L344" s="1106"/>
      <c r="M344" s="1097">
        <f t="shared" si="58"/>
        <v>1</v>
      </c>
      <c r="N344" s="1106"/>
      <c r="O344" s="1097">
        <f t="shared" si="59"/>
        <v>1</v>
      </c>
      <c r="P344" s="1106"/>
      <c r="Q344" s="1097">
        <f t="shared" si="60"/>
        <v>1</v>
      </c>
      <c r="R344" s="1157">
        <f t="shared" si="61"/>
        <v>0</v>
      </c>
      <c r="S344" s="1096">
        <f t="shared" si="63"/>
        <v>0</v>
      </c>
    </row>
    <row r="345" spans="1:19">
      <c r="A345" s="1104"/>
      <c r="B345" s="1105"/>
      <c r="C345" s="1097">
        <f t="shared" si="53"/>
        <v>1</v>
      </c>
      <c r="D345" s="1106"/>
      <c r="E345" s="1097">
        <f t="shared" si="54"/>
        <v>1</v>
      </c>
      <c r="F345" s="1106"/>
      <c r="G345" s="1097">
        <f t="shared" si="55"/>
        <v>1</v>
      </c>
      <c r="H345" s="1106"/>
      <c r="I345" s="1097">
        <f t="shared" si="56"/>
        <v>1</v>
      </c>
      <c r="J345" s="1106"/>
      <c r="K345" s="1097">
        <f t="shared" si="57"/>
        <v>1</v>
      </c>
      <c r="L345" s="1106"/>
      <c r="M345" s="1097">
        <f t="shared" si="58"/>
        <v>1</v>
      </c>
      <c r="N345" s="1106"/>
      <c r="O345" s="1097">
        <f t="shared" si="59"/>
        <v>1</v>
      </c>
      <c r="P345" s="1106"/>
      <c r="Q345" s="1097">
        <f t="shared" si="60"/>
        <v>1</v>
      </c>
      <c r="R345" s="1157">
        <f t="shared" si="61"/>
        <v>0</v>
      </c>
      <c r="S345" s="1096">
        <f t="shared" si="63"/>
        <v>0</v>
      </c>
    </row>
    <row r="346" spans="1:19">
      <c r="A346" s="1104"/>
      <c r="B346" s="1105"/>
      <c r="C346" s="1097">
        <f t="shared" ref="C346:C409" si="64">IF(B346="",1,(LOOKUP(B346,$3:$3,$4:$4)-LOOKUP($B$24,$3:$3,$4:$4)+100)/100)</f>
        <v>1</v>
      </c>
      <c r="D346" s="1106"/>
      <c r="E346" s="1097">
        <f t="shared" ref="E346:E409" si="65">(SUMIF($5:$5,D346,$6:$6)-SUMIF($5:$5,$D$24,$6:$6)+100)/100</f>
        <v>1</v>
      </c>
      <c r="F346" s="1106"/>
      <c r="G346" s="1097">
        <f t="shared" ref="G346:G409" si="66">(SUMIF($7:$7,F346,$8:$8)-SUMIF($7:$7,$F$24,$8:$8)+100)/100</f>
        <v>1</v>
      </c>
      <c r="H346" s="1106"/>
      <c r="I346" s="1097">
        <f t="shared" ref="I346:I409" si="67">(SUMIF($9:$9,H346,$10:$10)-SUMIF($9:$9,$H$24,$10:$10)+100)/100</f>
        <v>1</v>
      </c>
      <c r="J346" s="1106"/>
      <c r="K346" s="1097">
        <f t="shared" ref="K346:K409" si="68">(SUMIF($11:$11,J346,$12:$12)-SUMIF($11:$11,$J$24,$12:$12)+100)/100</f>
        <v>1</v>
      </c>
      <c r="L346" s="1106"/>
      <c r="M346" s="1097">
        <f t="shared" ref="M346:M409" si="69">(SUMIF($13:$13,L346,$14:$14)-SUMIF($13:$13,$L$24,$14:$14)+100)/100</f>
        <v>1</v>
      </c>
      <c r="N346" s="1106"/>
      <c r="O346" s="1097">
        <f t="shared" ref="O346:O409" si="70">(SUMIF($15:$15,N346,$16:$16)-SUMIF($15:$15,$N$24,$16:$16)+100)/100</f>
        <v>1</v>
      </c>
      <c r="P346" s="1106"/>
      <c r="Q346" s="1097">
        <f t="shared" ref="Q346:Q409" si="71">(SUMIF($17:$17,P346,$18:$18)-SUMIF($17:$17,$P$24,$18:$18)+100)/100</f>
        <v>1</v>
      </c>
      <c r="R346" s="1157">
        <f t="shared" ref="R346:R409" si="72">IF(B346="",0,ROUND($R$24*C346*E346*G346*I346*K346*M346*O346*Q346,0))</f>
        <v>0</v>
      </c>
      <c r="S346" s="1096">
        <f t="shared" si="63"/>
        <v>0</v>
      </c>
    </row>
    <row r="347" spans="1:19">
      <c r="A347" s="1104"/>
      <c r="B347" s="1105"/>
      <c r="C347" s="1097">
        <f t="shared" si="64"/>
        <v>1</v>
      </c>
      <c r="D347" s="1106"/>
      <c r="E347" s="1097">
        <f t="shared" si="65"/>
        <v>1</v>
      </c>
      <c r="F347" s="1106"/>
      <c r="G347" s="1097">
        <f t="shared" si="66"/>
        <v>1</v>
      </c>
      <c r="H347" s="1106"/>
      <c r="I347" s="1097">
        <f t="shared" si="67"/>
        <v>1</v>
      </c>
      <c r="J347" s="1106"/>
      <c r="K347" s="1097">
        <f t="shared" si="68"/>
        <v>1</v>
      </c>
      <c r="L347" s="1106"/>
      <c r="M347" s="1097">
        <f t="shared" si="69"/>
        <v>1</v>
      </c>
      <c r="N347" s="1106"/>
      <c r="O347" s="1097">
        <f t="shared" si="70"/>
        <v>1</v>
      </c>
      <c r="P347" s="1106"/>
      <c r="Q347" s="1097">
        <f t="shared" si="71"/>
        <v>1</v>
      </c>
      <c r="R347" s="1157">
        <f t="shared" si="72"/>
        <v>0</v>
      </c>
      <c r="S347" s="1096">
        <f t="shared" si="63"/>
        <v>0</v>
      </c>
    </row>
    <row r="348" spans="1:19">
      <c r="A348" s="1104"/>
      <c r="B348" s="1105"/>
      <c r="C348" s="1097">
        <f t="shared" si="64"/>
        <v>1</v>
      </c>
      <c r="D348" s="1106"/>
      <c r="E348" s="1097">
        <f t="shared" si="65"/>
        <v>1</v>
      </c>
      <c r="F348" s="1106"/>
      <c r="G348" s="1097">
        <f t="shared" si="66"/>
        <v>1</v>
      </c>
      <c r="H348" s="1106"/>
      <c r="I348" s="1097">
        <f t="shared" si="67"/>
        <v>1</v>
      </c>
      <c r="J348" s="1106"/>
      <c r="K348" s="1097">
        <f t="shared" si="68"/>
        <v>1</v>
      </c>
      <c r="L348" s="1106"/>
      <c r="M348" s="1097">
        <f t="shared" si="69"/>
        <v>1</v>
      </c>
      <c r="N348" s="1106"/>
      <c r="O348" s="1097">
        <f t="shared" si="70"/>
        <v>1</v>
      </c>
      <c r="P348" s="1106"/>
      <c r="Q348" s="1097">
        <f t="shared" si="71"/>
        <v>1</v>
      </c>
      <c r="R348" s="1157">
        <f t="shared" si="72"/>
        <v>0</v>
      </c>
      <c r="S348" s="1096">
        <f t="shared" si="63"/>
        <v>0</v>
      </c>
    </row>
    <row r="349" spans="1:19">
      <c r="A349" s="1104"/>
      <c r="B349" s="1105"/>
      <c r="C349" s="1097">
        <f t="shared" si="64"/>
        <v>1</v>
      </c>
      <c r="D349" s="1106"/>
      <c r="E349" s="1097">
        <f t="shared" si="65"/>
        <v>1</v>
      </c>
      <c r="F349" s="1106"/>
      <c r="G349" s="1097">
        <f t="shared" si="66"/>
        <v>1</v>
      </c>
      <c r="H349" s="1106"/>
      <c r="I349" s="1097">
        <f t="shared" si="67"/>
        <v>1</v>
      </c>
      <c r="J349" s="1106"/>
      <c r="K349" s="1097">
        <f t="shared" si="68"/>
        <v>1</v>
      </c>
      <c r="L349" s="1106"/>
      <c r="M349" s="1097">
        <f t="shared" si="69"/>
        <v>1</v>
      </c>
      <c r="N349" s="1106"/>
      <c r="O349" s="1097">
        <f t="shared" si="70"/>
        <v>1</v>
      </c>
      <c r="P349" s="1106"/>
      <c r="Q349" s="1097">
        <f t="shared" si="71"/>
        <v>1</v>
      </c>
      <c r="R349" s="1157">
        <f t="shared" si="72"/>
        <v>0</v>
      </c>
      <c r="S349" s="1096">
        <f t="shared" si="63"/>
        <v>0</v>
      </c>
    </row>
    <row r="350" spans="1:19">
      <c r="A350" s="1104"/>
      <c r="B350" s="1105"/>
      <c r="C350" s="1097">
        <f t="shared" si="64"/>
        <v>1</v>
      </c>
      <c r="D350" s="1106"/>
      <c r="E350" s="1097">
        <f t="shared" si="65"/>
        <v>1</v>
      </c>
      <c r="F350" s="1106"/>
      <c r="G350" s="1097">
        <f t="shared" si="66"/>
        <v>1</v>
      </c>
      <c r="H350" s="1106"/>
      <c r="I350" s="1097">
        <f t="shared" si="67"/>
        <v>1</v>
      </c>
      <c r="J350" s="1106"/>
      <c r="K350" s="1097">
        <f t="shared" si="68"/>
        <v>1</v>
      </c>
      <c r="L350" s="1106"/>
      <c r="M350" s="1097">
        <f t="shared" si="69"/>
        <v>1</v>
      </c>
      <c r="N350" s="1106"/>
      <c r="O350" s="1097">
        <f t="shared" si="70"/>
        <v>1</v>
      </c>
      <c r="P350" s="1106"/>
      <c r="Q350" s="1097">
        <f t="shared" si="71"/>
        <v>1</v>
      </c>
      <c r="R350" s="1157">
        <f t="shared" si="72"/>
        <v>0</v>
      </c>
      <c r="S350" s="1096">
        <f t="shared" si="63"/>
        <v>0</v>
      </c>
    </row>
    <row r="351" spans="1:19">
      <c r="A351" s="1104"/>
      <c r="B351" s="1105"/>
      <c r="C351" s="1097">
        <f t="shared" si="64"/>
        <v>1</v>
      </c>
      <c r="D351" s="1106"/>
      <c r="E351" s="1097">
        <f t="shared" si="65"/>
        <v>1</v>
      </c>
      <c r="F351" s="1106"/>
      <c r="G351" s="1097">
        <f t="shared" si="66"/>
        <v>1</v>
      </c>
      <c r="H351" s="1106"/>
      <c r="I351" s="1097">
        <f t="shared" si="67"/>
        <v>1</v>
      </c>
      <c r="J351" s="1106"/>
      <c r="K351" s="1097">
        <f t="shared" si="68"/>
        <v>1</v>
      </c>
      <c r="L351" s="1106"/>
      <c r="M351" s="1097">
        <f t="shared" si="69"/>
        <v>1</v>
      </c>
      <c r="N351" s="1106"/>
      <c r="O351" s="1097">
        <f t="shared" si="70"/>
        <v>1</v>
      </c>
      <c r="P351" s="1106"/>
      <c r="Q351" s="1097">
        <f t="shared" si="71"/>
        <v>1</v>
      </c>
      <c r="R351" s="1157">
        <f t="shared" si="72"/>
        <v>0</v>
      </c>
      <c r="S351" s="1096">
        <f t="shared" si="63"/>
        <v>0</v>
      </c>
    </row>
    <row r="352" spans="1:19">
      <c r="A352" s="1104"/>
      <c r="B352" s="1105"/>
      <c r="C352" s="1097">
        <f t="shared" si="64"/>
        <v>1</v>
      </c>
      <c r="D352" s="1106"/>
      <c r="E352" s="1097">
        <f t="shared" si="65"/>
        <v>1</v>
      </c>
      <c r="F352" s="1106"/>
      <c r="G352" s="1097">
        <f t="shared" si="66"/>
        <v>1</v>
      </c>
      <c r="H352" s="1106"/>
      <c r="I352" s="1097">
        <f t="shared" si="67"/>
        <v>1</v>
      </c>
      <c r="J352" s="1106"/>
      <c r="K352" s="1097">
        <f t="shared" si="68"/>
        <v>1</v>
      </c>
      <c r="L352" s="1106"/>
      <c r="M352" s="1097">
        <f t="shared" si="69"/>
        <v>1</v>
      </c>
      <c r="N352" s="1106"/>
      <c r="O352" s="1097">
        <f t="shared" si="70"/>
        <v>1</v>
      </c>
      <c r="P352" s="1106"/>
      <c r="Q352" s="1097">
        <f t="shared" si="71"/>
        <v>1</v>
      </c>
      <c r="R352" s="1157">
        <f t="shared" si="72"/>
        <v>0</v>
      </c>
      <c r="S352" s="1096">
        <f t="shared" si="63"/>
        <v>0</v>
      </c>
    </row>
    <row r="353" spans="1:19">
      <c r="A353" s="1104"/>
      <c r="B353" s="1105"/>
      <c r="C353" s="1097">
        <f t="shared" si="64"/>
        <v>1</v>
      </c>
      <c r="D353" s="1106"/>
      <c r="E353" s="1097">
        <f t="shared" si="65"/>
        <v>1</v>
      </c>
      <c r="F353" s="1106"/>
      <c r="G353" s="1097">
        <f t="shared" si="66"/>
        <v>1</v>
      </c>
      <c r="H353" s="1106"/>
      <c r="I353" s="1097">
        <f t="shared" si="67"/>
        <v>1</v>
      </c>
      <c r="J353" s="1106"/>
      <c r="K353" s="1097">
        <f t="shared" si="68"/>
        <v>1</v>
      </c>
      <c r="L353" s="1106"/>
      <c r="M353" s="1097">
        <f t="shared" si="69"/>
        <v>1</v>
      </c>
      <c r="N353" s="1106"/>
      <c r="O353" s="1097">
        <f t="shared" si="70"/>
        <v>1</v>
      </c>
      <c r="P353" s="1106"/>
      <c r="Q353" s="1097">
        <f t="shared" si="71"/>
        <v>1</v>
      </c>
      <c r="R353" s="1157">
        <f t="shared" si="72"/>
        <v>0</v>
      </c>
      <c r="S353" s="1096">
        <f t="shared" si="63"/>
        <v>0</v>
      </c>
    </row>
    <row r="354" spans="1:19">
      <c r="A354" s="1104"/>
      <c r="B354" s="1105"/>
      <c r="C354" s="1097">
        <f t="shared" si="64"/>
        <v>1</v>
      </c>
      <c r="D354" s="1106"/>
      <c r="E354" s="1097">
        <f t="shared" si="65"/>
        <v>1</v>
      </c>
      <c r="F354" s="1106"/>
      <c r="G354" s="1097">
        <f t="shared" si="66"/>
        <v>1</v>
      </c>
      <c r="H354" s="1106"/>
      <c r="I354" s="1097">
        <f t="shared" si="67"/>
        <v>1</v>
      </c>
      <c r="J354" s="1106"/>
      <c r="K354" s="1097">
        <f t="shared" si="68"/>
        <v>1</v>
      </c>
      <c r="L354" s="1106"/>
      <c r="M354" s="1097">
        <f t="shared" si="69"/>
        <v>1</v>
      </c>
      <c r="N354" s="1106"/>
      <c r="O354" s="1097">
        <f t="shared" si="70"/>
        <v>1</v>
      </c>
      <c r="P354" s="1106"/>
      <c r="Q354" s="1097">
        <f t="shared" si="71"/>
        <v>1</v>
      </c>
      <c r="R354" s="1157">
        <f t="shared" si="72"/>
        <v>0</v>
      </c>
      <c r="S354" s="1096">
        <f t="shared" si="63"/>
        <v>0</v>
      </c>
    </row>
    <row r="355" spans="1:19">
      <c r="A355" s="1104"/>
      <c r="B355" s="1105"/>
      <c r="C355" s="1097">
        <f t="shared" si="64"/>
        <v>1</v>
      </c>
      <c r="D355" s="1106"/>
      <c r="E355" s="1097">
        <f t="shared" si="65"/>
        <v>1</v>
      </c>
      <c r="F355" s="1106"/>
      <c r="G355" s="1097">
        <f t="shared" si="66"/>
        <v>1</v>
      </c>
      <c r="H355" s="1106"/>
      <c r="I355" s="1097">
        <f t="shared" si="67"/>
        <v>1</v>
      </c>
      <c r="J355" s="1106"/>
      <c r="K355" s="1097">
        <f t="shared" si="68"/>
        <v>1</v>
      </c>
      <c r="L355" s="1106"/>
      <c r="M355" s="1097">
        <f t="shared" si="69"/>
        <v>1</v>
      </c>
      <c r="N355" s="1106"/>
      <c r="O355" s="1097">
        <f t="shared" si="70"/>
        <v>1</v>
      </c>
      <c r="P355" s="1106"/>
      <c r="Q355" s="1097">
        <f t="shared" si="71"/>
        <v>1</v>
      </c>
      <c r="R355" s="1157">
        <f t="shared" si="72"/>
        <v>0</v>
      </c>
      <c r="S355" s="1096">
        <f t="shared" si="63"/>
        <v>0</v>
      </c>
    </row>
    <row r="356" spans="1:19">
      <c r="A356" s="1104"/>
      <c r="B356" s="1105"/>
      <c r="C356" s="1097">
        <f t="shared" si="64"/>
        <v>1</v>
      </c>
      <c r="D356" s="1106"/>
      <c r="E356" s="1097">
        <f t="shared" si="65"/>
        <v>1</v>
      </c>
      <c r="F356" s="1106"/>
      <c r="G356" s="1097">
        <f t="shared" si="66"/>
        <v>1</v>
      </c>
      <c r="H356" s="1106"/>
      <c r="I356" s="1097">
        <f t="shared" si="67"/>
        <v>1</v>
      </c>
      <c r="J356" s="1106"/>
      <c r="K356" s="1097">
        <f t="shared" si="68"/>
        <v>1</v>
      </c>
      <c r="L356" s="1106"/>
      <c r="M356" s="1097">
        <f t="shared" si="69"/>
        <v>1</v>
      </c>
      <c r="N356" s="1106"/>
      <c r="O356" s="1097">
        <f t="shared" si="70"/>
        <v>1</v>
      </c>
      <c r="P356" s="1106"/>
      <c r="Q356" s="1097">
        <f t="shared" si="71"/>
        <v>1</v>
      </c>
      <c r="R356" s="1157">
        <f t="shared" si="72"/>
        <v>0</v>
      </c>
      <c r="S356" s="1096">
        <f t="shared" si="63"/>
        <v>0</v>
      </c>
    </row>
    <row r="357" spans="1:19">
      <c r="A357" s="1104"/>
      <c r="B357" s="1105"/>
      <c r="C357" s="1097">
        <f t="shared" si="64"/>
        <v>1</v>
      </c>
      <c r="D357" s="1106"/>
      <c r="E357" s="1097">
        <f t="shared" si="65"/>
        <v>1</v>
      </c>
      <c r="F357" s="1106"/>
      <c r="G357" s="1097">
        <f t="shared" si="66"/>
        <v>1</v>
      </c>
      <c r="H357" s="1106"/>
      <c r="I357" s="1097">
        <f t="shared" si="67"/>
        <v>1</v>
      </c>
      <c r="J357" s="1106"/>
      <c r="K357" s="1097">
        <f t="shared" si="68"/>
        <v>1</v>
      </c>
      <c r="L357" s="1106"/>
      <c r="M357" s="1097">
        <f t="shared" si="69"/>
        <v>1</v>
      </c>
      <c r="N357" s="1106"/>
      <c r="O357" s="1097">
        <f t="shared" si="70"/>
        <v>1</v>
      </c>
      <c r="P357" s="1106"/>
      <c r="Q357" s="1097">
        <f t="shared" si="71"/>
        <v>1</v>
      </c>
      <c r="R357" s="1157">
        <f t="shared" si="72"/>
        <v>0</v>
      </c>
      <c r="S357" s="1096">
        <f t="shared" si="63"/>
        <v>0</v>
      </c>
    </row>
    <row r="358" spans="1:19">
      <c r="A358" s="1104"/>
      <c r="B358" s="1105"/>
      <c r="C358" s="1097">
        <f t="shared" si="64"/>
        <v>1</v>
      </c>
      <c r="D358" s="1106"/>
      <c r="E358" s="1097">
        <f t="shared" si="65"/>
        <v>1</v>
      </c>
      <c r="F358" s="1106"/>
      <c r="G358" s="1097">
        <f t="shared" si="66"/>
        <v>1</v>
      </c>
      <c r="H358" s="1106"/>
      <c r="I358" s="1097">
        <f t="shared" si="67"/>
        <v>1</v>
      </c>
      <c r="J358" s="1106"/>
      <c r="K358" s="1097">
        <f t="shared" si="68"/>
        <v>1</v>
      </c>
      <c r="L358" s="1106"/>
      <c r="M358" s="1097">
        <f t="shared" si="69"/>
        <v>1</v>
      </c>
      <c r="N358" s="1106"/>
      <c r="O358" s="1097">
        <f t="shared" si="70"/>
        <v>1</v>
      </c>
      <c r="P358" s="1106"/>
      <c r="Q358" s="1097">
        <f t="shared" si="71"/>
        <v>1</v>
      </c>
      <c r="R358" s="1157">
        <f t="shared" si="72"/>
        <v>0</v>
      </c>
      <c r="S358" s="1096">
        <f t="shared" si="63"/>
        <v>0</v>
      </c>
    </row>
    <row r="359" spans="1:19">
      <c r="A359" s="1104"/>
      <c r="B359" s="1105"/>
      <c r="C359" s="1097">
        <f t="shared" si="64"/>
        <v>1</v>
      </c>
      <c r="D359" s="1106"/>
      <c r="E359" s="1097">
        <f t="shared" si="65"/>
        <v>1</v>
      </c>
      <c r="F359" s="1106"/>
      <c r="G359" s="1097">
        <f t="shared" si="66"/>
        <v>1</v>
      </c>
      <c r="H359" s="1106"/>
      <c r="I359" s="1097">
        <f t="shared" si="67"/>
        <v>1</v>
      </c>
      <c r="J359" s="1106"/>
      <c r="K359" s="1097">
        <f t="shared" si="68"/>
        <v>1</v>
      </c>
      <c r="L359" s="1106"/>
      <c r="M359" s="1097">
        <f t="shared" si="69"/>
        <v>1</v>
      </c>
      <c r="N359" s="1106"/>
      <c r="O359" s="1097">
        <f t="shared" si="70"/>
        <v>1</v>
      </c>
      <c r="P359" s="1106"/>
      <c r="Q359" s="1097">
        <f t="shared" si="71"/>
        <v>1</v>
      </c>
      <c r="R359" s="1157">
        <f t="shared" si="72"/>
        <v>0</v>
      </c>
      <c r="S359" s="1096">
        <f t="shared" si="63"/>
        <v>0</v>
      </c>
    </row>
    <row r="360" spans="1:19">
      <c r="A360" s="1104"/>
      <c r="B360" s="1105"/>
      <c r="C360" s="1097">
        <f t="shared" si="64"/>
        <v>1</v>
      </c>
      <c r="D360" s="1106"/>
      <c r="E360" s="1097">
        <f t="shared" si="65"/>
        <v>1</v>
      </c>
      <c r="F360" s="1106"/>
      <c r="G360" s="1097">
        <f t="shared" si="66"/>
        <v>1</v>
      </c>
      <c r="H360" s="1106"/>
      <c r="I360" s="1097">
        <f t="shared" si="67"/>
        <v>1</v>
      </c>
      <c r="J360" s="1106"/>
      <c r="K360" s="1097">
        <f t="shared" si="68"/>
        <v>1</v>
      </c>
      <c r="L360" s="1106"/>
      <c r="M360" s="1097">
        <f t="shared" si="69"/>
        <v>1</v>
      </c>
      <c r="N360" s="1106"/>
      <c r="O360" s="1097">
        <f t="shared" si="70"/>
        <v>1</v>
      </c>
      <c r="P360" s="1106"/>
      <c r="Q360" s="1097">
        <f t="shared" si="71"/>
        <v>1</v>
      </c>
      <c r="R360" s="1157">
        <f t="shared" si="72"/>
        <v>0</v>
      </c>
      <c r="S360" s="1096">
        <f t="shared" si="63"/>
        <v>0</v>
      </c>
    </row>
    <row r="361" spans="1:19">
      <c r="A361" s="1104"/>
      <c r="B361" s="1105"/>
      <c r="C361" s="1097">
        <f t="shared" si="64"/>
        <v>1</v>
      </c>
      <c r="D361" s="1106"/>
      <c r="E361" s="1097">
        <f t="shared" si="65"/>
        <v>1</v>
      </c>
      <c r="F361" s="1106"/>
      <c r="G361" s="1097">
        <f t="shared" si="66"/>
        <v>1</v>
      </c>
      <c r="H361" s="1106"/>
      <c r="I361" s="1097">
        <f t="shared" si="67"/>
        <v>1</v>
      </c>
      <c r="J361" s="1106"/>
      <c r="K361" s="1097">
        <f t="shared" si="68"/>
        <v>1</v>
      </c>
      <c r="L361" s="1106"/>
      <c r="M361" s="1097">
        <f t="shared" si="69"/>
        <v>1</v>
      </c>
      <c r="N361" s="1106"/>
      <c r="O361" s="1097">
        <f t="shared" si="70"/>
        <v>1</v>
      </c>
      <c r="P361" s="1106"/>
      <c r="Q361" s="1097">
        <f t="shared" si="71"/>
        <v>1</v>
      </c>
      <c r="R361" s="1157">
        <f t="shared" si="72"/>
        <v>0</v>
      </c>
      <c r="S361" s="1096">
        <f t="shared" si="63"/>
        <v>0</v>
      </c>
    </row>
    <row r="362" spans="1:19">
      <c r="A362" s="1104"/>
      <c r="B362" s="1105"/>
      <c r="C362" s="1097">
        <f t="shared" si="64"/>
        <v>1</v>
      </c>
      <c r="D362" s="1106"/>
      <c r="E362" s="1097">
        <f t="shared" si="65"/>
        <v>1</v>
      </c>
      <c r="F362" s="1106"/>
      <c r="G362" s="1097">
        <f t="shared" si="66"/>
        <v>1</v>
      </c>
      <c r="H362" s="1106"/>
      <c r="I362" s="1097">
        <f t="shared" si="67"/>
        <v>1</v>
      </c>
      <c r="J362" s="1106"/>
      <c r="K362" s="1097">
        <f t="shared" si="68"/>
        <v>1</v>
      </c>
      <c r="L362" s="1106"/>
      <c r="M362" s="1097">
        <f t="shared" si="69"/>
        <v>1</v>
      </c>
      <c r="N362" s="1106"/>
      <c r="O362" s="1097">
        <f t="shared" si="70"/>
        <v>1</v>
      </c>
      <c r="P362" s="1106"/>
      <c r="Q362" s="1097">
        <f t="shared" si="71"/>
        <v>1</v>
      </c>
      <c r="R362" s="1157">
        <f t="shared" si="72"/>
        <v>0</v>
      </c>
      <c r="S362" s="1096">
        <f t="shared" si="63"/>
        <v>0</v>
      </c>
    </row>
    <row r="363" spans="1:19">
      <c r="A363" s="1104"/>
      <c r="B363" s="1105"/>
      <c r="C363" s="1097">
        <f t="shared" si="64"/>
        <v>1</v>
      </c>
      <c r="D363" s="1106"/>
      <c r="E363" s="1097">
        <f t="shared" si="65"/>
        <v>1</v>
      </c>
      <c r="F363" s="1106"/>
      <c r="G363" s="1097">
        <f t="shared" si="66"/>
        <v>1</v>
      </c>
      <c r="H363" s="1106"/>
      <c r="I363" s="1097">
        <f t="shared" si="67"/>
        <v>1</v>
      </c>
      <c r="J363" s="1106"/>
      <c r="K363" s="1097">
        <f t="shared" si="68"/>
        <v>1</v>
      </c>
      <c r="L363" s="1106"/>
      <c r="M363" s="1097">
        <f t="shared" si="69"/>
        <v>1</v>
      </c>
      <c r="N363" s="1106"/>
      <c r="O363" s="1097">
        <f t="shared" si="70"/>
        <v>1</v>
      </c>
      <c r="P363" s="1106"/>
      <c r="Q363" s="1097">
        <f t="shared" si="71"/>
        <v>1</v>
      </c>
      <c r="R363" s="1157">
        <f t="shared" si="72"/>
        <v>0</v>
      </c>
      <c r="S363" s="1096">
        <f t="shared" si="63"/>
        <v>0</v>
      </c>
    </row>
    <row r="364" spans="1:19">
      <c r="A364" s="1104"/>
      <c r="B364" s="1105"/>
      <c r="C364" s="1097">
        <f t="shared" si="64"/>
        <v>1</v>
      </c>
      <c r="D364" s="1106"/>
      <c r="E364" s="1097">
        <f t="shared" si="65"/>
        <v>1</v>
      </c>
      <c r="F364" s="1106"/>
      <c r="G364" s="1097">
        <f t="shared" si="66"/>
        <v>1</v>
      </c>
      <c r="H364" s="1106"/>
      <c r="I364" s="1097">
        <f t="shared" si="67"/>
        <v>1</v>
      </c>
      <c r="J364" s="1106"/>
      <c r="K364" s="1097">
        <f t="shared" si="68"/>
        <v>1</v>
      </c>
      <c r="L364" s="1106"/>
      <c r="M364" s="1097">
        <f t="shared" si="69"/>
        <v>1</v>
      </c>
      <c r="N364" s="1106"/>
      <c r="O364" s="1097">
        <f t="shared" si="70"/>
        <v>1</v>
      </c>
      <c r="P364" s="1106"/>
      <c r="Q364" s="1097">
        <f t="shared" si="71"/>
        <v>1</v>
      </c>
      <c r="R364" s="1157">
        <f t="shared" si="72"/>
        <v>0</v>
      </c>
      <c r="S364" s="1096">
        <f t="shared" si="63"/>
        <v>0</v>
      </c>
    </row>
    <row r="365" spans="1:19">
      <c r="A365" s="1104"/>
      <c r="B365" s="1105"/>
      <c r="C365" s="1097">
        <f t="shared" si="64"/>
        <v>1</v>
      </c>
      <c r="D365" s="1106"/>
      <c r="E365" s="1097">
        <f t="shared" si="65"/>
        <v>1</v>
      </c>
      <c r="F365" s="1106"/>
      <c r="G365" s="1097">
        <f t="shared" si="66"/>
        <v>1</v>
      </c>
      <c r="H365" s="1106"/>
      <c r="I365" s="1097">
        <f t="shared" si="67"/>
        <v>1</v>
      </c>
      <c r="J365" s="1106"/>
      <c r="K365" s="1097">
        <f t="shared" si="68"/>
        <v>1</v>
      </c>
      <c r="L365" s="1106"/>
      <c r="M365" s="1097">
        <f t="shared" si="69"/>
        <v>1</v>
      </c>
      <c r="N365" s="1106"/>
      <c r="O365" s="1097">
        <f t="shared" si="70"/>
        <v>1</v>
      </c>
      <c r="P365" s="1106"/>
      <c r="Q365" s="1097">
        <f t="shared" si="71"/>
        <v>1</v>
      </c>
      <c r="R365" s="1157">
        <f t="shared" si="72"/>
        <v>0</v>
      </c>
      <c r="S365" s="1096">
        <f t="shared" si="63"/>
        <v>0</v>
      </c>
    </row>
    <row r="366" spans="1:19">
      <c r="A366" s="1104"/>
      <c r="B366" s="1105"/>
      <c r="C366" s="1097">
        <f t="shared" si="64"/>
        <v>1</v>
      </c>
      <c r="D366" s="1106"/>
      <c r="E366" s="1097">
        <f t="shared" si="65"/>
        <v>1</v>
      </c>
      <c r="F366" s="1106"/>
      <c r="G366" s="1097">
        <f t="shared" si="66"/>
        <v>1</v>
      </c>
      <c r="H366" s="1106"/>
      <c r="I366" s="1097">
        <f t="shared" si="67"/>
        <v>1</v>
      </c>
      <c r="J366" s="1106"/>
      <c r="K366" s="1097">
        <f t="shared" si="68"/>
        <v>1</v>
      </c>
      <c r="L366" s="1106"/>
      <c r="M366" s="1097">
        <f t="shared" si="69"/>
        <v>1</v>
      </c>
      <c r="N366" s="1106"/>
      <c r="O366" s="1097">
        <f t="shared" si="70"/>
        <v>1</v>
      </c>
      <c r="P366" s="1106"/>
      <c r="Q366" s="1097">
        <f t="shared" si="71"/>
        <v>1</v>
      </c>
      <c r="R366" s="1157">
        <f t="shared" si="72"/>
        <v>0</v>
      </c>
      <c r="S366" s="1096">
        <f t="shared" si="63"/>
        <v>0</v>
      </c>
    </row>
    <row r="367" spans="1:19">
      <c r="A367" s="1104"/>
      <c r="B367" s="1105"/>
      <c r="C367" s="1097">
        <f t="shared" si="64"/>
        <v>1</v>
      </c>
      <c r="D367" s="1106"/>
      <c r="E367" s="1097">
        <f t="shared" si="65"/>
        <v>1</v>
      </c>
      <c r="F367" s="1106"/>
      <c r="G367" s="1097">
        <f t="shared" si="66"/>
        <v>1</v>
      </c>
      <c r="H367" s="1106"/>
      <c r="I367" s="1097">
        <f t="shared" si="67"/>
        <v>1</v>
      </c>
      <c r="J367" s="1106"/>
      <c r="K367" s="1097">
        <f t="shared" si="68"/>
        <v>1</v>
      </c>
      <c r="L367" s="1106"/>
      <c r="M367" s="1097">
        <f t="shared" si="69"/>
        <v>1</v>
      </c>
      <c r="N367" s="1106"/>
      <c r="O367" s="1097">
        <f t="shared" si="70"/>
        <v>1</v>
      </c>
      <c r="P367" s="1106"/>
      <c r="Q367" s="1097">
        <f t="shared" si="71"/>
        <v>1</v>
      </c>
      <c r="R367" s="1157">
        <f t="shared" si="72"/>
        <v>0</v>
      </c>
      <c r="S367" s="1096">
        <f t="shared" si="63"/>
        <v>0</v>
      </c>
    </row>
    <row r="368" spans="1:19">
      <c r="A368" s="1104"/>
      <c r="B368" s="1105"/>
      <c r="C368" s="1097">
        <f t="shared" si="64"/>
        <v>1</v>
      </c>
      <c r="D368" s="1106"/>
      <c r="E368" s="1097">
        <f t="shared" si="65"/>
        <v>1</v>
      </c>
      <c r="F368" s="1106"/>
      <c r="G368" s="1097">
        <f t="shared" si="66"/>
        <v>1</v>
      </c>
      <c r="H368" s="1106"/>
      <c r="I368" s="1097">
        <f t="shared" si="67"/>
        <v>1</v>
      </c>
      <c r="J368" s="1106"/>
      <c r="K368" s="1097">
        <f t="shared" si="68"/>
        <v>1</v>
      </c>
      <c r="L368" s="1106"/>
      <c r="M368" s="1097">
        <f t="shared" si="69"/>
        <v>1</v>
      </c>
      <c r="N368" s="1106"/>
      <c r="O368" s="1097">
        <f t="shared" si="70"/>
        <v>1</v>
      </c>
      <c r="P368" s="1106"/>
      <c r="Q368" s="1097">
        <f t="shared" si="71"/>
        <v>1</v>
      </c>
      <c r="R368" s="1157">
        <f t="shared" si="72"/>
        <v>0</v>
      </c>
      <c r="S368" s="1096">
        <f t="shared" si="63"/>
        <v>0</v>
      </c>
    </row>
    <row r="369" spans="1:19">
      <c r="A369" s="1104"/>
      <c r="B369" s="1105"/>
      <c r="C369" s="1097">
        <f t="shared" si="64"/>
        <v>1</v>
      </c>
      <c r="D369" s="1106"/>
      <c r="E369" s="1097">
        <f t="shared" si="65"/>
        <v>1</v>
      </c>
      <c r="F369" s="1106"/>
      <c r="G369" s="1097">
        <f t="shared" si="66"/>
        <v>1</v>
      </c>
      <c r="H369" s="1106"/>
      <c r="I369" s="1097">
        <f t="shared" si="67"/>
        <v>1</v>
      </c>
      <c r="J369" s="1106"/>
      <c r="K369" s="1097">
        <f t="shared" si="68"/>
        <v>1</v>
      </c>
      <c r="L369" s="1106"/>
      <c r="M369" s="1097">
        <f t="shared" si="69"/>
        <v>1</v>
      </c>
      <c r="N369" s="1106"/>
      <c r="O369" s="1097">
        <f t="shared" si="70"/>
        <v>1</v>
      </c>
      <c r="P369" s="1106"/>
      <c r="Q369" s="1097">
        <f t="shared" si="71"/>
        <v>1</v>
      </c>
      <c r="R369" s="1157">
        <f t="shared" si="72"/>
        <v>0</v>
      </c>
      <c r="S369" s="1096">
        <f t="shared" si="63"/>
        <v>0</v>
      </c>
    </row>
    <row r="370" spans="1:19">
      <c r="A370" s="1104"/>
      <c r="B370" s="1105"/>
      <c r="C370" s="1097">
        <f t="shared" si="64"/>
        <v>1</v>
      </c>
      <c r="D370" s="1106"/>
      <c r="E370" s="1097">
        <f t="shared" si="65"/>
        <v>1</v>
      </c>
      <c r="F370" s="1106"/>
      <c r="G370" s="1097">
        <f t="shared" si="66"/>
        <v>1</v>
      </c>
      <c r="H370" s="1106"/>
      <c r="I370" s="1097">
        <f t="shared" si="67"/>
        <v>1</v>
      </c>
      <c r="J370" s="1106"/>
      <c r="K370" s="1097">
        <f t="shared" si="68"/>
        <v>1</v>
      </c>
      <c r="L370" s="1106"/>
      <c r="M370" s="1097">
        <f t="shared" si="69"/>
        <v>1</v>
      </c>
      <c r="N370" s="1106"/>
      <c r="O370" s="1097">
        <f t="shared" si="70"/>
        <v>1</v>
      </c>
      <c r="P370" s="1106"/>
      <c r="Q370" s="1097">
        <f t="shared" si="71"/>
        <v>1</v>
      </c>
      <c r="R370" s="1157">
        <f t="shared" si="72"/>
        <v>0</v>
      </c>
      <c r="S370" s="1096">
        <f t="shared" si="63"/>
        <v>0</v>
      </c>
    </row>
    <row r="371" spans="1:19">
      <c r="A371" s="1104"/>
      <c r="B371" s="1105"/>
      <c r="C371" s="1097">
        <f t="shared" si="64"/>
        <v>1</v>
      </c>
      <c r="D371" s="1106"/>
      <c r="E371" s="1097">
        <f t="shared" si="65"/>
        <v>1</v>
      </c>
      <c r="F371" s="1106"/>
      <c r="G371" s="1097">
        <f t="shared" si="66"/>
        <v>1</v>
      </c>
      <c r="H371" s="1106"/>
      <c r="I371" s="1097">
        <f t="shared" si="67"/>
        <v>1</v>
      </c>
      <c r="J371" s="1106"/>
      <c r="K371" s="1097">
        <f t="shared" si="68"/>
        <v>1</v>
      </c>
      <c r="L371" s="1106"/>
      <c r="M371" s="1097">
        <f t="shared" si="69"/>
        <v>1</v>
      </c>
      <c r="N371" s="1106"/>
      <c r="O371" s="1097">
        <f t="shared" si="70"/>
        <v>1</v>
      </c>
      <c r="P371" s="1106"/>
      <c r="Q371" s="1097">
        <f t="shared" si="71"/>
        <v>1</v>
      </c>
      <c r="R371" s="1157">
        <f t="shared" si="72"/>
        <v>0</v>
      </c>
      <c r="S371" s="1096">
        <f t="shared" si="63"/>
        <v>0</v>
      </c>
    </row>
    <row r="372" spans="1:19">
      <c r="A372" s="1104"/>
      <c r="B372" s="1105"/>
      <c r="C372" s="1097">
        <f t="shared" si="64"/>
        <v>1</v>
      </c>
      <c r="D372" s="1106"/>
      <c r="E372" s="1097">
        <f t="shared" si="65"/>
        <v>1</v>
      </c>
      <c r="F372" s="1106"/>
      <c r="G372" s="1097">
        <f t="shared" si="66"/>
        <v>1</v>
      </c>
      <c r="H372" s="1106"/>
      <c r="I372" s="1097">
        <f t="shared" si="67"/>
        <v>1</v>
      </c>
      <c r="J372" s="1106"/>
      <c r="K372" s="1097">
        <f t="shared" si="68"/>
        <v>1</v>
      </c>
      <c r="L372" s="1106"/>
      <c r="M372" s="1097">
        <f t="shared" si="69"/>
        <v>1</v>
      </c>
      <c r="N372" s="1106"/>
      <c r="O372" s="1097">
        <f t="shared" si="70"/>
        <v>1</v>
      </c>
      <c r="P372" s="1106"/>
      <c r="Q372" s="1097">
        <f t="shared" si="71"/>
        <v>1</v>
      </c>
      <c r="R372" s="1157">
        <f t="shared" si="72"/>
        <v>0</v>
      </c>
      <c r="S372" s="1096">
        <f t="shared" si="63"/>
        <v>0</v>
      </c>
    </row>
    <row r="373" spans="1:19">
      <c r="A373" s="1104"/>
      <c r="B373" s="1105"/>
      <c r="C373" s="1097">
        <f t="shared" si="64"/>
        <v>1</v>
      </c>
      <c r="D373" s="1106"/>
      <c r="E373" s="1097">
        <f t="shared" si="65"/>
        <v>1</v>
      </c>
      <c r="F373" s="1106"/>
      <c r="G373" s="1097">
        <f t="shared" si="66"/>
        <v>1</v>
      </c>
      <c r="H373" s="1106"/>
      <c r="I373" s="1097">
        <f t="shared" si="67"/>
        <v>1</v>
      </c>
      <c r="J373" s="1106"/>
      <c r="K373" s="1097">
        <f t="shared" si="68"/>
        <v>1</v>
      </c>
      <c r="L373" s="1106"/>
      <c r="M373" s="1097">
        <f t="shared" si="69"/>
        <v>1</v>
      </c>
      <c r="N373" s="1106"/>
      <c r="O373" s="1097">
        <f t="shared" si="70"/>
        <v>1</v>
      </c>
      <c r="P373" s="1106"/>
      <c r="Q373" s="1097">
        <f t="shared" si="71"/>
        <v>1</v>
      </c>
      <c r="R373" s="1157">
        <f t="shared" si="72"/>
        <v>0</v>
      </c>
      <c r="S373" s="1096">
        <f t="shared" si="63"/>
        <v>0</v>
      </c>
    </row>
    <row r="374" spans="1:19">
      <c r="A374" s="1104"/>
      <c r="B374" s="1105"/>
      <c r="C374" s="1097">
        <f t="shared" si="64"/>
        <v>1</v>
      </c>
      <c r="D374" s="1106"/>
      <c r="E374" s="1097">
        <f t="shared" si="65"/>
        <v>1</v>
      </c>
      <c r="F374" s="1106"/>
      <c r="G374" s="1097">
        <f t="shared" si="66"/>
        <v>1</v>
      </c>
      <c r="H374" s="1106"/>
      <c r="I374" s="1097">
        <f t="shared" si="67"/>
        <v>1</v>
      </c>
      <c r="J374" s="1106"/>
      <c r="K374" s="1097">
        <f t="shared" si="68"/>
        <v>1</v>
      </c>
      <c r="L374" s="1106"/>
      <c r="M374" s="1097">
        <f t="shared" si="69"/>
        <v>1</v>
      </c>
      <c r="N374" s="1106"/>
      <c r="O374" s="1097">
        <f t="shared" si="70"/>
        <v>1</v>
      </c>
      <c r="P374" s="1106"/>
      <c r="Q374" s="1097">
        <f t="shared" si="71"/>
        <v>1</v>
      </c>
      <c r="R374" s="1157">
        <f t="shared" si="72"/>
        <v>0</v>
      </c>
      <c r="S374" s="1096">
        <f t="shared" si="63"/>
        <v>0</v>
      </c>
    </row>
    <row r="375" spans="1:19">
      <c r="A375" s="1104"/>
      <c r="B375" s="1105"/>
      <c r="C375" s="1097">
        <f t="shared" si="64"/>
        <v>1</v>
      </c>
      <c r="D375" s="1106"/>
      <c r="E375" s="1097">
        <f t="shared" si="65"/>
        <v>1</v>
      </c>
      <c r="F375" s="1106"/>
      <c r="G375" s="1097">
        <f t="shared" si="66"/>
        <v>1</v>
      </c>
      <c r="H375" s="1106"/>
      <c r="I375" s="1097">
        <f t="shared" si="67"/>
        <v>1</v>
      </c>
      <c r="J375" s="1106"/>
      <c r="K375" s="1097">
        <f t="shared" si="68"/>
        <v>1</v>
      </c>
      <c r="L375" s="1106"/>
      <c r="M375" s="1097">
        <f t="shared" si="69"/>
        <v>1</v>
      </c>
      <c r="N375" s="1106"/>
      <c r="O375" s="1097">
        <f t="shared" si="70"/>
        <v>1</v>
      </c>
      <c r="P375" s="1106"/>
      <c r="Q375" s="1097">
        <f t="shared" si="71"/>
        <v>1</v>
      </c>
      <c r="R375" s="1157">
        <f t="shared" si="72"/>
        <v>0</v>
      </c>
      <c r="S375" s="1096">
        <f t="shared" si="63"/>
        <v>0</v>
      </c>
    </row>
    <row r="376" spans="1:19">
      <c r="A376" s="1104"/>
      <c r="B376" s="1105"/>
      <c r="C376" s="1097">
        <f t="shared" si="64"/>
        <v>1</v>
      </c>
      <c r="D376" s="1106"/>
      <c r="E376" s="1097">
        <f t="shared" si="65"/>
        <v>1</v>
      </c>
      <c r="F376" s="1106"/>
      <c r="G376" s="1097">
        <f t="shared" si="66"/>
        <v>1</v>
      </c>
      <c r="H376" s="1106"/>
      <c r="I376" s="1097">
        <f t="shared" si="67"/>
        <v>1</v>
      </c>
      <c r="J376" s="1106"/>
      <c r="K376" s="1097">
        <f t="shared" si="68"/>
        <v>1</v>
      </c>
      <c r="L376" s="1106"/>
      <c r="M376" s="1097">
        <f t="shared" si="69"/>
        <v>1</v>
      </c>
      <c r="N376" s="1106"/>
      <c r="O376" s="1097">
        <f t="shared" si="70"/>
        <v>1</v>
      </c>
      <c r="P376" s="1106"/>
      <c r="Q376" s="1097">
        <f t="shared" si="71"/>
        <v>1</v>
      </c>
      <c r="R376" s="1157">
        <f t="shared" si="72"/>
        <v>0</v>
      </c>
      <c r="S376" s="1096">
        <f t="shared" si="63"/>
        <v>0</v>
      </c>
    </row>
    <row r="377" spans="1:19">
      <c r="A377" s="1104"/>
      <c r="B377" s="1105"/>
      <c r="C377" s="1097">
        <f t="shared" si="64"/>
        <v>1</v>
      </c>
      <c r="D377" s="1106"/>
      <c r="E377" s="1097">
        <f t="shared" si="65"/>
        <v>1</v>
      </c>
      <c r="F377" s="1106"/>
      <c r="G377" s="1097">
        <f t="shared" si="66"/>
        <v>1</v>
      </c>
      <c r="H377" s="1106"/>
      <c r="I377" s="1097">
        <f t="shared" si="67"/>
        <v>1</v>
      </c>
      <c r="J377" s="1106"/>
      <c r="K377" s="1097">
        <f t="shared" si="68"/>
        <v>1</v>
      </c>
      <c r="L377" s="1106"/>
      <c r="M377" s="1097">
        <f t="shared" si="69"/>
        <v>1</v>
      </c>
      <c r="N377" s="1106"/>
      <c r="O377" s="1097">
        <f t="shared" si="70"/>
        <v>1</v>
      </c>
      <c r="P377" s="1106"/>
      <c r="Q377" s="1097">
        <f t="shared" si="71"/>
        <v>1</v>
      </c>
      <c r="R377" s="1157">
        <f t="shared" si="72"/>
        <v>0</v>
      </c>
      <c r="S377" s="1096">
        <f t="shared" si="63"/>
        <v>0</v>
      </c>
    </row>
    <row r="378" spans="1:19">
      <c r="A378" s="1104"/>
      <c r="B378" s="1105"/>
      <c r="C378" s="1097">
        <f t="shared" si="64"/>
        <v>1</v>
      </c>
      <c r="D378" s="1106"/>
      <c r="E378" s="1097">
        <f t="shared" si="65"/>
        <v>1</v>
      </c>
      <c r="F378" s="1106"/>
      <c r="G378" s="1097">
        <f t="shared" si="66"/>
        <v>1</v>
      </c>
      <c r="H378" s="1106"/>
      <c r="I378" s="1097">
        <f t="shared" si="67"/>
        <v>1</v>
      </c>
      <c r="J378" s="1106"/>
      <c r="K378" s="1097">
        <f t="shared" si="68"/>
        <v>1</v>
      </c>
      <c r="L378" s="1106"/>
      <c r="M378" s="1097">
        <f t="shared" si="69"/>
        <v>1</v>
      </c>
      <c r="N378" s="1106"/>
      <c r="O378" s="1097">
        <f t="shared" si="70"/>
        <v>1</v>
      </c>
      <c r="P378" s="1106"/>
      <c r="Q378" s="1097">
        <f t="shared" si="71"/>
        <v>1</v>
      </c>
      <c r="R378" s="1157">
        <f t="shared" si="72"/>
        <v>0</v>
      </c>
      <c r="S378" s="1096">
        <f t="shared" si="63"/>
        <v>0</v>
      </c>
    </row>
    <row r="379" spans="1:19">
      <c r="A379" s="1104"/>
      <c r="B379" s="1105"/>
      <c r="C379" s="1097">
        <f t="shared" si="64"/>
        <v>1</v>
      </c>
      <c r="D379" s="1106"/>
      <c r="E379" s="1097">
        <f t="shared" si="65"/>
        <v>1</v>
      </c>
      <c r="F379" s="1106"/>
      <c r="G379" s="1097">
        <f t="shared" si="66"/>
        <v>1</v>
      </c>
      <c r="H379" s="1106"/>
      <c r="I379" s="1097">
        <f t="shared" si="67"/>
        <v>1</v>
      </c>
      <c r="J379" s="1106"/>
      <c r="K379" s="1097">
        <f t="shared" si="68"/>
        <v>1</v>
      </c>
      <c r="L379" s="1106"/>
      <c r="M379" s="1097">
        <f t="shared" si="69"/>
        <v>1</v>
      </c>
      <c r="N379" s="1106"/>
      <c r="O379" s="1097">
        <f t="shared" si="70"/>
        <v>1</v>
      </c>
      <c r="P379" s="1106"/>
      <c r="Q379" s="1097">
        <f t="shared" si="71"/>
        <v>1</v>
      </c>
      <c r="R379" s="1157">
        <f t="shared" si="72"/>
        <v>0</v>
      </c>
      <c r="S379" s="1096">
        <f t="shared" si="63"/>
        <v>0</v>
      </c>
    </row>
    <row r="380" spans="1:19">
      <c r="A380" s="1104"/>
      <c r="B380" s="1105"/>
      <c r="C380" s="1097">
        <f t="shared" si="64"/>
        <v>1</v>
      </c>
      <c r="D380" s="1106"/>
      <c r="E380" s="1097">
        <f t="shared" si="65"/>
        <v>1</v>
      </c>
      <c r="F380" s="1106"/>
      <c r="G380" s="1097">
        <f t="shared" si="66"/>
        <v>1</v>
      </c>
      <c r="H380" s="1106"/>
      <c r="I380" s="1097">
        <f t="shared" si="67"/>
        <v>1</v>
      </c>
      <c r="J380" s="1106"/>
      <c r="K380" s="1097">
        <f t="shared" si="68"/>
        <v>1</v>
      </c>
      <c r="L380" s="1106"/>
      <c r="M380" s="1097">
        <f t="shared" si="69"/>
        <v>1</v>
      </c>
      <c r="N380" s="1106"/>
      <c r="O380" s="1097">
        <f t="shared" si="70"/>
        <v>1</v>
      </c>
      <c r="P380" s="1106"/>
      <c r="Q380" s="1097">
        <f t="shared" si="71"/>
        <v>1</v>
      </c>
      <c r="R380" s="1157">
        <f t="shared" si="72"/>
        <v>0</v>
      </c>
      <c r="S380" s="1096">
        <f t="shared" si="63"/>
        <v>0</v>
      </c>
    </row>
    <row r="381" spans="1:19">
      <c r="A381" s="1104"/>
      <c r="B381" s="1105"/>
      <c r="C381" s="1097">
        <f t="shared" si="64"/>
        <v>1</v>
      </c>
      <c r="D381" s="1106"/>
      <c r="E381" s="1097">
        <f t="shared" si="65"/>
        <v>1</v>
      </c>
      <c r="F381" s="1106"/>
      <c r="G381" s="1097">
        <f t="shared" si="66"/>
        <v>1</v>
      </c>
      <c r="H381" s="1106"/>
      <c r="I381" s="1097">
        <f t="shared" si="67"/>
        <v>1</v>
      </c>
      <c r="J381" s="1106"/>
      <c r="K381" s="1097">
        <f t="shared" si="68"/>
        <v>1</v>
      </c>
      <c r="L381" s="1106"/>
      <c r="M381" s="1097">
        <f t="shared" si="69"/>
        <v>1</v>
      </c>
      <c r="N381" s="1106"/>
      <c r="O381" s="1097">
        <f t="shared" si="70"/>
        <v>1</v>
      </c>
      <c r="P381" s="1106"/>
      <c r="Q381" s="1097">
        <f t="shared" si="71"/>
        <v>1</v>
      </c>
      <c r="R381" s="1157">
        <f t="shared" si="72"/>
        <v>0</v>
      </c>
      <c r="S381" s="1096">
        <f t="shared" si="63"/>
        <v>0</v>
      </c>
    </row>
    <row r="382" spans="1:19">
      <c r="A382" s="1104"/>
      <c r="B382" s="1105"/>
      <c r="C382" s="1097">
        <f t="shared" si="64"/>
        <v>1</v>
      </c>
      <c r="D382" s="1106"/>
      <c r="E382" s="1097">
        <f t="shared" si="65"/>
        <v>1</v>
      </c>
      <c r="F382" s="1106"/>
      <c r="G382" s="1097">
        <f t="shared" si="66"/>
        <v>1</v>
      </c>
      <c r="H382" s="1106"/>
      <c r="I382" s="1097">
        <f t="shared" si="67"/>
        <v>1</v>
      </c>
      <c r="J382" s="1106"/>
      <c r="K382" s="1097">
        <f t="shared" si="68"/>
        <v>1</v>
      </c>
      <c r="L382" s="1106"/>
      <c r="M382" s="1097">
        <f t="shared" si="69"/>
        <v>1</v>
      </c>
      <c r="N382" s="1106"/>
      <c r="O382" s="1097">
        <f t="shared" si="70"/>
        <v>1</v>
      </c>
      <c r="P382" s="1106"/>
      <c r="Q382" s="1097">
        <f t="shared" si="71"/>
        <v>1</v>
      </c>
      <c r="R382" s="1157">
        <f t="shared" si="72"/>
        <v>0</v>
      </c>
      <c r="S382" s="1096">
        <f t="shared" si="63"/>
        <v>0</v>
      </c>
    </row>
    <row r="383" spans="1:19">
      <c r="A383" s="1104"/>
      <c r="B383" s="1105"/>
      <c r="C383" s="1097">
        <f t="shared" si="64"/>
        <v>1</v>
      </c>
      <c r="D383" s="1106"/>
      <c r="E383" s="1097">
        <f t="shared" si="65"/>
        <v>1</v>
      </c>
      <c r="F383" s="1106"/>
      <c r="G383" s="1097">
        <f t="shared" si="66"/>
        <v>1</v>
      </c>
      <c r="H383" s="1106"/>
      <c r="I383" s="1097">
        <f t="shared" si="67"/>
        <v>1</v>
      </c>
      <c r="J383" s="1106"/>
      <c r="K383" s="1097">
        <f t="shared" si="68"/>
        <v>1</v>
      </c>
      <c r="L383" s="1106"/>
      <c r="M383" s="1097">
        <f t="shared" si="69"/>
        <v>1</v>
      </c>
      <c r="N383" s="1106"/>
      <c r="O383" s="1097">
        <f t="shared" si="70"/>
        <v>1</v>
      </c>
      <c r="P383" s="1106"/>
      <c r="Q383" s="1097">
        <f t="shared" si="71"/>
        <v>1</v>
      </c>
      <c r="R383" s="1157">
        <f t="shared" si="72"/>
        <v>0</v>
      </c>
      <c r="S383" s="1096">
        <f t="shared" si="63"/>
        <v>0</v>
      </c>
    </row>
    <row r="384" spans="1:19">
      <c r="A384" s="1104"/>
      <c r="B384" s="1105"/>
      <c r="C384" s="1097">
        <f t="shared" si="64"/>
        <v>1</v>
      </c>
      <c r="D384" s="1106"/>
      <c r="E384" s="1097">
        <f t="shared" si="65"/>
        <v>1</v>
      </c>
      <c r="F384" s="1106"/>
      <c r="G384" s="1097">
        <f t="shared" si="66"/>
        <v>1</v>
      </c>
      <c r="H384" s="1106"/>
      <c r="I384" s="1097">
        <f t="shared" si="67"/>
        <v>1</v>
      </c>
      <c r="J384" s="1106"/>
      <c r="K384" s="1097">
        <f t="shared" si="68"/>
        <v>1</v>
      </c>
      <c r="L384" s="1106"/>
      <c r="M384" s="1097">
        <f t="shared" si="69"/>
        <v>1</v>
      </c>
      <c r="N384" s="1106"/>
      <c r="O384" s="1097">
        <f t="shared" si="70"/>
        <v>1</v>
      </c>
      <c r="P384" s="1106"/>
      <c r="Q384" s="1097">
        <f t="shared" si="71"/>
        <v>1</v>
      </c>
      <c r="R384" s="1157">
        <f t="shared" si="72"/>
        <v>0</v>
      </c>
      <c r="S384" s="1096">
        <f t="shared" si="63"/>
        <v>0</v>
      </c>
    </row>
    <row r="385" spans="1:19">
      <c r="A385" s="1104"/>
      <c r="B385" s="1105"/>
      <c r="C385" s="1097">
        <f t="shared" si="64"/>
        <v>1</v>
      </c>
      <c r="D385" s="1106"/>
      <c r="E385" s="1097">
        <f t="shared" si="65"/>
        <v>1</v>
      </c>
      <c r="F385" s="1106"/>
      <c r="G385" s="1097">
        <f t="shared" si="66"/>
        <v>1</v>
      </c>
      <c r="H385" s="1106"/>
      <c r="I385" s="1097">
        <f t="shared" si="67"/>
        <v>1</v>
      </c>
      <c r="J385" s="1106"/>
      <c r="K385" s="1097">
        <f t="shared" si="68"/>
        <v>1</v>
      </c>
      <c r="L385" s="1106"/>
      <c r="M385" s="1097">
        <f t="shared" si="69"/>
        <v>1</v>
      </c>
      <c r="N385" s="1106"/>
      <c r="O385" s="1097">
        <f t="shared" si="70"/>
        <v>1</v>
      </c>
      <c r="P385" s="1106"/>
      <c r="Q385" s="1097">
        <f t="shared" si="71"/>
        <v>1</v>
      </c>
      <c r="R385" s="1157">
        <f t="shared" si="72"/>
        <v>0</v>
      </c>
      <c r="S385" s="1096">
        <f t="shared" ref="S385:S422" si="73">ROUND(R385*B385/10000,0)</f>
        <v>0</v>
      </c>
    </row>
    <row r="386" spans="1:19">
      <c r="A386" s="1104"/>
      <c r="B386" s="1105"/>
      <c r="C386" s="1097">
        <f t="shared" si="64"/>
        <v>1</v>
      </c>
      <c r="D386" s="1106"/>
      <c r="E386" s="1097">
        <f t="shared" si="65"/>
        <v>1</v>
      </c>
      <c r="F386" s="1106"/>
      <c r="G386" s="1097">
        <f t="shared" si="66"/>
        <v>1</v>
      </c>
      <c r="H386" s="1106"/>
      <c r="I386" s="1097">
        <f t="shared" si="67"/>
        <v>1</v>
      </c>
      <c r="J386" s="1106"/>
      <c r="K386" s="1097">
        <f t="shared" si="68"/>
        <v>1</v>
      </c>
      <c r="L386" s="1106"/>
      <c r="M386" s="1097">
        <f t="shared" si="69"/>
        <v>1</v>
      </c>
      <c r="N386" s="1106"/>
      <c r="O386" s="1097">
        <f t="shared" si="70"/>
        <v>1</v>
      </c>
      <c r="P386" s="1106"/>
      <c r="Q386" s="1097">
        <f t="shared" si="71"/>
        <v>1</v>
      </c>
      <c r="R386" s="1157">
        <f t="shared" si="72"/>
        <v>0</v>
      </c>
      <c r="S386" s="1096">
        <f t="shared" si="73"/>
        <v>0</v>
      </c>
    </row>
    <row r="387" spans="1:19">
      <c r="A387" s="1104"/>
      <c r="B387" s="1105"/>
      <c r="C387" s="1097">
        <f t="shared" si="64"/>
        <v>1</v>
      </c>
      <c r="D387" s="1106"/>
      <c r="E387" s="1097">
        <f t="shared" si="65"/>
        <v>1</v>
      </c>
      <c r="F387" s="1106"/>
      <c r="G387" s="1097">
        <f t="shared" si="66"/>
        <v>1</v>
      </c>
      <c r="H387" s="1106"/>
      <c r="I387" s="1097">
        <f t="shared" si="67"/>
        <v>1</v>
      </c>
      <c r="J387" s="1106"/>
      <c r="K387" s="1097">
        <f t="shared" si="68"/>
        <v>1</v>
      </c>
      <c r="L387" s="1106"/>
      <c r="M387" s="1097">
        <f t="shared" si="69"/>
        <v>1</v>
      </c>
      <c r="N387" s="1106"/>
      <c r="O387" s="1097">
        <f t="shared" si="70"/>
        <v>1</v>
      </c>
      <c r="P387" s="1106"/>
      <c r="Q387" s="1097">
        <f t="shared" si="71"/>
        <v>1</v>
      </c>
      <c r="R387" s="1157">
        <f t="shared" si="72"/>
        <v>0</v>
      </c>
      <c r="S387" s="1096">
        <f t="shared" si="73"/>
        <v>0</v>
      </c>
    </row>
    <row r="388" spans="1:19">
      <c r="A388" s="1104"/>
      <c r="B388" s="1105"/>
      <c r="C388" s="1097">
        <f t="shared" si="64"/>
        <v>1</v>
      </c>
      <c r="D388" s="1106"/>
      <c r="E388" s="1097">
        <f t="shared" si="65"/>
        <v>1</v>
      </c>
      <c r="F388" s="1106"/>
      <c r="G388" s="1097">
        <f t="shared" si="66"/>
        <v>1</v>
      </c>
      <c r="H388" s="1106"/>
      <c r="I388" s="1097">
        <f t="shared" si="67"/>
        <v>1</v>
      </c>
      <c r="J388" s="1106"/>
      <c r="K388" s="1097">
        <f t="shared" si="68"/>
        <v>1</v>
      </c>
      <c r="L388" s="1106"/>
      <c r="M388" s="1097">
        <f t="shared" si="69"/>
        <v>1</v>
      </c>
      <c r="N388" s="1106"/>
      <c r="O388" s="1097">
        <f t="shared" si="70"/>
        <v>1</v>
      </c>
      <c r="P388" s="1106"/>
      <c r="Q388" s="1097">
        <f t="shared" si="71"/>
        <v>1</v>
      </c>
      <c r="R388" s="1157">
        <f t="shared" si="72"/>
        <v>0</v>
      </c>
      <c r="S388" s="1096">
        <f t="shared" si="73"/>
        <v>0</v>
      </c>
    </row>
    <row r="389" spans="1:19">
      <c r="A389" s="1104"/>
      <c r="B389" s="1105"/>
      <c r="C389" s="1097">
        <f t="shared" si="64"/>
        <v>1</v>
      </c>
      <c r="D389" s="1106"/>
      <c r="E389" s="1097">
        <f t="shared" si="65"/>
        <v>1</v>
      </c>
      <c r="F389" s="1106"/>
      <c r="G389" s="1097">
        <f t="shared" si="66"/>
        <v>1</v>
      </c>
      <c r="H389" s="1106"/>
      <c r="I389" s="1097">
        <f t="shared" si="67"/>
        <v>1</v>
      </c>
      <c r="J389" s="1106"/>
      <c r="K389" s="1097">
        <f t="shared" si="68"/>
        <v>1</v>
      </c>
      <c r="L389" s="1106"/>
      <c r="M389" s="1097">
        <f t="shared" si="69"/>
        <v>1</v>
      </c>
      <c r="N389" s="1106"/>
      <c r="O389" s="1097">
        <f t="shared" si="70"/>
        <v>1</v>
      </c>
      <c r="P389" s="1106"/>
      <c r="Q389" s="1097">
        <f t="shared" si="71"/>
        <v>1</v>
      </c>
      <c r="R389" s="1157">
        <f t="shared" si="72"/>
        <v>0</v>
      </c>
      <c r="S389" s="1096">
        <f t="shared" si="73"/>
        <v>0</v>
      </c>
    </row>
    <row r="390" spans="1:19">
      <c r="A390" s="1104"/>
      <c r="B390" s="1105"/>
      <c r="C390" s="1097">
        <f t="shared" si="64"/>
        <v>1</v>
      </c>
      <c r="D390" s="1106"/>
      <c r="E390" s="1097">
        <f t="shared" si="65"/>
        <v>1</v>
      </c>
      <c r="F390" s="1106"/>
      <c r="G390" s="1097">
        <f t="shared" si="66"/>
        <v>1</v>
      </c>
      <c r="H390" s="1106"/>
      <c r="I390" s="1097">
        <f t="shared" si="67"/>
        <v>1</v>
      </c>
      <c r="J390" s="1106"/>
      <c r="K390" s="1097">
        <f t="shared" si="68"/>
        <v>1</v>
      </c>
      <c r="L390" s="1106"/>
      <c r="M390" s="1097">
        <f t="shared" si="69"/>
        <v>1</v>
      </c>
      <c r="N390" s="1106"/>
      <c r="O390" s="1097">
        <f t="shared" si="70"/>
        <v>1</v>
      </c>
      <c r="P390" s="1106"/>
      <c r="Q390" s="1097">
        <f t="shared" si="71"/>
        <v>1</v>
      </c>
      <c r="R390" s="1157">
        <f t="shared" si="72"/>
        <v>0</v>
      </c>
      <c r="S390" s="1096">
        <f t="shared" si="73"/>
        <v>0</v>
      </c>
    </row>
    <row r="391" spans="1:19">
      <c r="A391" s="1104"/>
      <c r="B391" s="1105"/>
      <c r="C391" s="1097">
        <f t="shared" si="64"/>
        <v>1</v>
      </c>
      <c r="D391" s="1106"/>
      <c r="E391" s="1097">
        <f t="shared" si="65"/>
        <v>1</v>
      </c>
      <c r="F391" s="1106"/>
      <c r="G391" s="1097">
        <f t="shared" si="66"/>
        <v>1</v>
      </c>
      <c r="H391" s="1106"/>
      <c r="I391" s="1097">
        <f t="shared" si="67"/>
        <v>1</v>
      </c>
      <c r="J391" s="1106"/>
      <c r="K391" s="1097">
        <f t="shared" si="68"/>
        <v>1</v>
      </c>
      <c r="L391" s="1106"/>
      <c r="M391" s="1097">
        <f t="shared" si="69"/>
        <v>1</v>
      </c>
      <c r="N391" s="1106"/>
      <c r="O391" s="1097">
        <f t="shared" si="70"/>
        <v>1</v>
      </c>
      <c r="P391" s="1106"/>
      <c r="Q391" s="1097">
        <f t="shared" si="71"/>
        <v>1</v>
      </c>
      <c r="R391" s="1157">
        <f t="shared" si="72"/>
        <v>0</v>
      </c>
      <c r="S391" s="1096">
        <f t="shared" si="73"/>
        <v>0</v>
      </c>
    </row>
    <row r="392" spans="1:19">
      <c r="A392" s="1104"/>
      <c r="B392" s="1105"/>
      <c r="C392" s="1097">
        <f t="shared" si="64"/>
        <v>1</v>
      </c>
      <c r="D392" s="1106"/>
      <c r="E392" s="1097">
        <f t="shared" si="65"/>
        <v>1</v>
      </c>
      <c r="F392" s="1106"/>
      <c r="G392" s="1097">
        <f t="shared" si="66"/>
        <v>1</v>
      </c>
      <c r="H392" s="1106"/>
      <c r="I392" s="1097">
        <f t="shared" si="67"/>
        <v>1</v>
      </c>
      <c r="J392" s="1106"/>
      <c r="K392" s="1097">
        <f t="shared" si="68"/>
        <v>1</v>
      </c>
      <c r="L392" s="1106"/>
      <c r="M392" s="1097">
        <f t="shared" si="69"/>
        <v>1</v>
      </c>
      <c r="N392" s="1106"/>
      <c r="O392" s="1097">
        <f t="shared" si="70"/>
        <v>1</v>
      </c>
      <c r="P392" s="1106"/>
      <c r="Q392" s="1097">
        <f t="shared" si="71"/>
        <v>1</v>
      </c>
      <c r="R392" s="1157">
        <f t="shared" si="72"/>
        <v>0</v>
      </c>
      <c r="S392" s="1096">
        <f t="shared" si="73"/>
        <v>0</v>
      </c>
    </row>
    <row r="393" spans="1:19">
      <c r="A393" s="1104"/>
      <c r="B393" s="1105"/>
      <c r="C393" s="1097">
        <f t="shared" si="64"/>
        <v>1</v>
      </c>
      <c r="D393" s="1106"/>
      <c r="E393" s="1097">
        <f t="shared" si="65"/>
        <v>1</v>
      </c>
      <c r="F393" s="1106"/>
      <c r="G393" s="1097">
        <f t="shared" si="66"/>
        <v>1</v>
      </c>
      <c r="H393" s="1106"/>
      <c r="I393" s="1097">
        <f t="shared" si="67"/>
        <v>1</v>
      </c>
      <c r="J393" s="1106"/>
      <c r="K393" s="1097">
        <f t="shared" si="68"/>
        <v>1</v>
      </c>
      <c r="L393" s="1106"/>
      <c r="M393" s="1097">
        <f t="shared" si="69"/>
        <v>1</v>
      </c>
      <c r="N393" s="1106"/>
      <c r="O393" s="1097">
        <f t="shared" si="70"/>
        <v>1</v>
      </c>
      <c r="P393" s="1106"/>
      <c r="Q393" s="1097">
        <f t="shared" si="71"/>
        <v>1</v>
      </c>
      <c r="R393" s="1157">
        <f t="shared" si="72"/>
        <v>0</v>
      </c>
      <c r="S393" s="1096">
        <f t="shared" si="73"/>
        <v>0</v>
      </c>
    </row>
    <row r="394" spans="1:19">
      <c r="A394" s="1104"/>
      <c r="B394" s="1105"/>
      <c r="C394" s="1097">
        <f t="shared" si="64"/>
        <v>1</v>
      </c>
      <c r="D394" s="1106"/>
      <c r="E394" s="1097">
        <f t="shared" si="65"/>
        <v>1</v>
      </c>
      <c r="F394" s="1106"/>
      <c r="G394" s="1097">
        <f t="shared" si="66"/>
        <v>1</v>
      </c>
      <c r="H394" s="1106"/>
      <c r="I394" s="1097">
        <f t="shared" si="67"/>
        <v>1</v>
      </c>
      <c r="J394" s="1106"/>
      <c r="K394" s="1097">
        <f t="shared" si="68"/>
        <v>1</v>
      </c>
      <c r="L394" s="1106"/>
      <c r="M394" s="1097">
        <f t="shared" si="69"/>
        <v>1</v>
      </c>
      <c r="N394" s="1106"/>
      <c r="O394" s="1097">
        <f t="shared" si="70"/>
        <v>1</v>
      </c>
      <c r="P394" s="1106"/>
      <c r="Q394" s="1097">
        <f t="shared" si="71"/>
        <v>1</v>
      </c>
      <c r="R394" s="1157">
        <f t="shared" si="72"/>
        <v>0</v>
      </c>
      <c r="S394" s="1096">
        <f t="shared" si="73"/>
        <v>0</v>
      </c>
    </row>
    <row r="395" spans="1:19">
      <c r="A395" s="1104"/>
      <c r="B395" s="1105"/>
      <c r="C395" s="1097">
        <f t="shared" si="64"/>
        <v>1</v>
      </c>
      <c r="D395" s="1106"/>
      <c r="E395" s="1097">
        <f t="shared" si="65"/>
        <v>1</v>
      </c>
      <c r="F395" s="1106"/>
      <c r="G395" s="1097">
        <f t="shared" si="66"/>
        <v>1</v>
      </c>
      <c r="H395" s="1106"/>
      <c r="I395" s="1097">
        <f t="shared" si="67"/>
        <v>1</v>
      </c>
      <c r="J395" s="1106"/>
      <c r="K395" s="1097">
        <f t="shared" si="68"/>
        <v>1</v>
      </c>
      <c r="L395" s="1106"/>
      <c r="M395" s="1097">
        <f t="shared" si="69"/>
        <v>1</v>
      </c>
      <c r="N395" s="1106"/>
      <c r="O395" s="1097">
        <f t="shared" si="70"/>
        <v>1</v>
      </c>
      <c r="P395" s="1106"/>
      <c r="Q395" s="1097">
        <f t="shared" si="71"/>
        <v>1</v>
      </c>
      <c r="R395" s="1157">
        <f t="shared" si="72"/>
        <v>0</v>
      </c>
      <c r="S395" s="1096">
        <f t="shared" si="73"/>
        <v>0</v>
      </c>
    </row>
    <row r="396" spans="1:19">
      <c r="A396" s="1104"/>
      <c r="B396" s="1105"/>
      <c r="C396" s="1097">
        <f t="shared" si="64"/>
        <v>1</v>
      </c>
      <c r="D396" s="1106"/>
      <c r="E396" s="1097">
        <f t="shared" si="65"/>
        <v>1</v>
      </c>
      <c r="F396" s="1106"/>
      <c r="G396" s="1097">
        <f t="shared" si="66"/>
        <v>1</v>
      </c>
      <c r="H396" s="1106"/>
      <c r="I396" s="1097">
        <f t="shared" si="67"/>
        <v>1</v>
      </c>
      <c r="J396" s="1106"/>
      <c r="K396" s="1097">
        <f t="shared" si="68"/>
        <v>1</v>
      </c>
      <c r="L396" s="1106"/>
      <c r="M396" s="1097">
        <f t="shared" si="69"/>
        <v>1</v>
      </c>
      <c r="N396" s="1106"/>
      <c r="O396" s="1097">
        <f t="shared" si="70"/>
        <v>1</v>
      </c>
      <c r="P396" s="1106"/>
      <c r="Q396" s="1097">
        <f t="shared" si="71"/>
        <v>1</v>
      </c>
      <c r="R396" s="1157">
        <f t="shared" si="72"/>
        <v>0</v>
      </c>
      <c r="S396" s="1096">
        <f t="shared" si="73"/>
        <v>0</v>
      </c>
    </row>
    <row r="397" spans="1:19">
      <c r="A397" s="1104"/>
      <c r="B397" s="1105"/>
      <c r="C397" s="1097">
        <f t="shared" si="64"/>
        <v>1</v>
      </c>
      <c r="D397" s="1106"/>
      <c r="E397" s="1097">
        <f t="shared" si="65"/>
        <v>1</v>
      </c>
      <c r="F397" s="1106"/>
      <c r="G397" s="1097">
        <f t="shared" si="66"/>
        <v>1</v>
      </c>
      <c r="H397" s="1106"/>
      <c r="I397" s="1097">
        <f t="shared" si="67"/>
        <v>1</v>
      </c>
      <c r="J397" s="1106"/>
      <c r="K397" s="1097">
        <f t="shared" si="68"/>
        <v>1</v>
      </c>
      <c r="L397" s="1106"/>
      <c r="M397" s="1097">
        <f t="shared" si="69"/>
        <v>1</v>
      </c>
      <c r="N397" s="1106"/>
      <c r="O397" s="1097">
        <f t="shared" si="70"/>
        <v>1</v>
      </c>
      <c r="P397" s="1106"/>
      <c r="Q397" s="1097">
        <f t="shared" si="71"/>
        <v>1</v>
      </c>
      <c r="R397" s="1157">
        <f t="shared" si="72"/>
        <v>0</v>
      </c>
      <c r="S397" s="1096">
        <f t="shared" si="73"/>
        <v>0</v>
      </c>
    </row>
    <row r="398" spans="1:19">
      <c r="A398" s="1104"/>
      <c r="B398" s="1105"/>
      <c r="C398" s="1097">
        <f t="shared" si="64"/>
        <v>1</v>
      </c>
      <c r="D398" s="1106"/>
      <c r="E398" s="1097">
        <f t="shared" si="65"/>
        <v>1</v>
      </c>
      <c r="F398" s="1106"/>
      <c r="G398" s="1097">
        <f t="shared" si="66"/>
        <v>1</v>
      </c>
      <c r="H398" s="1106"/>
      <c r="I398" s="1097">
        <f t="shared" si="67"/>
        <v>1</v>
      </c>
      <c r="J398" s="1106"/>
      <c r="K398" s="1097">
        <f t="shared" si="68"/>
        <v>1</v>
      </c>
      <c r="L398" s="1106"/>
      <c r="M398" s="1097">
        <f t="shared" si="69"/>
        <v>1</v>
      </c>
      <c r="N398" s="1106"/>
      <c r="O398" s="1097">
        <f t="shared" si="70"/>
        <v>1</v>
      </c>
      <c r="P398" s="1106"/>
      <c r="Q398" s="1097">
        <f t="shared" si="71"/>
        <v>1</v>
      </c>
      <c r="R398" s="1157">
        <f t="shared" si="72"/>
        <v>0</v>
      </c>
      <c r="S398" s="1096">
        <f t="shared" si="73"/>
        <v>0</v>
      </c>
    </row>
    <row r="399" spans="1:19">
      <c r="A399" s="1104"/>
      <c r="B399" s="1105"/>
      <c r="C399" s="1097">
        <f t="shared" si="64"/>
        <v>1</v>
      </c>
      <c r="D399" s="1106"/>
      <c r="E399" s="1097">
        <f t="shared" si="65"/>
        <v>1</v>
      </c>
      <c r="F399" s="1106"/>
      <c r="G399" s="1097">
        <f t="shared" si="66"/>
        <v>1</v>
      </c>
      <c r="H399" s="1106"/>
      <c r="I399" s="1097">
        <f t="shared" si="67"/>
        <v>1</v>
      </c>
      <c r="J399" s="1106"/>
      <c r="K399" s="1097">
        <f t="shared" si="68"/>
        <v>1</v>
      </c>
      <c r="L399" s="1106"/>
      <c r="M399" s="1097">
        <f t="shared" si="69"/>
        <v>1</v>
      </c>
      <c r="N399" s="1106"/>
      <c r="O399" s="1097">
        <f t="shared" si="70"/>
        <v>1</v>
      </c>
      <c r="P399" s="1106"/>
      <c r="Q399" s="1097">
        <f t="shared" si="71"/>
        <v>1</v>
      </c>
      <c r="R399" s="1157">
        <f t="shared" si="72"/>
        <v>0</v>
      </c>
      <c r="S399" s="1096">
        <f t="shared" si="73"/>
        <v>0</v>
      </c>
    </row>
    <row r="400" spans="1:19">
      <c r="A400" s="1104"/>
      <c r="B400" s="1105"/>
      <c r="C400" s="1097">
        <f t="shared" si="64"/>
        <v>1</v>
      </c>
      <c r="D400" s="1106"/>
      <c r="E400" s="1097">
        <f t="shared" si="65"/>
        <v>1</v>
      </c>
      <c r="F400" s="1106"/>
      <c r="G400" s="1097">
        <f t="shared" si="66"/>
        <v>1</v>
      </c>
      <c r="H400" s="1106"/>
      <c r="I400" s="1097">
        <f t="shared" si="67"/>
        <v>1</v>
      </c>
      <c r="J400" s="1106"/>
      <c r="K400" s="1097">
        <f t="shared" si="68"/>
        <v>1</v>
      </c>
      <c r="L400" s="1106"/>
      <c r="M400" s="1097">
        <f t="shared" si="69"/>
        <v>1</v>
      </c>
      <c r="N400" s="1106"/>
      <c r="O400" s="1097">
        <f t="shared" si="70"/>
        <v>1</v>
      </c>
      <c r="P400" s="1106"/>
      <c r="Q400" s="1097">
        <f t="shared" si="71"/>
        <v>1</v>
      </c>
      <c r="R400" s="1157">
        <f t="shared" si="72"/>
        <v>0</v>
      </c>
      <c r="S400" s="1096">
        <f t="shared" si="73"/>
        <v>0</v>
      </c>
    </row>
    <row r="401" spans="1:19">
      <c r="A401" s="1104"/>
      <c r="B401" s="1105"/>
      <c r="C401" s="1097">
        <f t="shared" si="64"/>
        <v>1</v>
      </c>
      <c r="D401" s="1106"/>
      <c r="E401" s="1097">
        <f t="shared" si="65"/>
        <v>1</v>
      </c>
      <c r="F401" s="1106"/>
      <c r="G401" s="1097">
        <f t="shared" si="66"/>
        <v>1</v>
      </c>
      <c r="H401" s="1106"/>
      <c r="I401" s="1097">
        <f t="shared" si="67"/>
        <v>1</v>
      </c>
      <c r="J401" s="1106"/>
      <c r="K401" s="1097">
        <f t="shared" si="68"/>
        <v>1</v>
      </c>
      <c r="L401" s="1106"/>
      <c r="M401" s="1097">
        <f t="shared" si="69"/>
        <v>1</v>
      </c>
      <c r="N401" s="1106"/>
      <c r="O401" s="1097">
        <f t="shared" si="70"/>
        <v>1</v>
      </c>
      <c r="P401" s="1106"/>
      <c r="Q401" s="1097">
        <f t="shared" si="71"/>
        <v>1</v>
      </c>
      <c r="R401" s="1157">
        <f t="shared" si="72"/>
        <v>0</v>
      </c>
      <c r="S401" s="1096">
        <f t="shared" si="73"/>
        <v>0</v>
      </c>
    </row>
    <row r="402" spans="1:19">
      <c r="A402" s="1104"/>
      <c r="B402" s="1105"/>
      <c r="C402" s="1097">
        <f t="shared" si="64"/>
        <v>1</v>
      </c>
      <c r="D402" s="1106"/>
      <c r="E402" s="1097">
        <f t="shared" si="65"/>
        <v>1</v>
      </c>
      <c r="F402" s="1106"/>
      <c r="G402" s="1097">
        <f t="shared" si="66"/>
        <v>1</v>
      </c>
      <c r="H402" s="1106"/>
      <c r="I402" s="1097">
        <f t="shared" si="67"/>
        <v>1</v>
      </c>
      <c r="J402" s="1106"/>
      <c r="K402" s="1097">
        <f t="shared" si="68"/>
        <v>1</v>
      </c>
      <c r="L402" s="1106"/>
      <c r="M402" s="1097">
        <f t="shared" si="69"/>
        <v>1</v>
      </c>
      <c r="N402" s="1106"/>
      <c r="O402" s="1097">
        <f t="shared" si="70"/>
        <v>1</v>
      </c>
      <c r="P402" s="1106"/>
      <c r="Q402" s="1097">
        <f t="shared" si="71"/>
        <v>1</v>
      </c>
      <c r="R402" s="1157">
        <f t="shared" si="72"/>
        <v>0</v>
      </c>
      <c r="S402" s="1096">
        <f t="shared" si="73"/>
        <v>0</v>
      </c>
    </row>
    <row r="403" spans="1:19">
      <c r="A403" s="1104"/>
      <c r="B403" s="1105"/>
      <c r="C403" s="1097">
        <f t="shared" si="64"/>
        <v>1</v>
      </c>
      <c r="D403" s="1106"/>
      <c r="E403" s="1097">
        <f t="shared" si="65"/>
        <v>1</v>
      </c>
      <c r="F403" s="1106"/>
      <c r="G403" s="1097">
        <f t="shared" si="66"/>
        <v>1</v>
      </c>
      <c r="H403" s="1106"/>
      <c r="I403" s="1097">
        <f t="shared" si="67"/>
        <v>1</v>
      </c>
      <c r="J403" s="1106"/>
      <c r="K403" s="1097">
        <f t="shared" si="68"/>
        <v>1</v>
      </c>
      <c r="L403" s="1106"/>
      <c r="M403" s="1097">
        <f t="shared" si="69"/>
        <v>1</v>
      </c>
      <c r="N403" s="1106"/>
      <c r="O403" s="1097">
        <f t="shared" si="70"/>
        <v>1</v>
      </c>
      <c r="P403" s="1106"/>
      <c r="Q403" s="1097">
        <f t="shared" si="71"/>
        <v>1</v>
      </c>
      <c r="R403" s="1157">
        <f t="shared" si="72"/>
        <v>0</v>
      </c>
      <c r="S403" s="1096">
        <f t="shared" si="73"/>
        <v>0</v>
      </c>
    </row>
    <row r="404" spans="1:19">
      <c r="A404" s="1104"/>
      <c r="B404" s="1105"/>
      <c r="C404" s="1097">
        <f t="shared" si="64"/>
        <v>1</v>
      </c>
      <c r="D404" s="1106"/>
      <c r="E404" s="1097">
        <f t="shared" si="65"/>
        <v>1</v>
      </c>
      <c r="F404" s="1106"/>
      <c r="G404" s="1097">
        <f t="shared" si="66"/>
        <v>1</v>
      </c>
      <c r="H404" s="1106"/>
      <c r="I404" s="1097">
        <f t="shared" si="67"/>
        <v>1</v>
      </c>
      <c r="J404" s="1106"/>
      <c r="K404" s="1097">
        <f t="shared" si="68"/>
        <v>1</v>
      </c>
      <c r="L404" s="1106"/>
      <c r="M404" s="1097">
        <f t="shared" si="69"/>
        <v>1</v>
      </c>
      <c r="N404" s="1106"/>
      <c r="O404" s="1097">
        <f t="shared" si="70"/>
        <v>1</v>
      </c>
      <c r="P404" s="1106"/>
      <c r="Q404" s="1097">
        <f t="shared" si="71"/>
        <v>1</v>
      </c>
      <c r="R404" s="1157">
        <f t="shared" si="72"/>
        <v>0</v>
      </c>
      <c r="S404" s="1096">
        <f t="shared" si="73"/>
        <v>0</v>
      </c>
    </row>
    <row r="405" spans="1:19">
      <c r="A405" s="1104"/>
      <c r="B405" s="1105"/>
      <c r="C405" s="1097">
        <f t="shared" si="64"/>
        <v>1</v>
      </c>
      <c r="D405" s="1106"/>
      <c r="E405" s="1097">
        <f t="shared" si="65"/>
        <v>1</v>
      </c>
      <c r="F405" s="1106"/>
      <c r="G405" s="1097">
        <f t="shared" si="66"/>
        <v>1</v>
      </c>
      <c r="H405" s="1106"/>
      <c r="I405" s="1097">
        <f t="shared" si="67"/>
        <v>1</v>
      </c>
      <c r="J405" s="1106"/>
      <c r="K405" s="1097">
        <f t="shared" si="68"/>
        <v>1</v>
      </c>
      <c r="L405" s="1106"/>
      <c r="M405" s="1097">
        <f t="shared" si="69"/>
        <v>1</v>
      </c>
      <c r="N405" s="1106"/>
      <c r="O405" s="1097">
        <f t="shared" si="70"/>
        <v>1</v>
      </c>
      <c r="P405" s="1106"/>
      <c r="Q405" s="1097">
        <f t="shared" si="71"/>
        <v>1</v>
      </c>
      <c r="R405" s="1157">
        <f t="shared" si="72"/>
        <v>0</v>
      </c>
      <c r="S405" s="1096">
        <f t="shared" si="73"/>
        <v>0</v>
      </c>
    </row>
    <row r="406" spans="1:19">
      <c r="A406" s="1104"/>
      <c r="B406" s="1105"/>
      <c r="C406" s="1097">
        <f t="shared" si="64"/>
        <v>1</v>
      </c>
      <c r="D406" s="1106"/>
      <c r="E406" s="1097">
        <f t="shared" si="65"/>
        <v>1</v>
      </c>
      <c r="F406" s="1106"/>
      <c r="G406" s="1097">
        <f t="shared" si="66"/>
        <v>1</v>
      </c>
      <c r="H406" s="1106"/>
      <c r="I406" s="1097">
        <f t="shared" si="67"/>
        <v>1</v>
      </c>
      <c r="J406" s="1106"/>
      <c r="K406" s="1097">
        <f t="shared" si="68"/>
        <v>1</v>
      </c>
      <c r="L406" s="1106"/>
      <c r="M406" s="1097">
        <f t="shared" si="69"/>
        <v>1</v>
      </c>
      <c r="N406" s="1106"/>
      <c r="O406" s="1097">
        <f t="shared" si="70"/>
        <v>1</v>
      </c>
      <c r="P406" s="1106"/>
      <c r="Q406" s="1097">
        <f t="shared" si="71"/>
        <v>1</v>
      </c>
      <c r="R406" s="1157">
        <f t="shared" si="72"/>
        <v>0</v>
      </c>
      <c r="S406" s="1096">
        <f t="shared" si="73"/>
        <v>0</v>
      </c>
    </row>
    <row r="407" spans="1:19">
      <c r="A407" s="1104"/>
      <c r="B407" s="1105"/>
      <c r="C407" s="1097">
        <f t="shared" si="64"/>
        <v>1</v>
      </c>
      <c r="D407" s="1106"/>
      <c r="E407" s="1097">
        <f t="shared" si="65"/>
        <v>1</v>
      </c>
      <c r="F407" s="1106"/>
      <c r="G407" s="1097">
        <f t="shared" si="66"/>
        <v>1</v>
      </c>
      <c r="H407" s="1106"/>
      <c r="I407" s="1097">
        <f t="shared" si="67"/>
        <v>1</v>
      </c>
      <c r="J407" s="1106"/>
      <c r="K407" s="1097">
        <f t="shared" si="68"/>
        <v>1</v>
      </c>
      <c r="L407" s="1106"/>
      <c r="M407" s="1097">
        <f t="shared" si="69"/>
        <v>1</v>
      </c>
      <c r="N407" s="1106"/>
      <c r="O407" s="1097">
        <f t="shared" si="70"/>
        <v>1</v>
      </c>
      <c r="P407" s="1106"/>
      <c r="Q407" s="1097">
        <f t="shared" si="71"/>
        <v>1</v>
      </c>
      <c r="R407" s="1157">
        <f t="shared" si="72"/>
        <v>0</v>
      </c>
      <c r="S407" s="1096">
        <f t="shared" si="73"/>
        <v>0</v>
      </c>
    </row>
    <row r="408" spans="1:19">
      <c r="A408" s="1104"/>
      <c r="B408" s="1105"/>
      <c r="C408" s="1097">
        <f t="shared" si="64"/>
        <v>1</v>
      </c>
      <c r="D408" s="1106"/>
      <c r="E408" s="1097">
        <f t="shared" si="65"/>
        <v>1</v>
      </c>
      <c r="F408" s="1106"/>
      <c r="G408" s="1097">
        <f t="shared" si="66"/>
        <v>1</v>
      </c>
      <c r="H408" s="1106"/>
      <c r="I408" s="1097">
        <f t="shared" si="67"/>
        <v>1</v>
      </c>
      <c r="J408" s="1106"/>
      <c r="K408" s="1097">
        <f t="shared" si="68"/>
        <v>1</v>
      </c>
      <c r="L408" s="1106"/>
      <c r="M408" s="1097">
        <f t="shared" si="69"/>
        <v>1</v>
      </c>
      <c r="N408" s="1106"/>
      <c r="O408" s="1097">
        <f t="shared" si="70"/>
        <v>1</v>
      </c>
      <c r="P408" s="1106"/>
      <c r="Q408" s="1097">
        <f t="shared" si="71"/>
        <v>1</v>
      </c>
      <c r="R408" s="1157">
        <f t="shared" si="72"/>
        <v>0</v>
      </c>
      <c r="S408" s="1096">
        <f t="shared" si="73"/>
        <v>0</v>
      </c>
    </row>
    <row r="409" spans="1:19">
      <c r="A409" s="1104"/>
      <c r="B409" s="1105"/>
      <c r="C409" s="1097">
        <f t="shared" si="64"/>
        <v>1</v>
      </c>
      <c r="D409" s="1106"/>
      <c r="E409" s="1097">
        <f t="shared" si="65"/>
        <v>1</v>
      </c>
      <c r="F409" s="1106"/>
      <c r="G409" s="1097">
        <f t="shared" si="66"/>
        <v>1</v>
      </c>
      <c r="H409" s="1106"/>
      <c r="I409" s="1097">
        <f t="shared" si="67"/>
        <v>1</v>
      </c>
      <c r="J409" s="1106"/>
      <c r="K409" s="1097">
        <f t="shared" si="68"/>
        <v>1</v>
      </c>
      <c r="L409" s="1106"/>
      <c r="M409" s="1097">
        <f t="shared" si="69"/>
        <v>1</v>
      </c>
      <c r="N409" s="1106"/>
      <c r="O409" s="1097">
        <f t="shared" si="70"/>
        <v>1</v>
      </c>
      <c r="P409" s="1106"/>
      <c r="Q409" s="1097">
        <f t="shared" si="71"/>
        <v>1</v>
      </c>
      <c r="R409" s="1157">
        <f t="shared" si="72"/>
        <v>0</v>
      </c>
      <c r="S409" s="1096">
        <f t="shared" si="73"/>
        <v>0</v>
      </c>
    </row>
    <row r="410" spans="1:19">
      <c r="A410" s="1104"/>
      <c r="B410" s="1105"/>
      <c r="C410" s="1097">
        <f t="shared" ref="C410:C473" si="74">IF(B410="",1,(LOOKUP(B410,$3:$3,$4:$4)-LOOKUP($B$24,$3:$3,$4:$4)+100)/100)</f>
        <v>1</v>
      </c>
      <c r="D410" s="1106"/>
      <c r="E410" s="1097">
        <f t="shared" ref="E410:E473" si="75">(SUMIF($5:$5,D410,$6:$6)-SUMIF($5:$5,$D$24,$6:$6)+100)/100</f>
        <v>1</v>
      </c>
      <c r="F410" s="1106"/>
      <c r="G410" s="1097">
        <f t="shared" ref="G410:G473" si="76">(SUMIF($7:$7,F410,$8:$8)-SUMIF($7:$7,$F$24,$8:$8)+100)/100</f>
        <v>1</v>
      </c>
      <c r="H410" s="1106"/>
      <c r="I410" s="1097">
        <f t="shared" ref="I410:I473" si="77">(SUMIF($9:$9,H410,$10:$10)-SUMIF($9:$9,$H$24,$10:$10)+100)/100</f>
        <v>1</v>
      </c>
      <c r="J410" s="1106"/>
      <c r="K410" s="1097">
        <f t="shared" ref="K410:K473" si="78">(SUMIF($11:$11,J410,$12:$12)-SUMIF($11:$11,$J$24,$12:$12)+100)/100</f>
        <v>1</v>
      </c>
      <c r="L410" s="1106"/>
      <c r="M410" s="1097">
        <f t="shared" ref="M410:M473" si="79">(SUMIF($13:$13,L410,$14:$14)-SUMIF($13:$13,$L$24,$14:$14)+100)/100</f>
        <v>1</v>
      </c>
      <c r="N410" s="1106"/>
      <c r="O410" s="1097">
        <f t="shared" ref="O410:O473" si="80">(SUMIF($15:$15,N410,$16:$16)-SUMIF($15:$15,$N$24,$16:$16)+100)/100</f>
        <v>1</v>
      </c>
      <c r="P410" s="1106"/>
      <c r="Q410" s="1097">
        <f t="shared" ref="Q410:Q473" si="81">(SUMIF($17:$17,P410,$18:$18)-SUMIF($17:$17,$P$24,$18:$18)+100)/100</f>
        <v>1</v>
      </c>
      <c r="R410" s="1157">
        <f t="shared" ref="R410:R473" si="82">IF(B410="",0,ROUND($R$24*C410*E410*G410*I410*K410*M410*O410*Q410,0))</f>
        <v>0</v>
      </c>
      <c r="S410" s="1096">
        <f t="shared" si="73"/>
        <v>0</v>
      </c>
    </row>
    <row r="411" spans="1:19">
      <c r="A411" s="1104"/>
      <c r="B411" s="1105"/>
      <c r="C411" s="1097">
        <f t="shared" si="74"/>
        <v>1</v>
      </c>
      <c r="D411" s="1106"/>
      <c r="E411" s="1097">
        <f t="shared" si="75"/>
        <v>1</v>
      </c>
      <c r="F411" s="1106"/>
      <c r="G411" s="1097">
        <f t="shared" si="76"/>
        <v>1</v>
      </c>
      <c r="H411" s="1106"/>
      <c r="I411" s="1097">
        <f t="shared" si="77"/>
        <v>1</v>
      </c>
      <c r="J411" s="1106"/>
      <c r="K411" s="1097">
        <f t="shared" si="78"/>
        <v>1</v>
      </c>
      <c r="L411" s="1106"/>
      <c r="M411" s="1097">
        <f t="shared" si="79"/>
        <v>1</v>
      </c>
      <c r="N411" s="1106"/>
      <c r="O411" s="1097">
        <f t="shared" si="80"/>
        <v>1</v>
      </c>
      <c r="P411" s="1106"/>
      <c r="Q411" s="1097">
        <f t="shared" si="81"/>
        <v>1</v>
      </c>
      <c r="R411" s="1157">
        <f t="shared" si="82"/>
        <v>0</v>
      </c>
      <c r="S411" s="1096">
        <f t="shared" si="73"/>
        <v>0</v>
      </c>
    </row>
    <row r="412" spans="1:19">
      <c r="A412" s="1104"/>
      <c r="B412" s="1105"/>
      <c r="C412" s="1097">
        <f t="shared" si="74"/>
        <v>1</v>
      </c>
      <c r="D412" s="1106"/>
      <c r="E412" s="1097">
        <f t="shared" si="75"/>
        <v>1</v>
      </c>
      <c r="F412" s="1106"/>
      <c r="G412" s="1097">
        <f t="shared" si="76"/>
        <v>1</v>
      </c>
      <c r="H412" s="1106"/>
      <c r="I412" s="1097">
        <f t="shared" si="77"/>
        <v>1</v>
      </c>
      <c r="J412" s="1106"/>
      <c r="K412" s="1097">
        <f t="shared" si="78"/>
        <v>1</v>
      </c>
      <c r="L412" s="1106"/>
      <c r="M412" s="1097">
        <f t="shared" si="79"/>
        <v>1</v>
      </c>
      <c r="N412" s="1106"/>
      <c r="O412" s="1097">
        <f t="shared" si="80"/>
        <v>1</v>
      </c>
      <c r="P412" s="1106"/>
      <c r="Q412" s="1097">
        <f t="shared" si="81"/>
        <v>1</v>
      </c>
      <c r="R412" s="1157">
        <f t="shared" si="82"/>
        <v>0</v>
      </c>
      <c r="S412" s="1096">
        <f t="shared" si="73"/>
        <v>0</v>
      </c>
    </row>
    <row r="413" spans="1:19">
      <c r="A413" s="1104"/>
      <c r="B413" s="1105"/>
      <c r="C413" s="1097">
        <f t="shared" si="74"/>
        <v>1</v>
      </c>
      <c r="D413" s="1106"/>
      <c r="E413" s="1097">
        <f t="shared" si="75"/>
        <v>1</v>
      </c>
      <c r="F413" s="1106"/>
      <c r="G413" s="1097">
        <f t="shared" si="76"/>
        <v>1</v>
      </c>
      <c r="H413" s="1106"/>
      <c r="I413" s="1097">
        <f t="shared" si="77"/>
        <v>1</v>
      </c>
      <c r="J413" s="1106"/>
      <c r="K413" s="1097">
        <f t="shared" si="78"/>
        <v>1</v>
      </c>
      <c r="L413" s="1106"/>
      <c r="M413" s="1097">
        <f t="shared" si="79"/>
        <v>1</v>
      </c>
      <c r="N413" s="1106"/>
      <c r="O413" s="1097">
        <f t="shared" si="80"/>
        <v>1</v>
      </c>
      <c r="P413" s="1106"/>
      <c r="Q413" s="1097">
        <f t="shared" si="81"/>
        <v>1</v>
      </c>
      <c r="R413" s="1157">
        <f t="shared" si="82"/>
        <v>0</v>
      </c>
      <c r="S413" s="1096">
        <f t="shared" si="73"/>
        <v>0</v>
      </c>
    </row>
    <row r="414" spans="1:19">
      <c r="A414" s="1104"/>
      <c r="B414" s="1105"/>
      <c r="C414" s="1097">
        <f t="shared" si="74"/>
        <v>1</v>
      </c>
      <c r="D414" s="1106"/>
      <c r="E414" s="1097">
        <f t="shared" si="75"/>
        <v>1</v>
      </c>
      <c r="F414" s="1106"/>
      <c r="G414" s="1097">
        <f t="shared" si="76"/>
        <v>1</v>
      </c>
      <c r="H414" s="1106"/>
      <c r="I414" s="1097">
        <f t="shared" si="77"/>
        <v>1</v>
      </c>
      <c r="J414" s="1106"/>
      <c r="K414" s="1097">
        <f t="shared" si="78"/>
        <v>1</v>
      </c>
      <c r="L414" s="1106"/>
      <c r="M414" s="1097">
        <f t="shared" si="79"/>
        <v>1</v>
      </c>
      <c r="N414" s="1106"/>
      <c r="O414" s="1097">
        <f t="shared" si="80"/>
        <v>1</v>
      </c>
      <c r="P414" s="1106"/>
      <c r="Q414" s="1097">
        <f t="shared" si="81"/>
        <v>1</v>
      </c>
      <c r="R414" s="1157">
        <f t="shared" si="82"/>
        <v>0</v>
      </c>
      <c r="S414" s="1096">
        <f t="shared" si="73"/>
        <v>0</v>
      </c>
    </row>
    <row r="415" spans="1:19">
      <c r="A415" s="1104"/>
      <c r="B415" s="1105"/>
      <c r="C415" s="1097">
        <f t="shared" si="74"/>
        <v>1</v>
      </c>
      <c r="D415" s="1106"/>
      <c r="E415" s="1097">
        <f t="shared" si="75"/>
        <v>1</v>
      </c>
      <c r="F415" s="1106"/>
      <c r="G415" s="1097">
        <f t="shared" si="76"/>
        <v>1</v>
      </c>
      <c r="H415" s="1106"/>
      <c r="I415" s="1097">
        <f t="shared" si="77"/>
        <v>1</v>
      </c>
      <c r="J415" s="1106"/>
      <c r="K415" s="1097">
        <f t="shared" si="78"/>
        <v>1</v>
      </c>
      <c r="L415" s="1106"/>
      <c r="M415" s="1097">
        <f t="shared" si="79"/>
        <v>1</v>
      </c>
      <c r="N415" s="1106"/>
      <c r="O415" s="1097">
        <f t="shared" si="80"/>
        <v>1</v>
      </c>
      <c r="P415" s="1106"/>
      <c r="Q415" s="1097">
        <f t="shared" si="81"/>
        <v>1</v>
      </c>
      <c r="R415" s="1157">
        <f t="shared" si="82"/>
        <v>0</v>
      </c>
      <c r="S415" s="1096">
        <f t="shared" si="73"/>
        <v>0</v>
      </c>
    </row>
    <row r="416" spans="1:19">
      <c r="A416" s="1104"/>
      <c r="B416" s="1105"/>
      <c r="C416" s="1097">
        <f t="shared" si="74"/>
        <v>1</v>
      </c>
      <c r="D416" s="1106"/>
      <c r="E416" s="1097">
        <f t="shared" si="75"/>
        <v>1</v>
      </c>
      <c r="F416" s="1106"/>
      <c r="G416" s="1097">
        <f t="shared" si="76"/>
        <v>1</v>
      </c>
      <c r="H416" s="1106"/>
      <c r="I416" s="1097">
        <f t="shared" si="77"/>
        <v>1</v>
      </c>
      <c r="J416" s="1106"/>
      <c r="K416" s="1097">
        <f t="shared" si="78"/>
        <v>1</v>
      </c>
      <c r="L416" s="1106"/>
      <c r="M416" s="1097">
        <f t="shared" si="79"/>
        <v>1</v>
      </c>
      <c r="N416" s="1106"/>
      <c r="O416" s="1097">
        <f t="shared" si="80"/>
        <v>1</v>
      </c>
      <c r="P416" s="1106"/>
      <c r="Q416" s="1097">
        <f t="shared" si="81"/>
        <v>1</v>
      </c>
      <c r="R416" s="1157">
        <f t="shared" si="82"/>
        <v>0</v>
      </c>
      <c r="S416" s="1096">
        <f t="shared" si="73"/>
        <v>0</v>
      </c>
    </row>
    <row r="417" spans="1:19">
      <c r="A417" s="1104"/>
      <c r="B417" s="1105"/>
      <c r="C417" s="1097">
        <f t="shared" si="74"/>
        <v>1</v>
      </c>
      <c r="D417" s="1106"/>
      <c r="E417" s="1097">
        <f t="shared" si="75"/>
        <v>1</v>
      </c>
      <c r="F417" s="1106"/>
      <c r="G417" s="1097">
        <f t="shared" si="76"/>
        <v>1</v>
      </c>
      <c r="H417" s="1106"/>
      <c r="I417" s="1097">
        <f t="shared" si="77"/>
        <v>1</v>
      </c>
      <c r="J417" s="1106"/>
      <c r="K417" s="1097">
        <f t="shared" si="78"/>
        <v>1</v>
      </c>
      <c r="L417" s="1106"/>
      <c r="M417" s="1097">
        <f t="shared" si="79"/>
        <v>1</v>
      </c>
      <c r="N417" s="1106"/>
      <c r="O417" s="1097">
        <f t="shared" si="80"/>
        <v>1</v>
      </c>
      <c r="P417" s="1106"/>
      <c r="Q417" s="1097">
        <f t="shared" si="81"/>
        <v>1</v>
      </c>
      <c r="R417" s="1157">
        <f t="shared" si="82"/>
        <v>0</v>
      </c>
      <c r="S417" s="1096">
        <f t="shared" si="73"/>
        <v>0</v>
      </c>
    </row>
    <row r="418" spans="1:19">
      <c r="A418" s="1104"/>
      <c r="B418" s="1105"/>
      <c r="C418" s="1097">
        <f t="shared" si="74"/>
        <v>1</v>
      </c>
      <c r="D418" s="1106"/>
      <c r="E418" s="1097">
        <f t="shared" si="75"/>
        <v>1</v>
      </c>
      <c r="F418" s="1106"/>
      <c r="G418" s="1097">
        <f t="shared" si="76"/>
        <v>1</v>
      </c>
      <c r="H418" s="1106"/>
      <c r="I418" s="1097">
        <f t="shared" si="77"/>
        <v>1</v>
      </c>
      <c r="J418" s="1106"/>
      <c r="K418" s="1097">
        <f t="shared" si="78"/>
        <v>1</v>
      </c>
      <c r="L418" s="1106"/>
      <c r="M418" s="1097">
        <f t="shared" si="79"/>
        <v>1</v>
      </c>
      <c r="N418" s="1106"/>
      <c r="O418" s="1097">
        <f t="shared" si="80"/>
        <v>1</v>
      </c>
      <c r="P418" s="1106"/>
      <c r="Q418" s="1097">
        <f t="shared" si="81"/>
        <v>1</v>
      </c>
      <c r="R418" s="1157">
        <f t="shared" si="82"/>
        <v>0</v>
      </c>
      <c r="S418" s="1096">
        <f t="shared" si="73"/>
        <v>0</v>
      </c>
    </row>
    <row r="419" spans="1:19">
      <c r="A419" s="1104"/>
      <c r="B419" s="1105"/>
      <c r="C419" s="1097">
        <f t="shared" si="74"/>
        <v>1</v>
      </c>
      <c r="D419" s="1106"/>
      <c r="E419" s="1097">
        <f t="shared" si="75"/>
        <v>1</v>
      </c>
      <c r="F419" s="1106"/>
      <c r="G419" s="1097">
        <f t="shared" si="76"/>
        <v>1</v>
      </c>
      <c r="H419" s="1106"/>
      <c r="I419" s="1097">
        <f t="shared" si="77"/>
        <v>1</v>
      </c>
      <c r="J419" s="1106"/>
      <c r="K419" s="1097">
        <f t="shared" si="78"/>
        <v>1</v>
      </c>
      <c r="L419" s="1106"/>
      <c r="M419" s="1097">
        <f t="shared" si="79"/>
        <v>1</v>
      </c>
      <c r="N419" s="1106"/>
      <c r="O419" s="1097">
        <f t="shared" si="80"/>
        <v>1</v>
      </c>
      <c r="P419" s="1106"/>
      <c r="Q419" s="1097">
        <f t="shared" si="81"/>
        <v>1</v>
      </c>
      <c r="R419" s="1157">
        <f t="shared" si="82"/>
        <v>0</v>
      </c>
      <c r="S419" s="1096">
        <f t="shared" si="73"/>
        <v>0</v>
      </c>
    </row>
    <row r="420" spans="1:19">
      <c r="A420" s="1104"/>
      <c r="B420" s="1105"/>
      <c r="C420" s="1097">
        <f t="shared" si="74"/>
        <v>1</v>
      </c>
      <c r="D420" s="1106"/>
      <c r="E420" s="1097">
        <f t="shared" si="75"/>
        <v>1</v>
      </c>
      <c r="F420" s="1106"/>
      <c r="G420" s="1097">
        <f t="shared" si="76"/>
        <v>1</v>
      </c>
      <c r="H420" s="1106"/>
      <c r="I420" s="1097">
        <f t="shared" si="77"/>
        <v>1</v>
      </c>
      <c r="J420" s="1106"/>
      <c r="K420" s="1097">
        <f t="shared" si="78"/>
        <v>1</v>
      </c>
      <c r="L420" s="1106"/>
      <c r="M420" s="1097">
        <f t="shared" si="79"/>
        <v>1</v>
      </c>
      <c r="N420" s="1106"/>
      <c r="O420" s="1097">
        <f t="shared" si="80"/>
        <v>1</v>
      </c>
      <c r="P420" s="1106"/>
      <c r="Q420" s="1097">
        <f t="shared" si="81"/>
        <v>1</v>
      </c>
      <c r="R420" s="1157">
        <f t="shared" si="82"/>
        <v>0</v>
      </c>
      <c r="S420" s="1096">
        <f t="shared" si="73"/>
        <v>0</v>
      </c>
    </row>
    <row r="421" spans="1:19">
      <c r="A421" s="1104"/>
      <c r="B421" s="1105"/>
      <c r="C421" s="1097">
        <f t="shared" si="74"/>
        <v>1</v>
      </c>
      <c r="D421" s="1106"/>
      <c r="E421" s="1097">
        <f t="shared" si="75"/>
        <v>1</v>
      </c>
      <c r="F421" s="1106"/>
      <c r="G421" s="1097">
        <f t="shared" si="76"/>
        <v>1</v>
      </c>
      <c r="H421" s="1106"/>
      <c r="I421" s="1097">
        <f t="shared" si="77"/>
        <v>1</v>
      </c>
      <c r="J421" s="1106"/>
      <c r="K421" s="1097">
        <f t="shared" si="78"/>
        <v>1</v>
      </c>
      <c r="L421" s="1106"/>
      <c r="M421" s="1097">
        <f t="shared" si="79"/>
        <v>1</v>
      </c>
      <c r="N421" s="1106"/>
      <c r="O421" s="1097">
        <f t="shared" si="80"/>
        <v>1</v>
      </c>
      <c r="P421" s="1106"/>
      <c r="Q421" s="1097">
        <f t="shared" si="81"/>
        <v>1</v>
      </c>
      <c r="R421" s="1157">
        <f t="shared" si="82"/>
        <v>0</v>
      </c>
      <c r="S421" s="1096">
        <f t="shared" si="73"/>
        <v>0</v>
      </c>
    </row>
    <row r="422" spans="1:19">
      <c r="A422" s="1104"/>
      <c r="B422" s="1105"/>
      <c r="C422" s="1097">
        <f t="shared" si="74"/>
        <v>1</v>
      </c>
      <c r="D422" s="1106"/>
      <c r="E422" s="1097">
        <f t="shared" si="75"/>
        <v>1</v>
      </c>
      <c r="F422" s="1106"/>
      <c r="G422" s="1097">
        <f t="shared" si="76"/>
        <v>1</v>
      </c>
      <c r="H422" s="1106"/>
      <c r="I422" s="1097">
        <f t="shared" si="77"/>
        <v>1</v>
      </c>
      <c r="J422" s="1106"/>
      <c r="K422" s="1097">
        <f t="shared" si="78"/>
        <v>1</v>
      </c>
      <c r="L422" s="1106"/>
      <c r="M422" s="1097">
        <f t="shared" si="79"/>
        <v>1</v>
      </c>
      <c r="N422" s="1106"/>
      <c r="O422" s="1097">
        <f t="shared" si="80"/>
        <v>1</v>
      </c>
      <c r="P422" s="1106"/>
      <c r="Q422" s="1097">
        <f t="shared" si="81"/>
        <v>1</v>
      </c>
      <c r="R422" s="1157">
        <f t="shared" si="82"/>
        <v>0</v>
      </c>
      <c r="S422" s="1096">
        <f t="shared" si="73"/>
        <v>0</v>
      </c>
    </row>
    <row r="423" spans="1:19">
      <c r="A423" s="1104"/>
      <c r="B423" s="1105"/>
      <c r="C423" s="1097">
        <f t="shared" si="74"/>
        <v>1</v>
      </c>
      <c r="D423" s="1106"/>
      <c r="E423" s="1097">
        <f t="shared" si="75"/>
        <v>1</v>
      </c>
      <c r="F423" s="1106"/>
      <c r="G423" s="1097">
        <f t="shared" si="76"/>
        <v>1</v>
      </c>
      <c r="H423" s="1106"/>
      <c r="I423" s="1097">
        <f t="shared" si="77"/>
        <v>1</v>
      </c>
      <c r="J423" s="1106"/>
      <c r="K423" s="1097">
        <f t="shared" si="78"/>
        <v>1</v>
      </c>
      <c r="L423" s="1106"/>
      <c r="M423" s="1097">
        <f t="shared" si="79"/>
        <v>1</v>
      </c>
      <c r="N423" s="1106"/>
      <c r="O423" s="1097">
        <f t="shared" si="80"/>
        <v>1</v>
      </c>
      <c r="P423" s="1106"/>
      <c r="Q423" s="1097">
        <f t="shared" si="81"/>
        <v>1</v>
      </c>
      <c r="R423" s="1157">
        <f t="shared" si="82"/>
        <v>0</v>
      </c>
      <c r="S423" s="1096">
        <f t="shared" ref="S423:S467" si="83">ROUND(R423*B423/10000,0)</f>
        <v>0</v>
      </c>
    </row>
    <row r="424" spans="1:19">
      <c r="A424" s="1104"/>
      <c r="B424" s="1105"/>
      <c r="C424" s="1097">
        <f t="shared" si="74"/>
        <v>1</v>
      </c>
      <c r="D424" s="1106"/>
      <c r="E424" s="1097">
        <f t="shared" si="75"/>
        <v>1</v>
      </c>
      <c r="F424" s="1106"/>
      <c r="G424" s="1097">
        <f t="shared" si="76"/>
        <v>1</v>
      </c>
      <c r="H424" s="1106"/>
      <c r="I424" s="1097">
        <f t="shared" si="77"/>
        <v>1</v>
      </c>
      <c r="J424" s="1106"/>
      <c r="K424" s="1097">
        <f t="shared" si="78"/>
        <v>1</v>
      </c>
      <c r="L424" s="1106"/>
      <c r="M424" s="1097">
        <f t="shared" si="79"/>
        <v>1</v>
      </c>
      <c r="N424" s="1106"/>
      <c r="O424" s="1097">
        <f t="shared" si="80"/>
        <v>1</v>
      </c>
      <c r="P424" s="1106"/>
      <c r="Q424" s="1097">
        <f t="shared" si="81"/>
        <v>1</v>
      </c>
      <c r="R424" s="1157">
        <f t="shared" si="82"/>
        <v>0</v>
      </c>
      <c r="S424" s="1096">
        <f t="shared" si="83"/>
        <v>0</v>
      </c>
    </row>
    <row r="425" spans="1:19">
      <c r="A425" s="1104"/>
      <c r="B425" s="1105"/>
      <c r="C425" s="1097">
        <f t="shared" si="74"/>
        <v>1</v>
      </c>
      <c r="D425" s="1106"/>
      <c r="E425" s="1097">
        <f t="shared" si="75"/>
        <v>1</v>
      </c>
      <c r="F425" s="1106"/>
      <c r="G425" s="1097">
        <f t="shared" si="76"/>
        <v>1</v>
      </c>
      <c r="H425" s="1106"/>
      <c r="I425" s="1097">
        <f t="shared" si="77"/>
        <v>1</v>
      </c>
      <c r="J425" s="1106"/>
      <c r="K425" s="1097">
        <f t="shared" si="78"/>
        <v>1</v>
      </c>
      <c r="L425" s="1106"/>
      <c r="M425" s="1097">
        <f t="shared" si="79"/>
        <v>1</v>
      </c>
      <c r="N425" s="1106"/>
      <c r="O425" s="1097">
        <f t="shared" si="80"/>
        <v>1</v>
      </c>
      <c r="P425" s="1106"/>
      <c r="Q425" s="1097">
        <f t="shared" si="81"/>
        <v>1</v>
      </c>
      <c r="R425" s="1157">
        <f t="shared" si="82"/>
        <v>0</v>
      </c>
      <c r="S425" s="1096">
        <f t="shared" si="83"/>
        <v>0</v>
      </c>
    </row>
    <row r="426" spans="1:19">
      <c r="A426" s="1104"/>
      <c r="B426" s="1105"/>
      <c r="C426" s="1097">
        <f t="shared" si="74"/>
        <v>1</v>
      </c>
      <c r="D426" s="1106"/>
      <c r="E426" s="1097">
        <f t="shared" si="75"/>
        <v>1</v>
      </c>
      <c r="F426" s="1106"/>
      <c r="G426" s="1097">
        <f t="shared" si="76"/>
        <v>1</v>
      </c>
      <c r="H426" s="1106"/>
      <c r="I426" s="1097">
        <f t="shared" si="77"/>
        <v>1</v>
      </c>
      <c r="J426" s="1106"/>
      <c r="K426" s="1097">
        <f t="shared" si="78"/>
        <v>1</v>
      </c>
      <c r="L426" s="1106"/>
      <c r="M426" s="1097">
        <f t="shared" si="79"/>
        <v>1</v>
      </c>
      <c r="N426" s="1106"/>
      <c r="O426" s="1097">
        <f t="shared" si="80"/>
        <v>1</v>
      </c>
      <c r="P426" s="1106"/>
      <c r="Q426" s="1097">
        <f t="shared" si="81"/>
        <v>1</v>
      </c>
      <c r="R426" s="1157">
        <f t="shared" si="82"/>
        <v>0</v>
      </c>
      <c r="S426" s="1096">
        <f t="shared" si="83"/>
        <v>0</v>
      </c>
    </row>
    <row r="427" spans="1:19">
      <c r="A427" s="1104"/>
      <c r="B427" s="1105"/>
      <c r="C427" s="1097">
        <f t="shared" si="74"/>
        <v>1</v>
      </c>
      <c r="D427" s="1106"/>
      <c r="E427" s="1097">
        <f t="shared" si="75"/>
        <v>1</v>
      </c>
      <c r="F427" s="1106"/>
      <c r="G427" s="1097">
        <f t="shared" si="76"/>
        <v>1</v>
      </c>
      <c r="H427" s="1106"/>
      <c r="I427" s="1097">
        <f t="shared" si="77"/>
        <v>1</v>
      </c>
      <c r="J427" s="1106"/>
      <c r="K427" s="1097">
        <f t="shared" si="78"/>
        <v>1</v>
      </c>
      <c r="L427" s="1106"/>
      <c r="M427" s="1097">
        <f t="shared" si="79"/>
        <v>1</v>
      </c>
      <c r="N427" s="1106"/>
      <c r="O427" s="1097">
        <f t="shared" si="80"/>
        <v>1</v>
      </c>
      <c r="P427" s="1106"/>
      <c r="Q427" s="1097">
        <f t="shared" si="81"/>
        <v>1</v>
      </c>
      <c r="R427" s="1157">
        <f t="shared" si="82"/>
        <v>0</v>
      </c>
      <c r="S427" s="1096">
        <f t="shared" si="83"/>
        <v>0</v>
      </c>
    </row>
    <row r="428" spans="1:19">
      <c r="A428" s="1104"/>
      <c r="B428" s="1105"/>
      <c r="C428" s="1097">
        <f t="shared" si="74"/>
        <v>1</v>
      </c>
      <c r="D428" s="1106"/>
      <c r="E428" s="1097">
        <f t="shared" si="75"/>
        <v>1</v>
      </c>
      <c r="F428" s="1106"/>
      <c r="G428" s="1097">
        <f t="shared" si="76"/>
        <v>1</v>
      </c>
      <c r="H428" s="1106"/>
      <c r="I428" s="1097">
        <f t="shared" si="77"/>
        <v>1</v>
      </c>
      <c r="J428" s="1106"/>
      <c r="K428" s="1097">
        <f t="shared" si="78"/>
        <v>1</v>
      </c>
      <c r="L428" s="1106"/>
      <c r="M428" s="1097">
        <f t="shared" si="79"/>
        <v>1</v>
      </c>
      <c r="N428" s="1106"/>
      <c r="O428" s="1097">
        <f t="shared" si="80"/>
        <v>1</v>
      </c>
      <c r="P428" s="1106"/>
      <c r="Q428" s="1097">
        <f t="shared" si="81"/>
        <v>1</v>
      </c>
      <c r="R428" s="1157">
        <f t="shared" si="82"/>
        <v>0</v>
      </c>
      <c r="S428" s="1096">
        <f t="shared" si="83"/>
        <v>0</v>
      </c>
    </row>
    <row r="429" spans="1:19">
      <c r="A429" s="1104"/>
      <c r="B429" s="1105"/>
      <c r="C429" s="1097">
        <f t="shared" si="74"/>
        <v>1</v>
      </c>
      <c r="D429" s="1106"/>
      <c r="E429" s="1097">
        <f t="shared" si="75"/>
        <v>1</v>
      </c>
      <c r="F429" s="1106"/>
      <c r="G429" s="1097">
        <f t="shared" si="76"/>
        <v>1</v>
      </c>
      <c r="H429" s="1106"/>
      <c r="I429" s="1097">
        <f t="shared" si="77"/>
        <v>1</v>
      </c>
      <c r="J429" s="1106"/>
      <c r="K429" s="1097">
        <f t="shared" si="78"/>
        <v>1</v>
      </c>
      <c r="L429" s="1106"/>
      <c r="M429" s="1097">
        <f t="shared" si="79"/>
        <v>1</v>
      </c>
      <c r="N429" s="1106"/>
      <c r="O429" s="1097">
        <f t="shared" si="80"/>
        <v>1</v>
      </c>
      <c r="P429" s="1106"/>
      <c r="Q429" s="1097">
        <f t="shared" si="81"/>
        <v>1</v>
      </c>
      <c r="R429" s="1157">
        <f t="shared" si="82"/>
        <v>0</v>
      </c>
      <c r="S429" s="1096">
        <f t="shared" si="83"/>
        <v>0</v>
      </c>
    </row>
    <row r="430" spans="1:19">
      <c r="A430" s="1104"/>
      <c r="B430" s="1105"/>
      <c r="C430" s="1097">
        <f t="shared" si="74"/>
        <v>1</v>
      </c>
      <c r="D430" s="1106"/>
      <c r="E430" s="1097">
        <f t="shared" si="75"/>
        <v>1</v>
      </c>
      <c r="F430" s="1106"/>
      <c r="G430" s="1097">
        <f t="shared" si="76"/>
        <v>1</v>
      </c>
      <c r="H430" s="1106"/>
      <c r="I430" s="1097">
        <f t="shared" si="77"/>
        <v>1</v>
      </c>
      <c r="J430" s="1106"/>
      <c r="K430" s="1097">
        <f t="shared" si="78"/>
        <v>1</v>
      </c>
      <c r="L430" s="1106"/>
      <c r="M430" s="1097">
        <f t="shared" si="79"/>
        <v>1</v>
      </c>
      <c r="N430" s="1106"/>
      <c r="O430" s="1097">
        <f t="shared" si="80"/>
        <v>1</v>
      </c>
      <c r="P430" s="1106"/>
      <c r="Q430" s="1097">
        <f t="shared" si="81"/>
        <v>1</v>
      </c>
      <c r="R430" s="1157">
        <f t="shared" si="82"/>
        <v>0</v>
      </c>
      <c r="S430" s="1096">
        <f t="shared" si="83"/>
        <v>0</v>
      </c>
    </row>
    <row r="431" spans="1:19">
      <c r="A431" s="1104"/>
      <c r="B431" s="1105"/>
      <c r="C431" s="1097">
        <f t="shared" si="74"/>
        <v>1</v>
      </c>
      <c r="D431" s="1106"/>
      <c r="E431" s="1097">
        <f t="shared" si="75"/>
        <v>1</v>
      </c>
      <c r="F431" s="1106"/>
      <c r="G431" s="1097">
        <f t="shared" si="76"/>
        <v>1</v>
      </c>
      <c r="H431" s="1106"/>
      <c r="I431" s="1097">
        <f t="shared" si="77"/>
        <v>1</v>
      </c>
      <c r="J431" s="1106"/>
      <c r="K431" s="1097">
        <f t="shared" si="78"/>
        <v>1</v>
      </c>
      <c r="L431" s="1106"/>
      <c r="M431" s="1097">
        <f t="shared" si="79"/>
        <v>1</v>
      </c>
      <c r="N431" s="1106"/>
      <c r="O431" s="1097">
        <f t="shared" si="80"/>
        <v>1</v>
      </c>
      <c r="P431" s="1106"/>
      <c r="Q431" s="1097">
        <f t="shared" si="81"/>
        <v>1</v>
      </c>
      <c r="R431" s="1157">
        <f t="shared" si="82"/>
        <v>0</v>
      </c>
      <c r="S431" s="1096">
        <f t="shared" si="83"/>
        <v>0</v>
      </c>
    </row>
    <row r="432" spans="1:19">
      <c r="A432" s="1104"/>
      <c r="B432" s="1105"/>
      <c r="C432" s="1097">
        <f t="shared" si="74"/>
        <v>1</v>
      </c>
      <c r="D432" s="1106"/>
      <c r="E432" s="1097">
        <f t="shared" si="75"/>
        <v>1</v>
      </c>
      <c r="F432" s="1106"/>
      <c r="G432" s="1097">
        <f t="shared" si="76"/>
        <v>1</v>
      </c>
      <c r="H432" s="1106"/>
      <c r="I432" s="1097">
        <f t="shared" si="77"/>
        <v>1</v>
      </c>
      <c r="J432" s="1106"/>
      <c r="K432" s="1097">
        <f t="shared" si="78"/>
        <v>1</v>
      </c>
      <c r="L432" s="1106"/>
      <c r="M432" s="1097">
        <f t="shared" si="79"/>
        <v>1</v>
      </c>
      <c r="N432" s="1106"/>
      <c r="O432" s="1097">
        <f t="shared" si="80"/>
        <v>1</v>
      </c>
      <c r="P432" s="1106"/>
      <c r="Q432" s="1097">
        <f t="shared" si="81"/>
        <v>1</v>
      </c>
      <c r="R432" s="1157">
        <f t="shared" si="82"/>
        <v>0</v>
      </c>
      <c r="S432" s="1096">
        <f t="shared" si="83"/>
        <v>0</v>
      </c>
    </row>
    <row r="433" spans="1:19">
      <c r="A433" s="1104"/>
      <c r="B433" s="1105"/>
      <c r="C433" s="1097">
        <f t="shared" si="74"/>
        <v>1</v>
      </c>
      <c r="D433" s="1106"/>
      <c r="E433" s="1097">
        <f t="shared" si="75"/>
        <v>1</v>
      </c>
      <c r="F433" s="1106"/>
      <c r="G433" s="1097">
        <f t="shared" si="76"/>
        <v>1</v>
      </c>
      <c r="H433" s="1106"/>
      <c r="I433" s="1097">
        <f t="shared" si="77"/>
        <v>1</v>
      </c>
      <c r="J433" s="1106"/>
      <c r="K433" s="1097">
        <f t="shared" si="78"/>
        <v>1</v>
      </c>
      <c r="L433" s="1106"/>
      <c r="M433" s="1097">
        <f t="shared" si="79"/>
        <v>1</v>
      </c>
      <c r="N433" s="1106"/>
      <c r="O433" s="1097">
        <f t="shared" si="80"/>
        <v>1</v>
      </c>
      <c r="P433" s="1106"/>
      <c r="Q433" s="1097">
        <f t="shared" si="81"/>
        <v>1</v>
      </c>
      <c r="R433" s="1157">
        <f t="shared" si="82"/>
        <v>0</v>
      </c>
      <c r="S433" s="1096">
        <f t="shared" si="83"/>
        <v>0</v>
      </c>
    </row>
    <row r="434" spans="1:19">
      <c r="A434" s="1104"/>
      <c r="B434" s="1105"/>
      <c r="C434" s="1097">
        <f t="shared" si="74"/>
        <v>1</v>
      </c>
      <c r="D434" s="1106"/>
      <c r="E434" s="1097">
        <f t="shared" si="75"/>
        <v>1</v>
      </c>
      <c r="F434" s="1106"/>
      <c r="G434" s="1097">
        <f t="shared" si="76"/>
        <v>1</v>
      </c>
      <c r="H434" s="1106"/>
      <c r="I434" s="1097">
        <f t="shared" si="77"/>
        <v>1</v>
      </c>
      <c r="J434" s="1106"/>
      <c r="K434" s="1097">
        <f t="shared" si="78"/>
        <v>1</v>
      </c>
      <c r="L434" s="1106"/>
      <c r="M434" s="1097">
        <f t="shared" si="79"/>
        <v>1</v>
      </c>
      <c r="N434" s="1106"/>
      <c r="O434" s="1097">
        <f t="shared" si="80"/>
        <v>1</v>
      </c>
      <c r="P434" s="1106"/>
      <c r="Q434" s="1097">
        <f t="shared" si="81"/>
        <v>1</v>
      </c>
      <c r="R434" s="1157">
        <f t="shared" si="82"/>
        <v>0</v>
      </c>
      <c r="S434" s="1096">
        <f t="shared" si="83"/>
        <v>0</v>
      </c>
    </row>
    <row r="435" spans="1:19">
      <c r="A435" s="1104"/>
      <c r="B435" s="1105"/>
      <c r="C435" s="1097">
        <f t="shared" si="74"/>
        <v>1</v>
      </c>
      <c r="D435" s="1106"/>
      <c r="E435" s="1097">
        <f t="shared" si="75"/>
        <v>1</v>
      </c>
      <c r="F435" s="1106"/>
      <c r="G435" s="1097">
        <f t="shared" si="76"/>
        <v>1</v>
      </c>
      <c r="H435" s="1106"/>
      <c r="I435" s="1097">
        <f t="shared" si="77"/>
        <v>1</v>
      </c>
      <c r="J435" s="1106"/>
      <c r="K435" s="1097">
        <f t="shared" si="78"/>
        <v>1</v>
      </c>
      <c r="L435" s="1106"/>
      <c r="M435" s="1097">
        <f t="shared" si="79"/>
        <v>1</v>
      </c>
      <c r="N435" s="1106"/>
      <c r="O435" s="1097">
        <f t="shared" si="80"/>
        <v>1</v>
      </c>
      <c r="P435" s="1106"/>
      <c r="Q435" s="1097">
        <f t="shared" si="81"/>
        <v>1</v>
      </c>
      <c r="R435" s="1157">
        <f t="shared" si="82"/>
        <v>0</v>
      </c>
      <c r="S435" s="1096">
        <f t="shared" si="83"/>
        <v>0</v>
      </c>
    </row>
    <row r="436" spans="1:19">
      <c r="A436" s="1104"/>
      <c r="B436" s="1105"/>
      <c r="C436" s="1097">
        <f t="shared" si="74"/>
        <v>1</v>
      </c>
      <c r="D436" s="1106"/>
      <c r="E436" s="1097">
        <f t="shared" si="75"/>
        <v>1</v>
      </c>
      <c r="F436" s="1106"/>
      <c r="G436" s="1097">
        <f t="shared" si="76"/>
        <v>1</v>
      </c>
      <c r="H436" s="1106"/>
      <c r="I436" s="1097">
        <f t="shared" si="77"/>
        <v>1</v>
      </c>
      <c r="J436" s="1106"/>
      <c r="K436" s="1097">
        <f t="shared" si="78"/>
        <v>1</v>
      </c>
      <c r="L436" s="1106"/>
      <c r="M436" s="1097">
        <f t="shared" si="79"/>
        <v>1</v>
      </c>
      <c r="N436" s="1106"/>
      <c r="O436" s="1097">
        <f t="shared" si="80"/>
        <v>1</v>
      </c>
      <c r="P436" s="1106"/>
      <c r="Q436" s="1097">
        <f t="shared" si="81"/>
        <v>1</v>
      </c>
      <c r="R436" s="1157">
        <f t="shared" si="82"/>
        <v>0</v>
      </c>
      <c r="S436" s="1096">
        <f t="shared" si="83"/>
        <v>0</v>
      </c>
    </row>
    <row r="437" spans="1:19">
      <c r="A437" s="1104"/>
      <c r="B437" s="1105"/>
      <c r="C437" s="1097">
        <f t="shared" si="74"/>
        <v>1</v>
      </c>
      <c r="D437" s="1106"/>
      <c r="E437" s="1097">
        <f t="shared" si="75"/>
        <v>1</v>
      </c>
      <c r="F437" s="1106"/>
      <c r="G437" s="1097">
        <f t="shared" si="76"/>
        <v>1</v>
      </c>
      <c r="H437" s="1106"/>
      <c r="I437" s="1097">
        <f t="shared" si="77"/>
        <v>1</v>
      </c>
      <c r="J437" s="1106"/>
      <c r="K437" s="1097">
        <f t="shared" si="78"/>
        <v>1</v>
      </c>
      <c r="L437" s="1106"/>
      <c r="M437" s="1097">
        <f t="shared" si="79"/>
        <v>1</v>
      </c>
      <c r="N437" s="1106"/>
      <c r="O437" s="1097">
        <f t="shared" si="80"/>
        <v>1</v>
      </c>
      <c r="P437" s="1106"/>
      <c r="Q437" s="1097">
        <f t="shared" si="81"/>
        <v>1</v>
      </c>
      <c r="R437" s="1157">
        <f t="shared" si="82"/>
        <v>0</v>
      </c>
      <c r="S437" s="1096">
        <f t="shared" si="83"/>
        <v>0</v>
      </c>
    </row>
    <row r="438" spans="1:19">
      <c r="A438" s="1104"/>
      <c r="B438" s="1105"/>
      <c r="C438" s="1097">
        <f t="shared" si="74"/>
        <v>1</v>
      </c>
      <c r="D438" s="1106"/>
      <c r="E438" s="1097">
        <f t="shared" si="75"/>
        <v>1</v>
      </c>
      <c r="F438" s="1106"/>
      <c r="G438" s="1097">
        <f t="shared" si="76"/>
        <v>1</v>
      </c>
      <c r="H438" s="1106"/>
      <c r="I438" s="1097">
        <f t="shared" si="77"/>
        <v>1</v>
      </c>
      <c r="J438" s="1106"/>
      <c r="K438" s="1097">
        <f t="shared" si="78"/>
        <v>1</v>
      </c>
      <c r="L438" s="1106"/>
      <c r="M438" s="1097">
        <f t="shared" si="79"/>
        <v>1</v>
      </c>
      <c r="N438" s="1106"/>
      <c r="O438" s="1097">
        <f t="shared" si="80"/>
        <v>1</v>
      </c>
      <c r="P438" s="1106"/>
      <c r="Q438" s="1097">
        <f t="shared" si="81"/>
        <v>1</v>
      </c>
      <c r="R438" s="1157">
        <f t="shared" si="82"/>
        <v>0</v>
      </c>
      <c r="S438" s="1096">
        <f t="shared" si="83"/>
        <v>0</v>
      </c>
    </row>
    <row r="439" spans="1:19">
      <c r="A439" s="1104"/>
      <c r="B439" s="1105"/>
      <c r="C439" s="1097">
        <f t="shared" si="74"/>
        <v>1</v>
      </c>
      <c r="D439" s="1106"/>
      <c r="E439" s="1097">
        <f t="shared" si="75"/>
        <v>1</v>
      </c>
      <c r="F439" s="1106"/>
      <c r="G439" s="1097">
        <f t="shared" si="76"/>
        <v>1</v>
      </c>
      <c r="H439" s="1106"/>
      <c r="I439" s="1097">
        <f t="shared" si="77"/>
        <v>1</v>
      </c>
      <c r="J439" s="1106"/>
      <c r="K439" s="1097">
        <f t="shared" si="78"/>
        <v>1</v>
      </c>
      <c r="L439" s="1106"/>
      <c r="M439" s="1097">
        <f t="shared" si="79"/>
        <v>1</v>
      </c>
      <c r="N439" s="1106"/>
      <c r="O439" s="1097">
        <f t="shared" si="80"/>
        <v>1</v>
      </c>
      <c r="P439" s="1106"/>
      <c r="Q439" s="1097">
        <f t="shared" si="81"/>
        <v>1</v>
      </c>
      <c r="R439" s="1157">
        <f t="shared" si="82"/>
        <v>0</v>
      </c>
      <c r="S439" s="1096">
        <f t="shared" si="83"/>
        <v>0</v>
      </c>
    </row>
    <row r="440" spans="1:19">
      <c r="A440" s="1104"/>
      <c r="B440" s="1105"/>
      <c r="C440" s="1097">
        <f t="shared" si="74"/>
        <v>1</v>
      </c>
      <c r="D440" s="1106"/>
      <c r="E440" s="1097">
        <f t="shared" si="75"/>
        <v>1</v>
      </c>
      <c r="F440" s="1106"/>
      <c r="G440" s="1097">
        <f t="shared" si="76"/>
        <v>1</v>
      </c>
      <c r="H440" s="1106"/>
      <c r="I440" s="1097">
        <f t="shared" si="77"/>
        <v>1</v>
      </c>
      <c r="J440" s="1106"/>
      <c r="K440" s="1097">
        <f t="shared" si="78"/>
        <v>1</v>
      </c>
      <c r="L440" s="1106"/>
      <c r="M440" s="1097">
        <f t="shared" si="79"/>
        <v>1</v>
      </c>
      <c r="N440" s="1106"/>
      <c r="O440" s="1097">
        <f t="shared" si="80"/>
        <v>1</v>
      </c>
      <c r="P440" s="1106"/>
      <c r="Q440" s="1097">
        <f t="shared" si="81"/>
        <v>1</v>
      </c>
      <c r="R440" s="1157">
        <f t="shared" si="82"/>
        <v>0</v>
      </c>
      <c r="S440" s="1096">
        <f t="shared" si="83"/>
        <v>0</v>
      </c>
    </row>
    <row r="441" spans="1:19">
      <c r="A441" s="1104"/>
      <c r="B441" s="1105"/>
      <c r="C441" s="1097">
        <f t="shared" si="74"/>
        <v>1</v>
      </c>
      <c r="D441" s="1106"/>
      <c r="E441" s="1097">
        <f t="shared" si="75"/>
        <v>1</v>
      </c>
      <c r="F441" s="1106"/>
      <c r="G441" s="1097">
        <f t="shared" si="76"/>
        <v>1</v>
      </c>
      <c r="H441" s="1106"/>
      <c r="I441" s="1097">
        <f t="shared" si="77"/>
        <v>1</v>
      </c>
      <c r="J441" s="1106"/>
      <c r="K441" s="1097">
        <f t="shared" si="78"/>
        <v>1</v>
      </c>
      <c r="L441" s="1106"/>
      <c r="M441" s="1097">
        <f t="shared" si="79"/>
        <v>1</v>
      </c>
      <c r="N441" s="1106"/>
      <c r="O441" s="1097">
        <f t="shared" si="80"/>
        <v>1</v>
      </c>
      <c r="P441" s="1106"/>
      <c r="Q441" s="1097">
        <f t="shared" si="81"/>
        <v>1</v>
      </c>
      <c r="R441" s="1157">
        <f t="shared" si="82"/>
        <v>0</v>
      </c>
      <c r="S441" s="1096">
        <f t="shared" si="83"/>
        <v>0</v>
      </c>
    </row>
    <row r="442" spans="1:19">
      <c r="A442" s="1104"/>
      <c r="B442" s="1105"/>
      <c r="C442" s="1097">
        <f t="shared" si="74"/>
        <v>1</v>
      </c>
      <c r="D442" s="1106"/>
      <c r="E442" s="1097">
        <f t="shared" si="75"/>
        <v>1</v>
      </c>
      <c r="F442" s="1106"/>
      <c r="G442" s="1097">
        <f t="shared" si="76"/>
        <v>1</v>
      </c>
      <c r="H442" s="1106"/>
      <c r="I442" s="1097">
        <f t="shared" si="77"/>
        <v>1</v>
      </c>
      <c r="J442" s="1106"/>
      <c r="K442" s="1097">
        <f t="shared" si="78"/>
        <v>1</v>
      </c>
      <c r="L442" s="1106"/>
      <c r="M442" s="1097">
        <f t="shared" si="79"/>
        <v>1</v>
      </c>
      <c r="N442" s="1106"/>
      <c r="O442" s="1097">
        <f t="shared" si="80"/>
        <v>1</v>
      </c>
      <c r="P442" s="1106"/>
      <c r="Q442" s="1097">
        <f t="shared" si="81"/>
        <v>1</v>
      </c>
      <c r="R442" s="1157">
        <f t="shared" si="82"/>
        <v>0</v>
      </c>
      <c r="S442" s="1096">
        <f t="shared" si="83"/>
        <v>0</v>
      </c>
    </row>
    <row r="443" spans="1:19">
      <c r="A443" s="1104"/>
      <c r="B443" s="1105"/>
      <c r="C443" s="1097">
        <f t="shared" si="74"/>
        <v>1</v>
      </c>
      <c r="D443" s="1106"/>
      <c r="E443" s="1097">
        <f t="shared" si="75"/>
        <v>1</v>
      </c>
      <c r="F443" s="1106"/>
      <c r="G443" s="1097">
        <f t="shared" si="76"/>
        <v>1</v>
      </c>
      <c r="H443" s="1106"/>
      <c r="I443" s="1097">
        <f t="shared" si="77"/>
        <v>1</v>
      </c>
      <c r="J443" s="1106"/>
      <c r="K443" s="1097">
        <f t="shared" si="78"/>
        <v>1</v>
      </c>
      <c r="L443" s="1106"/>
      <c r="M443" s="1097">
        <f t="shared" si="79"/>
        <v>1</v>
      </c>
      <c r="N443" s="1106"/>
      <c r="O443" s="1097">
        <f t="shared" si="80"/>
        <v>1</v>
      </c>
      <c r="P443" s="1106"/>
      <c r="Q443" s="1097">
        <f t="shared" si="81"/>
        <v>1</v>
      </c>
      <c r="R443" s="1157">
        <f t="shared" si="82"/>
        <v>0</v>
      </c>
      <c r="S443" s="1096">
        <f t="shared" si="83"/>
        <v>0</v>
      </c>
    </row>
    <row r="444" spans="1:19">
      <c r="A444" s="1104"/>
      <c r="B444" s="1105"/>
      <c r="C444" s="1097">
        <f t="shared" si="74"/>
        <v>1</v>
      </c>
      <c r="D444" s="1106"/>
      <c r="E444" s="1097">
        <f t="shared" si="75"/>
        <v>1</v>
      </c>
      <c r="F444" s="1106"/>
      <c r="G444" s="1097">
        <f t="shared" si="76"/>
        <v>1</v>
      </c>
      <c r="H444" s="1106"/>
      <c r="I444" s="1097">
        <f t="shared" si="77"/>
        <v>1</v>
      </c>
      <c r="J444" s="1106"/>
      <c r="K444" s="1097">
        <f t="shared" si="78"/>
        <v>1</v>
      </c>
      <c r="L444" s="1106"/>
      <c r="M444" s="1097">
        <f t="shared" si="79"/>
        <v>1</v>
      </c>
      <c r="N444" s="1106"/>
      <c r="O444" s="1097">
        <f t="shared" si="80"/>
        <v>1</v>
      </c>
      <c r="P444" s="1106"/>
      <c r="Q444" s="1097">
        <f t="shared" si="81"/>
        <v>1</v>
      </c>
      <c r="R444" s="1157">
        <f t="shared" si="82"/>
        <v>0</v>
      </c>
      <c r="S444" s="1096">
        <f t="shared" si="83"/>
        <v>0</v>
      </c>
    </row>
    <row r="445" spans="1:19">
      <c r="A445" s="1104"/>
      <c r="B445" s="1105"/>
      <c r="C445" s="1097">
        <f t="shared" si="74"/>
        <v>1</v>
      </c>
      <c r="D445" s="1106"/>
      <c r="E445" s="1097">
        <f t="shared" si="75"/>
        <v>1</v>
      </c>
      <c r="F445" s="1106"/>
      <c r="G445" s="1097">
        <f t="shared" si="76"/>
        <v>1</v>
      </c>
      <c r="H445" s="1106"/>
      <c r="I445" s="1097">
        <f t="shared" si="77"/>
        <v>1</v>
      </c>
      <c r="J445" s="1106"/>
      <c r="K445" s="1097">
        <f t="shared" si="78"/>
        <v>1</v>
      </c>
      <c r="L445" s="1106"/>
      <c r="M445" s="1097">
        <f t="shared" si="79"/>
        <v>1</v>
      </c>
      <c r="N445" s="1106"/>
      <c r="O445" s="1097">
        <f t="shared" si="80"/>
        <v>1</v>
      </c>
      <c r="P445" s="1106"/>
      <c r="Q445" s="1097">
        <f t="shared" si="81"/>
        <v>1</v>
      </c>
      <c r="R445" s="1157">
        <f t="shared" si="82"/>
        <v>0</v>
      </c>
      <c r="S445" s="1096">
        <f t="shared" si="83"/>
        <v>0</v>
      </c>
    </row>
    <row r="446" spans="1:19">
      <c r="A446" s="1104"/>
      <c r="B446" s="1105"/>
      <c r="C446" s="1097">
        <f t="shared" si="74"/>
        <v>1</v>
      </c>
      <c r="D446" s="1106"/>
      <c r="E446" s="1097">
        <f t="shared" si="75"/>
        <v>1</v>
      </c>
      <c r="F446" s="1106"/>
      <c r="G446" s="1097">
        <f t="shared" si="76"/>
        <v>1</v>
      </c>
      <c r="H446" s="1106"/>
      <c r="I446" s="1097">
        <f t="shared" si="77"/>
        <v>1</v>
      </c>
      <c r="J446" s="1106"/>
      <c r="K446" s="1097">
        <f t="shared" si="78"/>
        <v>1</v>
      </c>
      <c r="L446" s="1106"/>
      <c r="M446" s="1097">
        <f t="shared" si="79"/>
        <v>1</v>
      </c>
      <c r="N446" s="1106"/>
      <c r="O446" s="1097">
        <f t="shared" si="80"/>
        <v>1</v>
      </c>
      <c r="P446" s="1106"/>
      <c r="Q446" s="1097">
        <f t="shared" si="81"/>
        <v>1</v>
      </c>
      <c r="R446" s="1157">
        <f t="shared" si="82"/>
        <v>0</v>
      </c>
      <c r="S446" s="1096">
        <f t="shared" si="83"/>
        <v>0</v>
      </c>
    </row>
    <row r="447" spans="1:19">
      <c r="A447" s="1104"/>
      <c r="B447" s="1105"/>
      <c r="C447" s="1097">
        <f t="shared" si="74"/>
        <v>1</v>
      </c>
      <c r="D447" s="1106"/>
      <c r="E447" s="1097">
        <f t="shared" si="75"/>
        <v>1</v>
      </c>
      <c r="F447" s="1106"/>
      <c r="G447" s="1097">
        <f t="shared" si="76"/>
        <v>1</v>
      </c>
      <c r="H447" s="1106"/>
      <c r="I447" s="1097">
        <f t="shared" si="77"/>
        <v>1</v>
      </c>
      <c r="J447" s="1106"/>
      <c r="K447" s="1097">
        <f t="shared" si="78"/>
        <v>1</v>
      </c>
      <c r="L447" s="1106"/>
      <c r="M447" s="1097">
        <f t="shared" si="79"/>
        <v>1</v>
      </c>
      <c r="N447" s="1106"/>
      <c r="O447" s="1097">
        <f t="shared" si="80"/>
        <v>1</v>
      </c>
      <c r="P447" s="1106"/>
      <c r="Q447" s="1097">
        <f t="shared" si="81"/>
        <v>1</v>
      </c>
      <c r="R447" s="1157">
        <f t="shared" si="82"/>
        <v>0</v>
      </c>
      <c r="S447" s="1096">
        <f t="shared" si="83"/>
        <v>0</v>
      </c>
    </row>
    <row r="448" spans="1:19">
      <c r="A448" s="1104"/>
      <c r="B448" s="1105"/>
      <c r="C448" s="1097">
        <f t="shared" si="74"/>
        <v>1</v>
      </c>
      <c r="D448" s="1106"/>
      <c r="E448" s="1097">
        <f t="shared" si="75"/>
        <v>1</v>
      </c>
      <c r="F448" s="1106"/>
      <c r="G448" s="1097">
        <f t="shared" si="76"/>
        <v>1</v>
      </c>
      <c r="H448" s="1106"/>
      <c r="I448" s="1097">
        <f t="shared" si="77"/>
        <v>1</v>
      </c>
      <c r="J448" s="1106"/>
      <c r="K448" s="1097">
        <f t="shared" si="78"/>
        <v>1</v>
      </c>
      <c r="L448" s="1106"/>
      <c r="M448" s="1097">
        <f t="shared" si="79"/>
        <v>1</v>
      </c>
      <c r="N448" s="1106"/>
      <c r="O448" s="1097">
        <f t="shared" si="80"/>
        <v>1</v>
      </c>
      <c r="P448" s="1106"/>
      <c r="Q448" s="1097">
        <f t="shared" si="81"/>
        <v>1</v>
      </c>
      <c r="R448" s="1157">
        <f t="shared" si="82"/>
        <v>0</v>
      </c>
      <c r="S448" s="1096">
        <f t="shared" si="83"/>
        <v>0</v>
      </c>
    </row>
    <row r="449" spans="1:19">
      <c r="A449" s="1104"/>
      <c r="B449" s="1105"/>
      <c r="C449" s="1097">
        <f t="shared" si="74"/>
        <v>1</v>
      </c>
      <c r="D449" s="1106"/>
      <c r="E449" s="1097">
        <f t="shared" si="75"/>
        <v>1</v>
      </c>
      <c r="F449" s="1106"/>
      <c r="G449" s="1097">
        <f t="shared" si="76"/>
        <v>1</v>
      </c>
      <c r="H449" s="1106"/>
      <c r="I449" s="1097">
        <f t="shared" si="77"/>
        <v>1</v>
      </c>
      <c r="J449" s="1106"/>
      <c r="K449" s="1097">
        <f t="shared" si="78"/>
        <v>1</v>
      </c>
      <c r="L449" s="1106"/>
      <c r="M449" s="1097">
        <f t="shared" si="79"/>
        <v>1</v>
      </c>
      <c r="N449" s="1106"/>
      <c r="O449" s="1097">
        <f t="shared" si="80"/>
        <v>1</v>
      </c>
      <c r="P449" s="1106"/>
      <c r="Q449" s="1097">
        <f t="shared" si="81"/>
        <v>1</v>
      </c>
      <c r="R449" s="1157">
        <f t="shared" si="82"/>
        <v>0</v>
      </c>
      <c r="S449" s="1096">
        <f t="shared" si="83"/>
        <v>0</v>
      </c>
    </row>
    <row r="450" spans="1:19">
      <c r="A450" s="1104"/>
      <c r="B450" s="1105"/>
      <c r="C450" s="1097">
        <f t="shared" si="74"/>
        <v>1</v>
      </c>
      <c r="D450" s="1106"/>
      <c r="E450" s="1097">
        <f t="shared" si="75"/>
        <v>1</v>
      </c>
      <c r="F450" s="1106"/>
      <c r="G450" s="1097">
        <f t="shared" si="76"/>
        <v>1</v>
      </c>
      <c r="H450" s="1106"/>
      <c r="I450" s="1097">
        <f t="shared" si="77"/>
        <v>1</v>
      </c>
      <c r="J450" s="1106"/>
      <c r="K450" s="1097">
        <f t="shared" si="78"/>
        <v>1</v>
      </c>
      <c r="L450" s="1106"/>
      <c r="M450" s="1097">
        <f t="shared" si="79"/>
        <v>1</v>
      </c>
      <c r="N450" s="1106"/>
      <c r="O450" s="1097">
        <f t="shared" si="80"/>
        <v>1</v>
      </c>
      <c r="P450" s="1106"/>
      <c r="Q450" s="1097">
        <f t="shared" si="81"/>
        <v>1</v>
      </c>
      <c r="R450" s="1157">
        <f t="shared" si="82"/>
        <v>0</v>
      </c>
      <c r="S450" s="1096">
        <f t="shared" si="83"/>
        <v>0</v>
      </c>
    </row>
    <row r="451" spans="1:19">
      <c r="A451" s="1104"/>
      <c r="B451" s="1105"/>
      <c r="C451" s="1097">
        <f t="shared" si="74"/>
        <v>1</v>
      </c>
      <c r="D451" s="1106"/>
      <c r="E451" s="1097">
        <f t="shared" si="75"/>
        <v>1</v>
      </c>
      <c r="F451" s="1106"/>
      <c r="G451" s="1097">
        <f t="shared" si="76"/>
        <v>1</v>
      </c>
      <c r="H451" s="1106"/>
      <c r="I451" s="1097">
        <f t="shared" si="77"/>
        <v>1</v>
      </c>
      <c r="J451" s="1106"/>
      <c r="K451" s="1097">
        <f t="shared" si="78"/>
        <v>1</v>
      </c>
      <c r="L451" s="1106"/>
      <c r="M451" s="1097">
        <f t="shared" si="79"/>
        <v>1</v>
      </c>
      <c r="N451" s="1106"/>
      <c r="O451" s="1097">
        <f t="shared" si="80"/>
        <v>1</v>
      </c>
      <c r="P451" s="1106"/>
      <c r="Q451" s="1097">
        <f t="shared" si="81"/>
        <v>1</v>
      </c>
      <c r="R451" s="1157">
        <f t="shared" si="82"/>
        <v>0</v>
      </c>
      <c r="S451" s="1096">
        <f t="shared" si="83"/>
        <v>0</v>
      </c>
    </row>
    <row r="452" spans="1:19">
      <c r="A452" s="1104"/>
      <c r="B452" s="1105"/>
      <c r="C452" s="1097">
        <f t="shared" si="74"/>
        <v>1</v>
      </c>
      <c r="D452" s="1106"/>
      <c r="E452" s="1097">
        <f t="shared" si="75"/>
        <v>1</v>
      </c>
      <c r="F452" s="1106"/>
      <c r="G452" s="1097">
        <f t="shared" si="76"/>
        <v>1</v>
      </c>
      <c r="H452" s="1106"/>
      <c r="I452" s="1097">
        <f t="shared" si="77"/>
        <v>1</v>
      </c>
      <c r="J452" s="1106"/>
      <c r="K452" s="1097">
        <f t="shared" si="78"/>
        <v>1</v>
      </c>
      <c r="L452" s="1106"/>
      <c r="M452" s="1097">
        <f t="shared" si="79"/>
        <v>1</v>
      </c>
      <c r="N452" s="1106"/>
      <c r="O452" s="1097">
        <f t="shared" si="80"/>
        <v>1</v>
      </c>
      <c r="P452" s="1106"/>
      <c r="Q452" s="1097">
        <f t="shared" si="81"/>
        <v>1</v>
      </c>
      <c r="R452" s="1157">
        <f t="shared" si="82"/>
        <v>0</v>
      </c>
      <c r="S452" s="1096">
        <f t="shared" si="83"/>
        <v>0</v>
      </c>
    </row>
    <row r="453" spans="1:19">
      <c r="A453" s="1104"/>
      <c r="B453" s="1105"/>
      <c r="C453" s="1097">
        <f t="shared" si="74"/>
        <v>1</v>
      </c>
      <c r="D453" s="1106"/>
      <c r="E453" s="1097">
        <f t="shared" si="75"/>
        <v>1</v>
      </c>
      <c r="F453" s="1106"/>
      <c r="G453" s="1097">
        <f t="shared" si="76"/>
        <v>1</v>
      </c>
      <c r="H453" s="1106"/>
      <c r="I453" s="1097">
        <f t="shared" si="77"/>
        <v>1</v>
      </c>
      <c r="J453" s="1106"/>
      <c r="K453" s="1097">
        <f t="shared" si="78"/>
        <v>1</v>
      </c>
      <c r="L453" s="1106"/>
      <c r="M453" s="1097">
        <f t="shared" si="79"/>
        <v>1</v>
      </c>
      <c r="N453" s="1106"/>
      <c r="O453" s="1097">
        <f t="shared" si="80"/>
        <v>1</v>
      </c>
      <c r="P453" s="1106"/>
      <c r="Q453" s="1097">
        <f t="shared" si="81"/>
        <v>1</v>
      </c>
      <c r="R453" s="1157">
        <f t="shared" si="82"/>
        <v>0</v>
      </c>
      <c r="S453" s="1096">
        <f t="shared" si="83"/>
        <v>0</v>
      </c>
    </row>
    <row r="454" spans="1:19">
      <c r="A454" s="1104"/>
      <c r="B454" s="1105"/>
      <c r="C454" s="1097">
        <f t="shared" si="74"/>
        <v>1</v>
      </c>
      <c r="D454" s="1106"/>
      <c r="E454" s="1097">
        <f t="shared" si="75"/>
        <v>1</v>
      </c>
      <c r="F454" s="1106"/>
      <c r="G454" s="1097">
        <f t="shared" si="76"/>
        <v>1</v>
      </c>
      <c r="H454" s="1106"/>
      <c r="I454" s="1097">
        <f t="shared" si="77"/>
        <v>1</v>
      </c>
      <c r="J454" s="1106"/>
      <c r="K454" s="1097">
        <f t="shared" si="78"/>
        <v>1</v>
      </c>
      <c r="L454" s="1106"/>
      <c r="M454" s="1097">
        <f t="shared" si="79"/>
        <v>1</v>
      </c>
      <c r="N454" s="1106"/>
      <c r="O454" s="1097">
        <f t="shared" si="80"/>
        <v>1</v>
      </c>
      <c r="P454" s="1106"/>
      <c r="Q454" s="1097">
        <f t="shared" si="81"/>
        <v>1</v>
      </c>
      <c r="R454" s="1157">
        <f t="shared" si="82"/>
        <v>0</v>
      </c>
      <c r="S454" s="1096">
        <f t="shared" si="83"/>
        <v>0</v>
      </c>
    </row>
    <row r="455" spans="1:19">
      <c r="A455" s="1104"/>
      <c r="B455" s="1105"/>
      <c r="C455" s="1097">
        <f t="shared" si="74"/>
        <v>1</v>
      </c>
      <c r="D455" s="1106"/>
      <c r="E455" s="1097">
        <f t="shared" si="75"/>
        <v>1</v>
      </c>
      <c r="F455" s="1106"/>
      <c r="G455" s="1097">
        <f t="shared" si="76"/>
        <v>1</v>
      </c>
      <c r="H455" s="1106"/>
      <c r="I455" s="1097">
        <f t="shared" si="77"/>
        <v>1</v>
      </c>
      <c r="J455" s="1106"/>
      <c r="K455" s="1097">
        <f t="shared" si="78"/>
        <v>1</v>
      </c>
      <c r="L455" s="1106"/>
      <c r="M455" s="1097">
        <f t="shared" si="79"/>
        <v>1</v>
      </c>
      <c r="N455" s="1106"/>
      <c r="O455" s="1097">
        <f t="shared" si="80"/>
        <v>1</v>
      </c>
      <c r="P455" s="1106"/>
      <c r="Q455" s="1097">
        <f t="shared" si="81"/>
        <v>1</v>
      </c>
      <c r="R455" s="1157">
        <f t="shared" si="82"/>
        <v>0</v>
      </c>
      <c r="S455" s="1096">
        <f t="shared" si="83"/>
        <v>0</v>
      </c>
    </row>
    <row r="456" spans="1:19">
      <c r="A456" s="1104"/>
      <c r="B456" s="1105"/>
      <c r="C456" s="1097">
        <f t="shared" si="74"/>
        <v>1</v>
      </c>
      <c r="D456" s="1106"/>
      <c r="E456" s="1097">
        <f t="shared" si="75"/>
        <v>1</v>
      </c>
      <c r="F456" s="1106"/>
      <c r="G456" s="1097">
        <f t="shared" si="76"/>
        <v>1</v>
      </c>
      <c r="H456" s="1106"/>
      <c r="I456" s="1097">
        <f t="shared" si="77"/>
        <v>1</v>
      </c>
      <c r="J456" s="1106"/>
      <c r="K456" s="1097">
        <f t="shared" si="78"/>
        <v>1</v>
      </c>
      <c r="L456" s="1106"/>
      <c r="M456" s="1097">
        <f t="shared" si="79"/>
        <v>1</v>
      </c>
      <c r="N456" s="1106"/>
      <c r="O456" s="1097">
        <f t="shared" si="80"/>
        <v>1</v>
      </c>
      <c r="P456" s="1106"/>
      <c r="Q456" s="1097">
        <f t="shared" si="81"/>
        <v>1</v>
      </c>
      <c r="R456" s="1157">
        <f t="shared" si="82"/>
        <v>0</v>
      </c>
      <c r="S456" s="1096">
        <f t="shared" si="83"/>
        <v>0</v>
      </c>
    </row>
    <row r="457" spans="1:19">
      <c r="A457" s="1104"/>
      <c r="B457" s="1105"/>
      <c r="C457" s="1097">
        <f t="shared" si="74"/>
        <v>1</v>
      </c>
      <c r="D457" s="1106"/>
      <c r="E457" s="1097">
        <f t="shared" si="75"/>
        <v>1</v>
      </c>
      <c r="F457" s="1106"/>
      <c r="G457" s="1097">
        <f t="shared" si="76"/>
        <v>1</v>
      </c>
      <c r="H457" s="1106"/>
      <c r="I457" s="1097">
        <f t="shared" si="77"/>
        <v>1</v>
      </c>
      <c r="J457" s="1106"/>
      <c r="K457" s="1097">
        <f t="shared" si="78"/>
        <v>1</v>
      </c>
      <c r="L457" s="1106"/>
      <c r="M457" s="1097">
        <f t="shared" si="79"/>
        <v>1</v>
      </c>
      <c r="N457" s="1106"/>
      <c r="O457" s="1097">
        <f t="shared" si="80"/>
        <v>1</v>
      </c>
      <c r="P457" s="1106"/>
      <c r="Q457" s="1097">
        <f t="shared" si="81"/>
        <v>1</v>
      </c>
      <c r="R457" s="1157">
        <f t="shared" si="82"/>
        <v>0</v>
      </c>
      <c r="S457" s="1096">
        <f t="shared" si="83"/>
        <v>0</v>
      </c>
    </row>
    <row r="458" spans="1:19">
      <c r="A458" s="1104"/>
      <c r="B458" s="1105"/>
      <c r="C458" s="1097">
        <f t="shared" si="74"/>
        <v>1</v>
      </c>
      <c r="D458" s="1106"/>
      <c r="E458" s="1097">
        <f t="shared" si="75"/>
        <v>1</v>
      </c>
      <c r="F458" s="1106"/>
      <c r="G458" s="1097">
        <f t="shared" si="76"/>
        <v>1</v>
      </c>
      <c r="H458" s="1106"/>
      <c r="I458" s="1097">
        <f t="shared" si="77"/>
        <v>1</v>
      </c>
      <c r="J458" s="1106"/>
      <c r="K458" s="1097">
        <f t="shared" si="78"/>
        <v>1</v>
      </c>
      <c r="L458" s="1106"/>
      <c r="M458" s="1097">
        <f t="shared" si="79"/>
        <v>1</v>
      </c>
      <c r="N458" s="1106"/>
      <c r="O458" s="1097">
        <f t="shared" si="80"/>
        <v>1</v>
      </c>
      <c r="P458" s="1106"/>
      <c r="Q458" s="1097">
        <f t="shared" si="81"/>
        <v>1</v>
      </c>
      <c r="R458" s="1157">
        <f t="shared" si="82"/>
        <v>0</v>
      </c>
      <c r="S458" s="1096">
        <f t="shared" si="83"/>
        <v>0</v>
      </c>
    </row>
    <row r="459" spans="1:19">
      <c r="A459" s="1104"/>
      <c r="B459" s="1105"/>
      <c r="C459" s="1097">
        <f t="shared" si="74"/>
        <v>1</v>
      </c>
      <c r="D459" s="1106"/>
      <c r="E459" s="1097">
        <f t="shared" si="75"/>
        <v>1</v>
      </c>
      <c r="F459" s="1106"/>
      <c r="G459" s="1097">
        <f t="shared" si="76"/>
        <v>1</v>
      </c>
      <c r="H459" s="1106"/>
      <c r="I459" s="1097">
        <f t="shared" si="77"/>
        <v>1</v>
      </c>
      <c r="J459" s="1106"/>
      <c r="K459" s="1097">
        <f t="shared" si="78"/>
        <v>1</v>
      </c>
      <c r="L459" s="1106"/>
      <c r="M459" s="1097">
        <f t="shared" si="79"/>
        <v>1</v>
      </c>
      <c r="N459" s="1106"/>
      <c r="O459" s="1097">
        <f t="shared" si="80"/>
        <v>1</v>
      </c>
      <c r="P459" s="1106"/>
      <c r="Q459" s="1097">
        <f t="shared" si="81"/>
        <v>1</v>
      </c>
      <c r="R459" s="1157">
        <f t="shared" si="82"/>
        <v>0</v>
      </c>
      <c r="S459" s="1096">
        <f t="shared" si="83"/>
        <v>0</v>
      </c>
    </row>
    <row r="460" spans="1:19">
      <c r="A460" s="1104"/>
      <c r="B460" s="1105"/>
      <c r="C460" s="1097">
        <f t="shared" si="74"/>
        <v>1</v>
      </c>
      <c r="D460" s="1106"/>
      <c r="E460" s="1097">
        <f t="shared" si="75"/>
        <v>1</v>
      </c>
      <c r="F460" s="1106"/>
      <c r="G460" s="1097">
        <f t="shared" si="76"/>
        <v>1</v>
      </c>
      <c r="H460" s="1106"/>
      <c r="I460" s="1097">
        <f t="shared" si="77"/>
        <v>1</v>
      </c>
      <c r="J460" s="1106"/>
      <c r="K460" s="1097">
        <f t="shared" si="78"/>
        <v>1</v>
      </c>
      <c r="L460" s="1106"/>
      <c r="M460" s="1097">
        <f t="shared" si="79"/>
        <v>1</v>
      </c>
      <c r="N460" s="1106"/>
      <c r="O460" s="1097">
        <f t="shared" si="80"/>
        <v>1</v>
      </c>
      <c r="P460" s="1106"/>
      <c r="Q460" s="1097">
        <f t="shared" si="81"/>
        <v>1</v>
      </c>
      <c r="R460" s="1157">
        <f t="shared" si="82"/>
        <v>0</v>
      </c>
      <c r="S460" s="1096">
        <f t="shared" si="83"/>
        <v>0</v>
      </c>
    </row>
    <row r="461" spans="1:19">
      <c r="A461" s="1104"/>
      <c r="B461" s="1105"/>
      <c r="C461" s="1097">
        <f t="shared" si="74"/>
        <v>1</v>
      </c>
      <c r="D461" s="1106"/>
      <c r="E461" s="1097">
        <f t="shared" si="75"/>
        <v>1</v>
      </c>
      <c r="F461" s="1106"/>
      <c r="G461" s="1097">
        <f t="shared" si="76"/>
        <v>1</v>
      </c>
      <c r="H461" s="1106"/>
      <c r="I461" s="1097">
        <f t="shared" si="77"/>
        <v>1</v>
      </c>
      <c r="J461" s="1106"/>
      <c r="K461" s="1097">
        <f t="shared" si="78"/>
        <v>1</v>
      </c>
      <c r="L461" s="1106"/>
      <c r="M461" s="1097">
        <f t="shared" si="79"/>
        <v>1</v>
      </c>
      <c r="N461" s="1106"/>
      <c r="O461" s="1097">
        <f t="shared" si="80"/>
        <v>1</v>
      </c>
      <c r="P461" s="1106"/>
      <c r="Q461" s="1097">
        <f t="shared" si="81"/>
        <v>1</v>
      </c>
      <c r="R461" s="1157">
        <f t="shared" si="82"/>
        <v>0</v>
      </c>
      <c r="S461" s="1096">
        <f t="shared" si="83"/>
        <v>0</v>
      </c>
    </row>
    <row r="462" spans="1:19">
      <c r="A462" s="1104"/>
      <c r="B462" s="1105"/>
      <c r="C462" s="1097">
        <f t="shared" si="74"/>
        <v>1</v>
      </c>
      <c r="D462" s="1106"/>
      <c r="E462" s="1097">
        <f t="shared" si="75"/>
        <v>1</v>
      </c>
      <c r="F462" s="1106"/>
      <c r="G462" s="1097">
        <f t="shared" si="76"/>
        <v>1</v>
      </c>
      <c r="H462" s="1106"/>
      <c r="I462" s="1097">
        <f t="shared" si="77"/>
        <v>1</v>
      </c>
      <c r="J462" s="1106"/>
      <c r="K462" s="1097">
        <f t="shared" si="78"/>
        <v>1</v>
      </c>
      <c r="L462" s="1106"/>
      <c r="M462" s="1097">
        <f t="shared" si="79"/>
        <v>1</v>
      </c>
      <c r="N462" s="1106"/>
      <c r="O462" s="1097">
        <f t="shared" si="80"/>
        <v>1</v>
      </c>
      <c r="P462" s="1106"/>
      <c r="Q462" s="1097">
        <f t="shared" si="81"/>
        <v>1</v>
      </c>
      <c r="R462" s="1157">
        <f t="shared" si="82"/>
        <v>0</v>
      </c>
      <c r="S462" s="1096">
        <f t="shared" si="83"/>
        <v>0</v>
      </c>
    </row>
    <row r="463" spans="1:19">
      <c r="A463" s="1104"/>
      <c r="B463" s="1105"/>
      <c r="C463" s="1097">
        <f t="shared" si="74"/>
        <v>1</v>
      </c>
      <c r="D463" s="1106"/>
      <c r="E463" s="1097">
        <f t="shared" si="75"/>
        <v>1</v>
      </c>
      <c r="F463" s="1106"/>
      <c r="G463" s="1097">
        <f t="shared" si="76"/>
        <v>1</v>
      </c>
      <c r="H463" s="1106"/>
      <c r="I463" s="1097">
        <f t="shared" si="77"/>
        <v>1</v>
      </c>
      <c r="J463" s="1106"/>
      <c r="K463" s="1097">
        <f t="shared" si="78"/>
        <v>1</v>
      </c>
      <c r="L463" s="1106"/>
      <c r="M463" s="1097">
        <f t="shared" si="79"/>
        <v>1</v>
      </c>
      <c r="N463" s="1106"/>
      <c r="O463" s="1097">
        <f t="shared" si="80"/>
        <v>1</v>
      </c>
      <c r="P463" s="1106"/>
      <c r="Q463" s="1097">
        <f t="shared" si="81"/>
        <v>1</v>
      </c>
      <c r="R463" s="1157">
        <f t="shared" si="82"/>
        <v>0</v>
      </c>
      <c r="S463" s="1096">
        <f t="shared" si="83"/>
        <v>0</v>
      </c>
    </row>
    <row r="464" spans="1:19">
      <c r="A464" s="1104"/>
      <c r="B464" s="1105"/>
      <c r="C464" s="1097">
        <f t="shared" si="74"/>
        <v>1</v>
      </c>
      <c r="D464" s="1106"/>
      <c r="E464" s="1097">
        <f t="shared" si="75"/>
        <v>1</v>
      </c>
      <c r="F464" s="1106"/>
      <c r="G464" s="1097">
        <f t="shared" si="76"/>
        <v>1</v>
      </c>
      <c r="H464" s="1106"/>
      <c r="I464" s="1097">
        <f t="shared" si="77"/>
        <v>1</v>
      </c>
      <c r="J464" s="1106"/>
      <c r="K464" s="1097">
        <f t="shared" si="78"/>
        <v>1</v>
      </c>
      <c r="L464" s="1106"/>
      <c r="M464" s="1097">
        <f t="shared" si="79"/>
        <v>1</v>
      </c>
      <c r="N464" s="1106"/>
      <c r="O464" s="1097">
        <f t="shared" si="80"/>
        <v>1</v>
      </c>
      <c r="P464" s="1106"/>
      <c r="Q464" s="1097">
        <f t="shared" si="81"/>
        <v>1</v>
      </c>
      <c r="R464" s="1157">
        <f t="shared" si="82"/>
        <v>0</v>
      </c>
      <c r="S464" s="1096">
        <f t="shared" si="83"/>
        <v>0</v>
      </c>
    </row>
    <row r="465" spans="1:19">
      <c r="A465" s="1104"/>
      <c r="B465" s="1105"/>
      <c r="C465" s="1097">
        <f t="shared" si="74"/>
        <v>1</v>
      </c>
      <c r="D465" s="1106"/>
      <c r="E465" s="1097">
        <f t="shared" si="75"/>
        <v>1</v>
      </c>
      <c r="F465" s="1106"/>
      <c r="G465" s="1097">
        <f t="shared" si="76"/>
        <v>1</v>
      </c>
      <c r="H465" s="1106"/>
      <c r="I465" s="1097">
        <f t="shared" si="77"/>
        <v>1</v>
      </c>
      <c r="J465" s="1106"/>
      <c r="K465" s="1097">
        <f t="shared" si="78"/>
        <v>1</v>
      </c>
      <c r="L465" s="1106"/>
      <c r="M465" s="1097">
        <f t="shared" si="79"/>
        <v>1</v>
      </c>
      <c r="N465" s="1106"/>
      <c r="O465" s="1097">
        <f t="shared" si="80"/>
        <v>1</v>
      </c>
      <c r="P465" s="1106"/>
      <c r="Q465" s="1097">
        <f t="shared" si="81"/>
        <v>1</v>
      </c>
      <c r="R465" s="1157">
        <f t="shared" si="82"/>
        <v>0</v>
      </c>
      <c r="S465" s="1096">
        <f t="shared" si="83"/>
        <v>0</v>
      </c>
    </row>
    <row r="466" spans="1:19">
      <c r="A466" s="1104"/>
      <c r="B466" s="1105"/>
      <c r="C466" s="1097">
        <f t="shared" si="74"/>
        <v>1</v>
      </c>
      <c r="D466" s="1106"/>
      <c r="E466" s="1097">
        <f t="shared" si="75"/>
        <v>1</v>
      </c>
      <c r="F466" s="1106"/>
      <c r="G466" s="1097">
        <f t="shared" si="76"/>
        <v>1</v>
      </c>
      <c r="H466" s="1106"/>
      <c r="I466" s="1097">
        <f t="shared" si="77"/>
        <v>1</v>
      </c>
      <c r="J466" s="1106"/>
      <c r="K466" s="1097">
        <f t="shared" si="78"/>
        <v>1</v>
      </c>
      <c r="L466" s="1106"/>
      <c r="M466" s="1097">
        <f t="shared" si="79"/>
        <v>1</v>
      </c>
      <c r="N466" s="1106"/>
      <c r="O466" s="1097">
        <f t="shared" si="80"/>
        <v>1</v>
      </c>
      <c r="P466" s="1106"/>
      <c r="Q466" s="1097">
        <f t="shared" si="81"/>
        <v>1</v>
      </c>
      <c r="R466" s="1157">
        <f t="shared" si="82"/>
        <v>0</v>
      </c>
      <c r="S466" s="1096">
        <f t="shared" si="83"/>
        <v>0</v>
      </c>
    </row>
    <row r="467" spans="1:19">
      <c r="A467" s="1104"/>
      <c r="B467" s="1105"/>
      <c r="C467" s="1097">
        <f t="shared" si="74"/>
        <v>1</v>
      </c>
      <c r="D467" s="1106"/>
      <c r="E467" s="1097">
        <f t="shared" si="75"/>
        <v>1</v>
      </c>
      <c r="F467" s="1106"/>
      <c r="G467" s="1097">
        <f t="shared" si="76"/>
        <v>1</v>
      </c>
      <c r="H467" s="1106"/>
      <c r="I467" s="1097">
        <f t="shared" si="77"/>
        <v>1</v>
      </c>
      <c r="J467" s="1106"/>
      <c r="K467" s="1097">
        <f t="shared" si="78"/>
        <v>1</v>
      </c>
      <c r="L467" s="1106"/>
      <c r="M467" s="1097">
        <f t="shared" si="79"/>
        <v>1</v>
      </c>
      <c r="N467" s="1106"/>
      <c r="O467" s="1097">
        <f t="shared" si="80"/>
        <v>1</v>
      </c>
      <c r="P467" s="1106"/>
      <c r="Q467" s="1097">
        <f t="shared" si="81"/>
        <v>1</v>
      </c>
      <c r="R467" s="1157">
        <f t="shared" si="82"/>
        <v>0</v>
      </c>
      <c r="S467" s="1096">
        <f t="shared" si="83"/>
        <v>0</v>
      </c>
    </row>
    <row r="468" spans="1:19">
      <c r="A468" s="1104"/>
      <c r="B468" s="1105"/>
      <c r="C468" s="1097">
        <f t="shared" si="74"/>
        <v>1</v>
      </c>
      <c r="D468" s="1106"/>
      <c r="E468" s="1097">
        <f t="shared" si="75"/>
        <v>1</v>
      </c>
      <c r="F468" s="1106"/>
      <c r="G468" s="1097">
        <f t="shared" si="76"/>
        <v>1</v>
      </c>
      <c r="H468" s="1106"/>
      <c r="I468" s="1097">
        <f t="shared" si="77"/>
        <v>1</v>
      </c>
      <c r="J468" s="1106"/>
      <c r="K468" s="1097">
        <f t="shared" si="78"/>
        <v>1</v>
      </c>
      <c r="L468" s="1106"/>
      <c r="M468" s="1097">
        <f t="shared" si="79"/>
        <v>1</v>
      </c>
      <c r="N468" s="1106"/>
      <c r="O468" s="1097">
        <f t="shared" si="80"/>
        <v>1</v>
      </c>
      <c r="P468" s="1106"/>
      <c r="Q468" s="1097">
        <f t="shared" si="81"/>
        <v>1</v>
      </c>
      <c r="R468" s="1157">
        <f t="shared" si="82"/>
        <v>0</v>
      </c>
      <c r="S468" s="1096">
        <f t="shared" ref="S468:S497" si="84">ROUND(R468*B468/10000,0)</f>
        <v>0</v>
      </c>
    </row>
    <row r="469" spans="1:19">
      <c r="A469" s="1104"/>
      <c r="B469" s="1105"/>
      <c r="C469" s="1097">
        <f t="shared" si="74"/>
        <v>1</v>
      </c>
      <c r="D469" s="1106"/>
      <c r="E469" s="1097">
        <f t="shared" si="75"/>
        <v>1</v>
      </c>
      <c r="F469" s="1106"/>
      <c r="G469" s="1097">
        <f t="shared" si="76"/>
        <v>1</v>
      </c>
      <c r="H469" s="1106"/>
      <c r="I469" s="1097">
        <f t="shared" si="77"/>
        <v>1</v>
      </c>
      <c r="J469" s="1106"/>
      <c r="K469" s="1097">
        <f t="shared" si="78"/>
        <v>1</v>
      </c>
      <c r="L469" s="1106"/>
      <c r="M469" s="1097">
        <f t="shared" si="79"/>
        <v>1</v>
      </c>
      <c r="N469" s="1106"/>
      <c r="O469" s="1097">
        <f t="shared" si="80"/>
        <v>1</v>
      </c>
      <c r="P469" s="1106"/>
      <c r="Q469" s="1097">
        <f t="shared" si="81"/>
        <v>1</v>
      </c>
      <c r="R469" s="1157">
        <f t="shared" si="82"/>
        <v>0</v>
      </c>
      <c r="S469" s="1096">
        <f t="shared" si="84"/>
        <v>0</v>
      </c>
    </row>
    <row r="470" spans="1:19">
      <c r="A470" s="1104"/>
      <c r="B470" s="1105"/>
      <c r="C470" s="1097">
        <f t="shared" si="74"/>
        <v>1</v>
      </c>
      <c r="D470" s="1106"/>
      <c r="E470" s="1097">
        <f t="shared" si="75"/>
        <v>1</v>
      </c>
      <c r="F470" s="1106"/>
      <c r="G470" s="1097">
        <f t="shared" si="76"/>
        <v>1</v>
      </c>
      <c r="H470" s="1106"/>
      <c r="I470" s="1097">
        <f t="shared" si="77"/>
        <v>1</v>
      </c>
      <c r="J470" s="1106"/>
      <c r="K470" s="1097">
        <f t="shared" si="78"/>
        <v>1</v>
      </c>
      <c r="L470" s="1106"/>
      <c r="M470" s="1097">
        <f t="shared" si="79"/>
        <v>1</v>
      </c>
      <c r="N470" s="1106"/>
      <c r="O470" s="1097">
        <f t="shared" si="80"/>
        <v>1</v>
      </c>
      <c r="P470" s="1106"/>
      <c r="Q470" s="1097">
        <f t="shared" si="81"/>
        <v>1</v>
      </c>
      <c r="R470" s="1157">
        <f t="shared" si="82"/>
        <v>0</v>
      </c>
      <c r="S470" s="1096">
        <f t="shared" si="84"/>
        <v>0</v>
      </c>
    </row>
    <row r="471" spans="1:19">
      <c r="A471" s="1104"/>
      <c r="B471" s="1105"/>
      <c r="C471" s="1097">
        <f t="shared" si="74"/>
        <v>1</v>
      </c>
      <c r="D471" s="1106"/>
      <c r="E471" s="1097">
        <f t="shared" si="75"/>
        <v>1</v>
      </c>
      <c r="F471" s="1106"/>
      <c r="G471" s="1097">
        <f t="shared" si="76"/>
        <v>1</v>
      </c>
      <c r="H471" s="1106"/>
      <c r="I471" s="1097">
        <f t="shared" si="77"/>
        <v>1</v>
      </c>
      <c r="J471" s="1106"/>
      <c r="K471" s="1097">
        <f t="shared" si="78"/>
        <v>1</v>
      </c>
      <c r="L471" s="1106"/>
      <c r="M471" s="1097">
        <f t="shared" si="79"/>
        <v>1</v>
      </c>
      <c r="N471" s="1106"/>
      <c r="O471" s="1097">
        <f t="shared" si="80"/>
        <v>1</v>
      </c>
      <c r="P471" s="1106"/>
      <c r="Q471" s="1097">
        <f t="shared" si="81"/>
        <v>1</v>
      </c>
      <c r="R471" s="1157">
        <f t="shared" si="82"/>
        <v>0</v>
      </c>
      <c r="S471" s="1096">
        <f t="shared" si="84"/>
        <v>0</v>
      </c>
    </row>
    <row r="472" spans="1:19">
      <c r="A472" s="1104"/>
      <c r="B472" s="1105"/>
      <c r="C472" s="1097">
        <f t="shared" si="74"/>
        <v>1</v>
      </c>
      <c r="D472" s="1106"/>
      <c r="E472" s="1097">
        <f t="shared" si="75"/>
        <v>1</v>
      </c>
      <c r="F472" s="1106"/>
      <c r="G472" s="1097">
        <f t="shared" si="76"/>
        <v>1</v>
      </c>
      <c r="H472" s="1106"/>
      <c r="I472" s="1097">
        <f t="shared" si="77"/>
        <v>1</v>
      </c>
      <c r="J472" s="1106"/>
      <c r="K472" s="1097">
        <f t="shared" si="78"/>
        <v>1</v>
      </c>
      <c r="L472" s="1106"/>
      <c r="M472" s="1097">
        <f t="shared" si="79"/>
        <v>1</v>
      </c>
      <c r="N472" s="1106"/>
      <c r="O472" s="1097">
        <f t="shared" si="80"/>
        <v>1</v>
      </c>
      <c r="P472" s="1106"/>
      <c r="Q472" s="1097">
        <f t="shared" si="81"/>
        <v>1</v>
      </c>
      <c r="R472" s="1157">
        <f t="shared" si="82"/>
        <v>0</v>
      </c>
      <c r="S472" s="1096">
        <f t="shared" si="84"/>
        <v>0</v>
      </c>
    </row>
    <row r="473" spans="1:19">
      <c r="A473" s="1104"/>
      <c r="B473" s="1105"/>
      <c r="C473" s="1097">
        <f t="shared" si="74"/>
        <v>1</v>
      </c>
      <c r="D473" s="1106"/>
      <c r="E473" s="1097">
        <f t="shared" si="75"/>
        <v>1</v>
      </c>
      <c r="F473" s="1106"/>
      <c r="G473" s="1097">
        <f t="shared" si="76"/>
        <v>1</v>
      </c>
      <c r="H473" s="1106"/>
      <c r="I473" s="1097">
        <f t="shared" si="77"/>
        <v>1</v>
      </c>
      <c r="J473" s="1106"/>
      <c r="K473" s="1097">
        <f t="shared" si="78"/>
        <v>1</v>
      </c>
      <c r="L473" s="1106"/>
      <c r="M473" s="1097">
        <f t="shared" si="79"/>
        <v>1</v>
      </c>
      <c r="N473" s="1106"/>
      <c r="O473" s="1097">
        <f t="shared" si="80"/>
        <v>1</v>
      </c>
      <c r="P473" s="1106"/>
      <c r="Q473" s="1097">
        <f t="shared" si="81"/>
        <v>1</v>
      </c>
      <c r="R473" s="1157">
        <f t="shared" si="82"/>
        <v>0</v>
      </c>
      <c r="S473" s="1096">
        <f t="shared" si="84"/>
        <v>0</v>
      </c>
    </row>
    <row r="474" spans="1:19">
      <c r="A474" s="1104"/>
      <c r="B474" s="1105"/>
      <c r="C474" s="1097">
        <f t="shared" ref="C474:C524" si="85">IF(B474="",1,(LOOKUP(B474,$3:$3,$4:$4)-LOOKUP($B$24,$3:$3,$4:$4)+100)/100)</f>
        <v>1</v>
      </c>
      <c r="D474" s="1106"/>
      <c r="E474" s="1097">
        <f t="shared" ref="E474:E524" si="86">(SUMIF($5:$5,D474,$6:$6)-SUMIF($5:$5,$D$24,$6:$6)+100)/100</f>
        <v>1</v>
      </c>
      <c r="F474" s="1106"/>
      <c r="G474" s="1097">
        <f t="shared" ref="G474:G524" si="87">(SUMIF($7:$7,F474,$8:$8)-SUMIF($7:$7,$F$24,$8:$8)+100)/100</f>
        <v>1</v>
      </c>
      <c r="H474" s="1106"/>
      <c r="I474" s="1097">
        <f t="shared" ref="I474:I524" si="88">(SUMIF($9:$9,H474,$10:$10)-SUMIF($9:$9,$H$24,$10:$10)+100)/100</f>
        <v>1</v>
      </c>
      <c r="J474" s="1106"/>
      <c r="K474" s="1097">
        <f t="shared" ref="K474:K524" si="89">(SUMIF($11:$11,J474,$12:$12)-SUMIF($11:$11,$J$24,$12:$12)+100)/100</f>
        <v>1</v>
      </c>
      <c r="L474" s="1106"/>
      <c r="M474" s="1097">
        <f t="shared" ref="M474:M524" si="90">(SUMIF($13:$13,L474,$14:$14)-SUMIF($13:$13,$L$24,$14:$14)+100)/100</f>
        <v>1</v>
      </c>
      <c r="N474" s="1106"/>
      <c r="O474" s="1097">
        <f t="shared" ref="O474:O524" si="91">(SUMIF($15:$15,N474,$16:$16)-SUMIF($15:$15,$N$24,$16:$16)+100)/100</f>
        <v>1</v>
      </c>
      <c r="P474" s="1106"/>
      <c r="Q474" s="1097">
        <f t="shared" ref="Q474:Q524" si="92">(SUMIF($17:$17,P474,$18:$18)-SUMIF($17:$17,$P$24,$18:$18)+100)/100</f>
        <v>1</v>
      </c>
      <c r="R474" s="1157">
        <f t="shared" ref="R474:R524" si="93">IF(B474="",0,ROUND($R$24*C474*E474*G474*I474*K474*M474*O474*Q474,0))</f>
        <v>0</v>
      </c>
      <c r="S474" s="1096">
        <f t="shared" si="84"/>
        <v>0</v>
      </c>
    </row>
    <row r="475" spans="1:19">
      <c r="A475" s="1104"/>
      <c r="B475" s="1105"/>
      <c r="C475" s="1097">
        <f t="shared" si="85"/>
        <v>1</v>
      </c>
      <c r="D475" s="1106"/>
      <c r="E475" s="1097">
        <f t="shared" si="86"/>
        <v>1</v>
      </c>
      <c r="F475" s="1106"/>
      <c r="G475" s="1097">
        <f t="shared" si="87"/>
        <v>1</v>
      </c>
      <c r="H475" s="1106"/>
      <c r="I475" s="1097">
        <f t="shared" si="88"/>
        <v>1</v>
      </c>
      <c r="J475" s="1106"/>
      <c r="K475" s="1097">
        <f t="shared" si="89"/>
        <v>1</v>
      </c>
      <c r="L475" s="1106"/>
      <c r="M475" s="1097">
        <f t="shared" si="90"/>
        <v>1</v>
      </c>
      <c r="N475" s="1106"/>
      <c r="O475" s="1097">
        <f t="shared" si="91"/>
        <v>1</v>
      </c>
      <c r="P475" s="1106"/>
      <c r="Q475" s="1097">
        <f t="shared" si="92"/>
        <v>1</v>
      </c>
      <c r="R475" s="1157">
        <f t="shared" si="93"/>
        <v>0</v>
      </c>
      <c r="S475" s="1096">
        <f t="shared" si="84"/>
        <v>0</v>
      </c>
    </row>
    <row r="476" spans="1:19">
      <c r="A476" s="1104"/>
      <c r="B476" s="1105"/>
      <c r="C476" s="1097">
        <f t="shared" si="85"/>
        <v>1</v>
      </c>
      <c r="D476" s="1106"/>
      <c r="E476" s="1097">
        <f t="shared" si="86"/>
        <v>1</v>
      </c>
      <c r="F476" s="1106"/>
      <c r="G476" s="1097">
        <f t="shared" si="87"/>
        <v>1</v>
      </c>
      <c r="H476" s="1106"/>
      <c r="I476" s="1097">
        <f t="shared" si="88"/>
        <v>1</v>
      </c>
      <c r="J476" s="1106"/>
      <c r="K476" s="1097">
        <f t="shared" si="89"/>
        <v>1</v>
      </c>
      <c r="L476" s="1106"/>
      <c r="M476" s="1097">
        <f t="shared" si="90"/>
        <v>1</v>
      </c>
      <c r="N476" s="1106"/>
      <c r="O476" s="1097">
        <f t="shared" si="91"/>
        <v>1</v>
      </c>
      <c r="P476" s="1106"/>
      <c r="Q476" s="1097">
        <f t="shared" si="92"/>
        <v>1</v>
      </c>
      <c r="R476" s="1157">
        <f t="shared" si="93"/>
        <v>0</v>
      </c>
      <c r="S476" s="1096">
        <f t="shared" si="84"/>
        <v>0</v>
      </c>
    </row>
    <row r="477" spans="1:19">
      <c r="A477" s="1104"/>
      <c r="B477" s="1105"/>
      <c r="C477" s="1097">
        <f t="shared" si="85"/>
        <v>1</v>
      </c>
      <c r="D477" s="1106"/>
      <c r="E477" s="1097">
        <f t="shared" si="86"/>
        <v>1</v>
      </c>
      <c r="F477" s="1106"/>
      <c r="G477" s="1097">
        <f t="shared" si="87"/>
        <v>1</v>
      </c>
      <c r="H477" s="1106"/>
      <c r="I477" s="1097">
        <f t="shared" si="88"/>
        <v>1</v>
      </c>
      <c r="J477" s="1106"/>
      <c r="K477" s="1097">
        <f t="shared" si="89"/>
        <v>1</v>
      </c>
      <c r="L477" s="1106"/>
      <c r="M477" s="1097">
        <f t="shared" si="90"/>
        <v>1</v>
      </c>
      <c r="N477" s="1106"/>
      <c r="O477" s="1097">
        <f t="shared" si="91"/>
        <v>1</v>
      </c>
      <c r="P477" s="1106"/>
      <c r="Q477" s="1097">
        <f t="shared" si="92"/>
        <v>1</v>
      </c>
      <c r="R477" s="1157">
        <f t="shared" si="93"/>
        <v>0</v>
      </c>
      <c r="S477" s="1096">
        <f t="shared" si="84"/>
        <v>0</v>
      </c>
    </row>
    <row r="478" spans="1:19">
      <c r="A478" s="1104"/>
      <c r="B478" s="1105"/>
      <c r="C478" s="1097">
        <f t="shared" si="85"/>
        <v>1</v>
      </c>
      <c r="D478" s="1106"/>
      <c r="E478" s="1097">
        <f t="shared" si="86"/>
        <v>1</v>
      </c>
      <c r="F478" s="1106"/>
      <c r="G478" s="1097">
        <f t="shared" si="87"/>
        <v>1</v>
      </c>
      <c r="H478" s="1106"/>
      <c r="I478" s="1097">
        <f t="shared" si="88"/>
        <v>1</v>
      </c>
      <c r="J478" s="1106"/>
      <c r="K478" s="1097">
        <f t="shared" si="89"/>
        <v>1</v>
      </c>
      <c r="L478" s="1106"/>
      <c r="M478" s="1097">
        <f t="shared" si="90"/>
        <v>1</v>
      </c>
      <c r="N478" s="1106"/>
      <c r="O478" s="1097">
        <f t="shared" si="91"/>
        <v>1</v>
      </c>
      <c r="P478" s="1106"/>
      <c r="Q478" s="1097">
        <f t="shared" si="92"/>
        <v>1</v>
      </c>
      <c r="R478" s="1157">
        <f t="shared" si="93"/>
        <v>0</v>
      </c>
      <c r="S478" s="1096">
        <f t="shared" si="84"/>
        <v>0</v>
      </c>
    </row>
    <row r="479" spans="1:19">
      <c r="A479" s="1104"/>
      <c r="B479" s="1105"/>
      <c r="C479" s="1097">
        <f t="shared" si="85"/>
        <v>1</v>
      </c>
      <c r="D479" s="1106"/>
      <c r="E479" s="1097">
        <f t="shared" si="86"/>
        <v>1</v>
      </c>
      <c r="F479" s="1106"/>
      <c r="G479" s="1097">
        <f t="shared" si="87"/>
        <v>1</v>
      </c>
      <c r="H479" s="1106"/>
      <c r="I479" s="1097">
        <f t="shared" si="88"/>
        <v>1</v>
      </c>
      <c r="J479" s="1106"/>
      <c r="K479" s="1097">
        <f t="shared" si="89"/>
        <v>1</v>
      </c>
      <c r="L479" s="1106"/>
      <c r="M479" s="1097">
        <f t="shared" si="90"/>
        <v>1</v>
      </c>
      <c r="N479" s="1106"/>
      <c r="O479" s="1097">
        <f t="shared" si="91"/>
        <v>1</v>
      </c>
      <c r="P479" s="1106"/>
      <c r="Q479" s="1097">
        <f t="shared" si="92"/>
        <v>1</v>
      </c>
      <c r="R479" s="1157">
        <f t="shared" si="93"/>
        <v>0</v>
      </c>
      <c r="S479" s="1096">
        <f t="shared" si="84"/>
        <v>0</v>
      </c>
    </row>
    <row r="480" spans="1:19">
      <c r="A480" s="1104"/>
      <c r="B480" s="1105"/>
      <c r="C480" s="1097">
        <f t="shared" si="85"/>
        <v>1</v>
      </c>
      <c r="D480" s="1106"/>
      <c r="E480" s="1097">
        <f t="shared" si="86"/>
        <v>1</v>
      </c>
      <c r="F480" s="1106"/>
      <c r="G480" s="1097">
        <f t="shared" si="87"/>
        <v>1</v>
      </c>
      <c r="H480" s="1106"/>
      <c r="I480" s="1097">
        <f t="shared" si="88"/>
        <v>1</v>
      </c>
      <c r="J480" s="1106"/>
      <c r="K480" s="1097">
        <f t="shared" si="89"/>
        <v>1</v>
      </c>
      <c r="L480" s="1106"/>
      <c r="M480" s="1097">
        <f t="shared" si="90"/>
        <v>1</v>
      </c>
      <c r="N480" s="1106"/>
      <c r="O480" s="1097">
        <f t="shared" si="91"/>
        <v>1</v>
      </c>
      <c r="P480" s="1106"/>
      <c r="Q480" s="1097">
        <f t="shared" si="92"/>
        <v>1</v>
      </c>
      <c r="R480" s="1157">
        <f t="shared" si="93"/>
        <v>0</v>
      </c>
      <c r="S480" s="1096">
        <f t="shared" si="84"/>
        <v>0</v>
      </c>
    </row>
    <row r="481" spans="1:19">
      <c r="A481" s="1104"/>
      <c r="B481" s="1105"/>
      <c r="C481" s="1097">
        <f t="shared" si="85"/>
        <v>1</v>
      </c>
      <c r="D481" s="1106"/>
      <c r="E481" s="1097">
        <f t="shared" si="86"/>
        <v>1</v>
      </c>
      <c r="F481" s="1106"/>
      <c r="G481" s="1097">
        <f t="shared" si="87"/>
        <v>1</v>
      </c>
      <c r="H481" s="1106"/>
      <c r="I481" s="1097">
        <f t="shared" si="88"/>
        <v>1</v>
      </c>
      <c r="J481" s="1106"/>
      <c r="K481" s="1097">
        <f t="shared" si="89"/>
        <v>1</v>
      </c>
      <c r="L481" s="1106"/>
      <c r="M481" s="1097">
        <f t="shared" si="90"/>
        <v>1</v>
      </c>
      <c r="N481" s="1106"/>
      <c r="O481" s="1097">
        <f t="shared" si="91"/>
        <v>1</v>
      </c>
      <c r="P481" s="1106"/>
      <c r="Q481" s="1097">
        <f t="shared" si="92"/>
        <v>1</v>
      </c>
      <c r="R481" s="1157">
        <f t="shared" si="93"/>
        <v>0</v>
      </c>
      <c r="S481" s="1096">
        <f t="shared" si="84"/>
        <v>0</v>
      </c>
    </row>
    <row r="482" spans="1:19">
      <c r="A482" s="1104"/>
      <c r="B482" s="1105"/>
      <c r="C482" s="1097">
        <f t="shared" si="85"/>
        <v>1</v>
      </c>
      <c r="D482" s="1106"/>
      <c r="E482" s="1097">
        <f t="shared" si="86"/>
        <v>1</v>
      </c>
      <c r="F482" s="1106"/>
      <c r="G482" s="1097">
        <f t="shared" si="87"/>
        <v>1</v>
      </c>
      <c r="H482" s="1106"/>
      <c r="I482" s="1097">
        <f t="shared" si="88"/>
        <v>1</v>
      </c>
      <c r="J482" s="1106"/>
      <c r="K482" s="1097">
        <f t="shared" si="89"/>
        <v>1</v>
      </c>
      <c r="L482" s="1106"/>
      <c r="M482" s="1097">
        <f t="shared" si="90"/>
        <v>1</v>
      </c>
      <c r="N482" s="1106"/>
      <c r="O482" s="1097">
        <f t="shared" si="91"/>
        <v>1</v>
      </c>
      <c r="P482" s="1106"/>
      <c r="Q482" s="1097">
        <f t="shared" si="92"/>
        <v>1</v>
      </c>
      <c r="R482" s="1157">
        <f t="shared" si="93"/>
        <v>0</v>
      </c>
      <c r="S482" s="1096">
        <f t="shared" si="84"/>
        <v>0</v>
      </c>
    </row>
    <row r="483" spans="1:19">
      <c r="A483" s="1104"/>
      <c r="B483" s="1105"/>
      <c r="C483" s="1097">
        <f t="shared" si="85"/>
        <v>1</v>
      </c>
      <c r="D483" s="1106"/>
      <c r="E483" s="1097">
        <f t="shared" si="86"/>
        <v>1</v>
      </c>
      <c r="F483" s="1106"/>
      <c r="G483" s="1097">
        <f t="shared" si="87"/>
        <v>1</v>
      </c>
      <c r="H483" s="1106"/>
      <c r="I483" s="1097">
        <f t="shared" si="88"/>
        <v>1</v>
      </c>
      <c r="J483" s="1106"/>
      <c r="K483" s="1097">
        <f t="shared" si="89"/>
        <v>1</v>
      </c>
      <c r="L483" s="1106"/>
      <c r="M483" s="1097">
        <f t="shared" si="90"/>
        <v>1</v>
      </c>
      <c r="N483" s="1106"/>
      <c r="O483" s="1097">
        <f t="shared" si="91"/>
        <v>1</v>
      </c>
      <c r="P483" s="1106"/>
      <c r="Q483" s="1097">
        <f t="shared" si="92"/>
        <v>1</v>
      </c>
      <c r="R483" s="1157">
        <f t="shared" si="93"/>
        <v>0</v>
      </c>
      <c r="S483" s="1096">
        <f t="shared" si="84"/>
        <v>0</v>
      </c>
    </row>
    <row r="484" spans="1:19">
      <c r="A484" s="1104"/>
      <c r="B484" s="1105"/>
      <c r="C484" s="1097">
        <f t="shared" si="85"/>
        <v>1</v>
      </c>
      <c r="D484" s="1106"/>
      <c r="E484" s="1097">
        <f t="shared" si="86"/>
        <v>1</v>
      </c>
      <c r="F484" s="1106"/>
      <c r="G484" s="1097">
        <f t="shared" si="87"/>
        <v>1</v>
      </c>
      <c r="H484" s="1106"/>
      <c r="I484" s="1097">
        <f t="shared" si="88"/>
        <v>1</v>
      </c>
      <c r="J484" s="1106"/>
      <c r="K484" s="1097">
        <f t="shared" si="89"/>
        <v>1</v>
      </c>
      <c r="L484" s="1106"/>
      <c r="M484" s="1097">
        <f t="shared" si="90"/>
        <v>1</v>
      </c>
      <c r="N484" s="1106"/>
      <c r="O484" s="1097">
        <f t="shared" si="91"/>
        <v>1</v>
      </c>
      <c r="P484" s="1106"/>
      <c r="Q484" s="1097">
        <f t="shared" si="92"/>
        <v>1</v>
      </c>
      <c r="R484" s="1157">
        <f t="shared" si="93"/>
        <v>0</v>
      </c>
      <c r="S484" s="1096">
        <f t="shared" si="84"/>
        <v>0</v>
      </c>
    </row>
    <row r="485" spans="1:19">
      <c r="A485" s="1104"/>
      <c r="B485" s="1105"/>
      <c r="C485" s="1097">
        <f t="shared" si="85"/>
        <v>1</v>
      </c>
      <c r="D485" s="1106"/>
      <c r="E485" s="1097">
        <f t="shared" si="86"/>
        <v>1</v>
      </c>
      <c r="F485" s="1106"/>
      <c r="G485" s="1097">
        <f t="shared" si="87"/>
        <v>1</v>
      </c>
      <c r="H485" s="1106"/>
      <c r="I485" s="1097">
        <f t="shared" si="88"/>
        <v>1</v>
      </c>
      <c r="J485" s="1106"/>
      <c r="K485" s="1097">
        <f t="shared" si="89"/>
        <v>1</v>
      </c>
      <c r="L485" s="1106"/>
      <c r="M485" s="1097">
        <f t="shared" si="90"/>
        <v>1</v>
      </c>
      <c r="N485" s="1106"/>
      <c r="O485" s="1097">
        <f t="shared" si="91"/>
        <v>1</v>
      </c>
      <c r="P485" s="1106"/>
      <c r="Q485" s="1097">
        <f t="shared" si="92"/>
        <v>1</v>
      </c>
      <c r="R485" s="1157">
        <f t="shared" si="93"/>
        <v>0</v>
      </c>
      <c r="S485" s="1096">
        <f t="shared" si="84"/>
        <v>0</v>
      </c>
    </row>
    <row r="486" spans="1:19">
      <c r="A486" s="1104"/>
      <c r="B486" s="1105"/>
      <c r="C486" s="1097">
        <f t="shared" si="85"/>
        <v>1</v>
      </c>
      <c r="D486" s="1106"/>
      <c r="E486" s="1097">
        <f t="shared" si="86"/>
        <v>1</v>
      </c>
      <c r="F486" s="1106"/>
      <c r="G486" s="1097">
        <f t="shared" si="87"/>
        <v>1</v>
      </c>
      <c r="H486" s="1106"/>
      <c r="I486" s="1097">
        <f t="shared" si="88"/>
        <v>1</v>
      </c>
      <c r="J486" s="1106"/>
      <c r="K486" s="1097">
        <f t="shared" si="89"/>
        <v>1</v>
      </c>
      <c r="L486" s="1106"/>
      <c r="M486" s="1097">
        <f t="shared" si="90"/>
        <v>1</v>
      </c>
      <c r="N486" s="1106"/>
      <c r="O486" s="1097">
        <f t="shared" si="91"/>
        <v>1</v>
      </c>
      <c r="P486" s="1106"/>
      <c r="Q486" s="1097">
        <f t="shared" si="92"/>
        <v>1</v>
      </c>
      <c r="R486" s="1157">
        <f t="shared" si="93"/>
        <v>0</v>
      </c>
      <c r="S486" s="1096">
        <f t="shared" si="84"/>
        <v>0</v>
      </c>
    </row>
    <row r="487" spans="1:19">
      <c r="A487" s="1104"/>
      <c r="B487" s="1105"/>
      <c r="C487" s="1097">
        <f t="shared" si="85"/>
        <v>1</v>
      </c>
      <c r="D487" s="1106"/>
      <c r="E487" s="1097">
        <f t="shared" si="86"/>
        <v>1</v>
      </c>
      <c r="F487" s="1106"/>
      <c r="G487" s="1097">
        <f t="shared" si="87"/>
        <v>1</v>
      </c>
      <c r="H487" s="1106"/>
      <c r="I487" s="1097">
        <f t="shared" si="88"/>
        <v>1</v>
      </c>
      <c r="J487" s="1106"/>
      <c r="K487" s="1097">
        <f t="shared" si="89"/>
        <v>1</v>
      </c>
      <c r="L487" s="1106"/>
      <c r="M487" s="1097">
        <f t="shared" si="90"/>
        <v>1</v>
      </c>
      <c r="N487" s="1106"/>
      <c r="O487" s="1097">
        <f t="shared" si="91"/>
        <v>1</v>
      </c>
      <c r="P487" s="1106"/>
      <c r="Q487" s="1097">
        <f t="shared" si="92"/>
        <v>1</v>
      </c>
      <c r="R487" s="1157">
        <f t="shared" si="93"/>
        <v>0</v>
      </c>
      <c r="S487" s="1096">
        <f t="shared" si="84"/>
        <v>0</v>
      </c>
    </row>
    <row r="488" spans="1:19">
      <c r="A488" s="1104"/>
      <c r="B488" s="1105"/>
      <c r="C488" s="1097">
        <f t="shared" si="85"/>
        <v>1</v>
      </c>
      <c r="D488" s="1106"/>
      <c r="E488" s="1097">
        <f t="shared" si="86"/>
        <v>1</v>
      </c>
      <c r="F488" s="1106"/>
      <c r="G488" s="1097">
        <f t="shared" si="87"/>
        <v>1</v>
      </c>
      <c r="H488" s="1106"/>
      <c r="I488" s="1097">
        <f t="shared" si="88"/>
        <v>1</v>
      </c>
      <c r="J488" s="1106"/>
      <c r="K488" s="1097">
        <f t="shared" si="89"/>
        <v>1</v>
      </c>
      <c r="L488" s="1106"/>
      <c r="M488" s="1097">
        <f t="shared" si="90"/>
        <v>1</v>
      </c>
      <c r="N488" s="1106"/>
      <c r="O488" s="1097">
        <f t="shared" si="91"/>
        <v>1</v>
      </c>
      <c r="P488" s="1106"/>
      <c r="Q488" s="1097">
        <f t="shared" si="92"/>
        <v>1</v>
      </c>
      <c r="R488" s="1157">
        <f t="shared" si="93"/>
        <v>0</v>
      </c>
      <c r="S488" s="1096">
        <f t="shared" si="84"/>
        <v>0</v>
      </c>
    </row>
    <row r="489" spans="1:19">
      <c r="A489" s="1104"/>
      <c r="B489" s="1105"/>
      <c r="C489" s="1097">
        <f t="shared" si="85"/>
        <v>1</v>
      </c>
      <c r="D489" s="1106"/>
      <c r="E489" s="1097">
        <f t="shared" si="86"/>
        <v>1</v>
      </c>
      <c r="F489" s="1106"/>
      <c r="G489" s="1097">
        <f t="shared" si="87"/>
        <v>1</v>
      </c>
      <c r="H489" s="1106"/>
      <c r="I489" s="1097">
        <f t="shared" si="88"/>
        <v>1</v>
      </c>
      <c r="J489" s="1106"/>
      <c r="K489" s="1097">
        <f t="shared" si="89"/>
        <v>1</v>
      </c>
      <c r="L489" s="1106"/>
      <c r="M489" s="1097">
        <f t="shared" si="90"/>
        <v>1</v>
      </c>
      <c r="N489" s="1106"/>
      <c r="O489" s="1097">
        <f t="shared" si="91"/>
        <v>1</v>
      </c>
      <c r="P489" s="1106"/>
      <c r="Q489" s="1097">
        <f t="shared" si="92"/>
        <v>1</v>
      </c>
      <c r="R489" s="1157">
        <f t="shared" si="93"/>
        <v>0</v>
      </c>
      <c r="S489" s="1096">
        <f t="shared" si="84"/>
        <v>0</v>
      </c>
    </row>
    <row r="490" spans="1:19">
      <c r="A490" s="1104"/>
      <c r="B490" s="1105"/>
      <c r="C490" s="1097">
        <f t="shared" si="85"/>
        <v>1</v>
      </c>
      <c r="D490" s="1106"/>
      <c r="E490" s="1097">
        <f t="shared" si="86"/>
        <v>1</v>
      </c>
      <c r="F490" s="1106"/>
      <c r="G490" s="1097">
        <f t="shared" si="87"/>
        <v>1</v>
      </c>
      <c r="H490" s="1106"/>
      <c r="I490" s="1097">
        <f t="shared" si="88"/>
        <v>1</v>
      </c>
      <c r="J490" s="1106"/>
      <c r="K490" s="1097">
        <f t="shared" si="89"/>
        <v>1</v>
      </c>
      <c r="L490" s="1106"/>
      <c r="M490" s="1097">
        <f t="shared" si="90"/>
        <v>1</v>
      </c>
      <c r="N490" s="1106"/>
      <c r="O490" s="1097">
        <f t="shared" si="91"/>
        <v>1</v>
      </c>
      <c r="P490" s="1106"/>
      <c r="Q490" s="1097">
        <f t="shared" si="92"/>
        <v>1</v>
      </c>
      <c r="R490" s="1157">
        <f t="shared" si="93"/>
        <v>0</v>
      </c>
      <c r="S490" s="1096">
        <f t="shared" si="84"/>
        <v>0</v>
      </c>
    </row>
    <row r="491" spans="1:19">
      <c r="A491" s="1104"/>
      <c r="B491" s="1105"/>
      <c r="C491" s="1097">
        <f t="shared" si="85"/>
        <v>1</v>
      </c>
      <c r="D491" s="1106"/>
      <c r="E491" s="1097">
        <f t="shared" si="86"/>
        <v>1</v>
      </c>
      <c r="F491" s="1106"/>
      <c r="G491" s="1097">
        <f t="shared" si="87"/>
        <v>1</v>
      </c>
      <c r="H491" s="1106"/>
      <c r="I491" s="1097">
        <f t="shared" si="88"/>
        <v>1</v>
      </c>
      <c r="J491" s="1106"/>
      <c r="K491" s="1097">
        <f t="shared" si="89"/>
        <v>1</v>
      </c>
      <c r="L491" s="1106"/>
      <c r="M491" s="1097">
        <f t="shared" si="90"/>
        <v>1</v>
      </c>
      <c r="N491" s="1106"/>
      <c r="O491" s="1097">
        <f t="shared" si="91"/>
        <v>1</v>
      </c>
      <c r="P491" s="1106"/>
      <c r="Q491" s="1097">
        <f t="shared" si="92"/>
        <v>1</v>
      </c>
      <c r="R491" s="1157">
        <f t="shared" si="93"/>
        <v>0</v>
      </c>
      <c r="S491" s="1096">
        <f t="shared" si="84"/>
        <v>0</v>
      </c>
    </row>
    <row r="492" spans="1:19">
      <c r="A492" s="1104"/>
      <c r="B492" s="1105"/>
      <c r="C492" s="1097">
        <f t="shared" si="85"/>
        <v>1</v>
      </c>
      <c r="D492" s="1106"/>
      <c r="E492" s="1097">
        <f t="shared" si="86"/>
        <v>1</v>
      </c>
      <c r="F492" s="1106"/>
      <c r="G492" s="1097">
        <f t="shared" si="87"/>
        <v>1</v>
      </c>
      <c r="H492" s="1106"/>
      <c r="I492" s="1097">
        <f t="shared" si="88"/>
        <v>1</v>
      </c>
      <c r="J492" s="1106"/>
      <c r="K492" s="1097">
        <f t="shared" si="89"/>
        <v>1</v>
      </c>
      <c r="L492" s="1106"/>
      <c r="M492" s="1097">
        <f t="shared" si="90"/>
        <v>1</v>
      </c>
      <c r="N492" s="1106"/>
      <c r="O492" s="1097">
        <f t="shared" si="91"/>
        <v>1</v>
      </c>
      <c r="P492" s="1106"/>
      <c r="Q492" s="1097">
        <f t="shared" si="92"/>
        <v>1</v>
      </c>
      <c r="R492" s="1157">
        <f t="shared" si="93"/>
        <v>0</v>
      </c>
      <c r="S492" s="1096">
        <f t="shared" si="84"/>
        <v>0</v>
      </c>
    </row>
    <row r="493" spans="1:19">
      <c r="A493" s="1104"/>
      <c r="B493" s="1105"/>
      <c r="C493" s="1097">
        <f t="shared" si="85"/>
        <v>1</v>
      </c>
      <c r="D493" s="1106"/>
      <c r="E493" s="1097">
        <f t="shared" si="86"/>
        <v>1</v>
      </c>
      <c r="F493" s="1106"/>
      <c r="G493" s="1097">
        <f t="shared" si="87"/>
        <v>1</v>
      </c>
      <c r="H493" s="1106"/>
      <c r="I493" s="1097">
        <f t="shared" si="88"/>
        <v>1</v>
      </c>
      <c r="J493" s="1106"/>
      <c r="K493" s="1097">
        <f t="shared" si="89"/>
        <v>1</v>
      </c>
      <c r="L493" s="1106"/>
      <c r="M493" s="1097">
        <f t="shared" si="90"/>
        <v>1</v>
      </c>
      <c r="N493" s="1106"/>
      <c r="O493" s="1097">
        <f t="shared" si="91"/>
        <v>1</v>
      </c>
      <c r="P493" s="1106"/>
      <c r="Q493" s="1097">
        <f t="shared" si="92"/>
        <v>1</v>
      </c>
      <c r="R493" s="1157">
        <f t="shared" si="93"/>
        <v>0</v>
      </c>
      <c r="S493" s="1096">
        <f t="shared" si="84"/>
        <v>0</v>
      </c>
    </row>
    <row r="494" spans="1:19">
      <c r="A494" s="1104"/>
      <c r="B494" s="1105"/>
      <c r="C494" s="1097">
        <f t="shared" si="85"/>
        <v>1</v>
      </c>
      <c r="D494" s="1106"/>
      <c r="E494" s="1097">
        <f t="shared" si="86"/>
        <v>1</v>
      </c>
      <c r="F494" s="1106"/>
      <c r="G494" s="1097">
        <f t="shared" si="87"/>
        <v>1</v>
      </c>
      <c r="H494" s="1106"/>
      <c r="I494" s="1097">
        <f t="shared" si="88"/>
        <v>1</v>
      </c>
      <c r="J494" s="1106"/>
      <c r="K494" s="1097">
        <f t="shared" si="89"/>
        <v>1</v>
      </c>
      <c r="L494" s="1106"/>
      <c r="M494" s="1097">
        <f t="shared" si="90"/>
        <v>1</v>
      </c>
      <c r="N494" s="1106"/>
      <c r="O494" s="1097">
        <f t="shared" si="91"/>
        <v>1</v>
      </c>
      <c r="P494" s="1106"/>
      <c r="Q494" s="1097">
        <f t="shared" si="92"/>
        <v>1</v>
      </c>
      <c r="R494" s="1157">
        <f t="shared" si="93"/>
        <v>0</v>
      </c>
      <c r="S494" s="1096">
        <f t="shared" si="84"/>
        <v>0</v>
      </c>
    </row>
    <row r="495" spans="1:19">
      <c r="A495" s="1104"/>
      <c r="B495" s="1105"/>
      <c r="C495" s="1097">
        <f t="shared" si="85"/>
        <v>1</v>
      </c>
      <c r="D495" s="1106"/>
      <c r="E495" s="1097">
        <f t="shared" si="86"/>
        <v>1</v>
      </c>
      <c r="F495" s="1106"/>
      <c r="G495" s="1097">
        <f t="shared" si="87"/>
        <v>1</v>
      </c>
      <c r="H495" s="1106"/>
      <c r="I495" s="1097">
        <f t="shared" si="88"/>
        <v>1</v>
      </c>
      <c r="J495" s="1106"/>
      <c r="K495" s="1097">
        <f t="shared" si="89"/>
        <v>1</v>
      </c>
      <c r="L495" s="1106"/>
      <c r="M495" s="1097">
        <f t="shared" si="90"/>
        <v>1</v>
      </c>
      <c r="N495" s="1106"/>
      <c r="O495" s="1097">
        <f t="shared" si="91"/>
        <v>1</v>
      </c>
      <c r="P495" s="1106"/>
      <c r="Q495" s="1097">
        <f t="shared" si="92"/>
        <v>1</v>
      </c>
      <c r="R495" s="1157">
        <f t="shared" si="93"/>
        <v>0</v>
      </c>
      <c r="S495" s="1096">
        <f t="shared" si="84"/>
        <v>0</v>
      </c>
    </row>
    <row r="496" spans="1:19">
      <c r="A496" s="1104"/>
      <c r="B496" s="1105"/>
      <c r="C496" s="1097">
        <f t="shared" si="85"/>
        <v>1</v>
      </c>
      <c r="D496" s="1106"/>
      <c r="E496" s="1097">
        <f t="shared" si="86"/>
        <v>1</v>
      </c>
      <c r="F496" s="1106"/>
      <c r="G496" s="1097">
        <f t="shared" si="87"/>
        <v>1</v>
      </c>
      <c r="H496" s="1106"/>
      <c r="I496" s="1097">
        <f t="shared" si="88"/>
        <v>1</v>
      </c>
      <c r="J496" s="1106"/>
      <c r="K496" s="1097">
        <f t="shared" si="89"/>
        <v>1</v>
      </c>
      <c r="L496" s="1106"/>
      <c r="M496" s="1097">
        <f t="shared" si="90"/>
        <v>1</v>
      </c>
      <c r="N496" s="1106"/>
      <c r="O496" s="1097">
        <f t="shared" si="91"/>
        <v>1</v>
      </c>
      <c r="P496" s="1106"/>
      <c r="Q496" s="1097">
        <f t="shared" si="92"/>
        <v>1</v>
      </c>
      <c r="R496" s="1157">
        <f t="shared" si="93"/>
        <v>0</v>
      </c>
      <c r="S496" s="1096">
        <f t="shared" si="84"/>
        <v>0</v>
      </c>
    </row>
    <row r="497" spans="1:19">
      <c r="A497" s="1104"/>
      <c r="B497" s="1105"/>
      <c r="C497" s="1097">
        <f t="shared" si="85"/>
        <v>1</v>
      </c>
      <c r="D497" s="1106"/>
      <c r="E497" s="1097">
        <f t="shared" si="86"/>
        <v>1</v>
      </c>
      <c r="F497" s="1106"/>
      <c r="G497" s="1097">
        <f t="shared" si="87"/>
        <v>1</v>
      </c>
      <c r="H497" s="1106"/>
      <c r="I497" s="1097">
        <f t="shared" si="88"/>
        <v>1</v>
      </c>
      <c r="J497" s="1106"/>
      <c r="K497" s="1097">
        <f t="shared" si="89"/>
        <v>1</v>
      </c>
      <c r="L497" s="1106"/>
      <c r="M497" s="1097">
        <f t="shared" si="90"/>
        <v>1</v>
      </c>
      <c r="N497" s="1106"/>
      <c r="O497" s="1097">
        <f t="shared" si="91"/>
        <v>1</v>
      </c>
      <c r="P497" s="1106"/>
      <c r="Q497" s="1097">
        <f t="shared" si="92"/>
        <v>1</v>
      </c>
      <c r="R497" s="1157">
        <f t="shared" si="93"/>
        <v>0</v>
      </c>
      <c r="S497" s="1096">
        <f t="shared" si="84"/>
        <v>0</v>
      </c>
    </row>
    <row r="498" spans="1:19">
      <c r="A498" s="1104"/>
      <c r="B498" s="1105"/>
      <c r="C498" s="1097">
        <f t="shared" si="85"/>
        <v>1</v>
      </c>
      <c r="D498" s="1106"/>
      <c r="E498" s="1097">
        <f t="shared" si="86"/>
        <v>1</v>
      </c>
      <c r="F498" s="1106"/>
      <c r="G498" s="1097">
        <f t="shared" si="87"/>
        <v>1</v>
      </c>
      <c r="H498" s="1106"/>
      <c r="I498" s="1097">
        <f t="shared" si="88"/>
        <v>1</v>
      </c>
      <c r="J498" s="1106"/>
      <c r="K498" s="1097">
        <f t="shared" si="89"/>
        <v>1</v>
      </c>
      <c r="L498" s="1106"/>
      <c r="M498" s="1097">
        <f t="shared" si="90"/>
        <v>1</v>
      </c>
      <c r="N498" s="1106"/>
      <c r="O498" s="1097">
        <f t="shared" si="91"/>
        <v>1</v>
      </c>
      <c r="P498" s="1106"/>
      <c r="Q498" s="1097">
        <f t="shared" si="92"/>
        <v>1</v>
      </c>
      <c r="R498" s="1157">
        <f t="shared" si="93"/>
        <v>0</v>
      </c>
      <c r="S498" s="1096">
        <f t="shared" ref="S498:S524" si="94">ROUND(R498*B498/10000,0)</f>
        <v>0</v>
      </c>
    </row>
    <row r="499" spans="1:19">
      <c r="A499" s="1104"/>
      <c r="B499" s="1105"/>
      <c r="C499" s="1097">
        <f t="shared" si="85"/>
        <v>1</v>
      </c>
      <c r="D499" s="1106"/>
      <c r="E499" s="1097">
        <f t="shared" si="86"/>
        <v>1</v>
      </c>
      <c r="F499" s="1106"/>
      <c r="G499" s="1097">
        <f t="shared" si="87"/>
        <v>1</v>
      </c>
      <c r="H499" s="1106"/>
      <c r="I499" s="1097">
        <f t="shared" si="88"/>
        <v>1</v>
      </c>
      <c r="J499" s="1106"/>
      <c r="K499" s="1097">
        <f t="shared" si="89"/>
        <v>1</v>
      </c>
      <c r="L499" s="1106"/>
      <c r="M499" s="1097">
        <f t="shared" si="90"/>
        <v>1</v>
      </c>
      <c r="N499" s="1106"/>
      <c r="O499" s="1097">
        <f t="shared" si="91"/>
        <v>1</v>
      </c>
      <c r="P499" s="1106"/>
      <c r="Q499" s="1097">
        <f t="shared" si="92"/>
        <v>1</v>
      </c>
      <c r="R499" s="1157">
        <f t="shared" si="93"/>
        <v>0</v>
      </c>
      <c r="S499" s="1096">
        <f t="shared" si="94"/>
        <v>0</v>
      </c>
    </row>
    <row r="500" spans="1:19">
      <c r="A500" s="1104"/>
      <c r="B500" s="1105"/>
      <c r="C500" s="1097">
        <f t="shared" si="85"/>
        <v>1</v>
      </c>
      <c r="D500" s="1106"/>
      <c r="E500" s="1097">
        <f t="shared" si="86"/>
        <v>1</v>
      </c>
      <c r="F500" s="1106"/>
      <c r="G500" s="1097">
        <f t="shared" si="87"/>
        <v>1</v>
      </c>
      <c r="H500" s="1106"/>
      <c r="I500" s="1097">
        <f t="shared" si="88"/>
        <v>1</v>
      </c>
      <c r="J500" s="1106"/>
      <c r="K500" s="1097">
        <f t="shared" si="89"/>
        <v>1</v>
      </c>
      <c r="L500" s="1106"/>
      <c r="M500" s="1097">
        <f t="shared" si="90"/>
        <v>1</v>
      </c>
      <c r="N500" s="1106"/>
      <c r="O500" s="1097">
        <f t="shared" si="91"/>
        <v>1</v>
      </c>
      <c r="P500" s="1106"/>
      <c r="Q500" s="1097">
        <f t="shared" si="92"/>
        <v>1</v>
      </c>
      <c r="R500" s="1157">
        <f t="shared" si="93"/>
        <v>0</v>
      </c>
      <c r="S500" s="1096">
        <f t="shared" si="94"/>
        <v>0</v>
      </c>
    </row>
    <row r="501" spans="1:19">
      <c r="A501" s="1104"/>
      <c r="B501" s="1105"/>
      <c r="C501" s="1097">
        <f t="shared" si="85"/>
        <v>1</v>
      </c>
      <c r="D501" s="1106"/>
      <c r="E501" s="1097">
        <f t="shared" si="86"/>
        <v>1</v>
      </c>
      <c r="F501" s="1106"/>
      <c r="G501" s="1097">
        <f t="shared" si="87"/>
        <v>1</v>
      </c>
      <c r="H501" s="1106"/>
      <c r="I501" s="1097">
        <f t="shared" si="88"/>
        <v>1</v>
      </c>
      <c r="J501" s="1106"/>
      <c r="K501" s="1097">
        <f t="shared" si="89"/>
        <v>1</v>
      </c>
      <c r="L501" s="1106"/>
      <c r="M501" s="1097">
        <f t="shared" si="90"/>
        <v>1</v>
      </c>
      <c r="N501" s="1106"/>
      <c r="O501" s="1097">
        <f t="shared" si="91"/>
        <v>1</v>
      </c>
      <c r="P501" s="1106"/>
      <c r="Q501" s="1097">
        <f t="shared" si="92"/>
        <v>1</v>
      </c>
      <c r="R501" s="1157">
        <f t="shared" si="93"/>
        <v>0</v>
      </c>
      <c r="S501" s="1096">
        <f t="shared" si="94"/>
        <v>0</v>
      </c>
    </row>
    <row r="502" spans="1:19">
      <c r="A502" s="1104"/>
      <c r="B502" s="1105"/>
      <c r="C502" s="1097">
        <f t="shared" si="85"/>
        <v>1</v>
      </c>
      <c r="D502" s="1106"/>
      <c r="E502" s="1097">
        <f t="shared" si="86"/>
        <v>1</v>
      </c>
      <c r="F502" s="1106"/>
      <c r="G502" s="1097">
        <f t="shared" si="87"/>
        <v>1</v>
      </c>
      <c r="H502" s="1106"/>
      <c r="I502" s="1097">
        <f t="shared" si="88"/>
        <v>1</v>
      </c>
      <c r="J502" s="1106"/>
      <c r="K502" s="1097">
        <f t="shared" si="89"/>
        <v>1</v>
      </c>
      <c r="L502" s="1106"/>
      <c r="M502" s="1097">
        <f t="shared" si="90"/>
        <v>1</v>
      </c>
      <c r="N502" s="1106"/>
      <c r="O502" s="1097">
        <f t="shared" si="91"/>
        <v>1</v>
      </c>
      <c r="P502" s="1106"/>
      <c r="Q502" s="1097">
        <f t="shared" si="92"/>
        <v>1</v>
      </c>
      <c r="R502" s="1157">
        <f t="shared" si="93"/>
        <v>0</v>
      </c>
      <c r="S502" s="1096">
        <f t="shared" si="94"/>
        <v>0</v>
      </c>
    </row>
    <row r="503" spans="1:19">
      <c r="A503" s="1104"/>
      <c r="B503" s="1105"/>
      <c r="C503" s="1097">
        <f t="shared" si="85"/>
        <v>1</v>
      </c>
      <c r="D503" s="1106"/>
      <c r="E503" s="1097">
        <f t="shared" si="86"/>
        <v>1</v>
      </c>
      <c r="F503" s="1106"/>
      <c r="G503" s="1097">
        <f t="shared" si="87"/>
        <v>1</v>
      </c>
      <c r="H503" s="1106"/>
      <c r="I503" s="1097">
        <f t="shared" si="88"/>
        <v>1</v>
      </c>
      <c r="J503" s="1106"/>
      <c r="K503" s="1097">
        <f t="shared" si="89"/>
        <v>1</v>
      </c>
      <c r="L503" s="1106"/>
      <c r="M503" s="1097">
        <f t="shared" si="90"/>
        <v>1</v>
      </c>
      <c r="N503" s="1106"/>
      <c r="O503" s="1097">
        <f t="shared" si="91"/>
        <v>1</v>
      </c>
      <c r="P503" s="1106"/>
      <c r="Q503" s="1097">
        <f t="shared" si="92"/>
        <v>1</v>
      </c>
      <c r="R503" s="1157">
        <f t="shared" si="93"/>
        <v>0</v>
      </c>
      <c r="S503" s="1096">
        <f t="shared" si="94"/>
        <v>0</v>
      </c>
    </row>
    <row r="504" spans="1:19">
      <c r="A504" s="1104"/>
      <c r="B504" s="1105"/>
      <c r="C504" s="1097">
        <f t="shared" si="85"/>
        <v>1</v>
      </c>
      <c r="D504" s="1106"/>
      <c r="E504" s="1097">
        <f t="shared" si="86"/>
        <v>1</v>
      </c>
      <c r="F504" s="1106"/>
      <c r="G504" s="1097">
        <f t="shared" si="87"/>
        <v>1</v>
      </c>
      <c r="H504" s="1106"/>
      <c r="I504" s="1097">
        <f t="shared" si="88"/>
        <v>1</v>
      </c>
      <c r="J504" s="1106"/>
      <c r="K504" s="1097">
        <f t="shared" si="89"/>
        <v>1</v>
      </c>
      <c r="L504" s="1106"/>
      <c r="M504" s="1097">
        <f t="shared" si="90"/>
        <v>1</v>
      </c>
      <c r="N504" s="1106"/>
      <c r="O504" s="1097">
        <f t="shared" si="91"/>
        <v>1</v>
      </c>
      <c r="P504" s="1106"/>
      <c r="Q504" s="1097">
        <f t="shared" si="92"/>
        <v>1</v>
      </c>
      <c r="R504" s="1157">
        <f t="shared" si="93"/>
        <v>0</v>
      </c>
      <c r="S504" s="1096">
        <f t="shared" si="94"/>
        <v>0</v>
      </c>
    </row>
    <row r="505" spans="1:19">
      <c r="A505" s="1104"/>
      <c r="B505" s="1105"/>
      <c r="C505" s="1097">
        <f t="shared" si="85"/>
        <v>1</v>
      </c>
      <c r="D505" s="1106"/>
      <c r="E505" s="1097">
        <f t="shared" si="86"/>
        <v>1</v>
      </c>
      <c r="F505" s="1106"/>
      <c r="G505" s="1097">
        <f t="shared" si="87"/>
        <v>1</v>
      </c>
      <c r="H505" s="1106"/>
      <c r="I505" s="1097">
        <f t="shared" si="88"/>
        <v>1</v>
      </c>
      <c r="J505" s="1106"/>
      <c r="K505" s="1097">
        <f t="shared" si="89"/>
        <v>1</v>
      </c>
      <c r="L505" s="1106"/>
      <c r="M505" s="1097">
        <f t="shared" si="90"/>
        <v>1</v>
      </c>
      <c r="N505" s="1106"/>
      <c r="O505" s="1097">
        <f t="shared" si="91"/>
        <v>1</v>
      </c>
      <c r="P505" s="1106"/>
      <c r="Q505" s="1097">
        <f t="shared" si="92"/>
        <v>1</v>
      </c>
      <c r="R505" s="1157">
        <f t="shared" si="93"/>
        <v>0</v>
      </c>
      <c r="S505" s="1096">
        <f t="shared" si="94"/>
        <v>0</v>
      </c>
    </row>
    <row r="506" spans="1:19">
      <c r="A506" s="1104"/>
      <c r="B506" s="1105"/>
      <c r="C506" s="1097">
        <f t="shared" si="85"/>
        <v>1</v>
      </c>
      <c r="D506" s="1106"/>
      <c r="E506" s="1097">
        <f t="shared" si="86"/>
        <v>1</v>
      </c>
      <c r="F506" s="1106"/>
      <c r="G506" s="1097">
        <f t="shared" si="87"/>
        <v>1</v>
      </c>
      <c r="H506" s="1106"/>
      <c r="I506" s="1097">
        <f t="shared" si="88"/>
        <v>1</v>
      </c>
      <c r="J506" s="1106"/>
      <c r="K506" s="1097">
        <f t="shared" si="89"/>
        <v>1</v>
      </c>
      <c r="L506" s="1106"/>
      <c r="M506" s="1097">
        <f t="shared" si="90"/>
        <v>1</v>
      </c>
      <c r="N506" s="1106"/>
      <c r="O506" s="1097">
        <f t="shared" si="91"/>
        <v>1</v>
      </c>
      <c r="P506" s="1106"/>
      <c r="Q506" s="1097">
        <f t="shared" si="92"/>
        <v>1</v>
      </c>
      <c r="R506" s="1157">
        <f t="shared" si="93"/>
        <v>0</v>
      </c>
      <c r="S506" s="1096">
        <f t="shared" si="94"/>
        <v>0</v>
      </c>
    </row>
    <row r="507" spans="1:19">
      <c r="A507" s="1104"/>
      <c r="B507" s="1105"/>
      <c r="C507" s="1097">
        <f t="shared" si="85"/>
        <v>1</v>
      </c>
      <c r="D507" s="1106"/>
      <c r="E507" s="1097">
        <f t="shared" si="86"/>
        <v>1</v>
      </c>
      <c r="F507" s="1106"/>
      <c r="G507" s="1097">
        <f t="shared" si="87"/>
        <v>1</v>
      </c>
      <c r="H507" s="1106"/>
      <c r="I507" s="1097">
        <f t="shared" si="88"/>
        <v>1</v>
      </c>
      <c r="J507" s="1106"/>
      <c r="K507" s="1097">
        <f t="shared" si="89"/>
        <v>1</v>
      </c>
      <c r="L507" s="1106"/>
      <c r="M507" s="1097">
        <f t="shared" si="90"/>
        <v>1</v>
      </c>
      <c r="N507" s="1106"/>
      <c r="O507" s="1097">
        <f t="shared" si="91"/>
        <v>1</v>
      </c>
      <c r="P507" s="1106"/>
      <c r="Q507" s="1097">
        <f t="shared" si="92"/>
        <v>1</v>
      </c>
      <c r="R507" s="1157">
        <f t="shared" si="93"/>
        <v>0</v>
      </c>
      <c r="S507" s="1096">
        <f t="shared" si="94"/>
        <v>0</v>
      </c>
    </row>
    <row r="508" spans="1:19">
      <c r="A508" s="1104"/>
      <c r="B508" s="1105"/>
      <c r="C508" s="1097">
        <f t="shared" si="85"/>
        <v>1</v>
      </c>
      <c r="D508" s="1106"/>
      <c r="E508" s="1097">
        <f t="shared" si="86"/>
        <v>1</v>
      </c>
      <c r="F508" s="1106"/>
      <c r="G508" s="1097">
        <f t="shared" si="87"/>
        <v>1</v>
      </c>
      <c r="H508" s="1106"/>
      <c r="I508" s="1097">
        <f t="shared" si="88"/>
        <v>1</v>
      </c>
      <c r="J508" s="1106"/>
      <c r="K508" s="1097">
        <f t="shared" si="89"/>
        <v>1</v>
      </c>
      <c r="L508" s="1106"/>
      <c r="M508" s="1097">
        <f t="shared" si="90"/>
        <v>1</v>
      </c>
      <c r="N508" s="1106"/>
      <c r="O508" s="1097">
        <f t="shared" si="91"/>
        <v>1</v>
      </c>
      <c r="P508" s="1106"/>
      <c r="Q508" s="1097">
        <f t="shared" si="92"/>
        <v>1</v>
      </c>
      <c r="R508" s="1157">
        <f t="shared" si="93"/>
        <v>0</v>
      </c>
      <c r="S508" s="1096">
        <f t="shared" si="94"/>
        <v>0</v>
      </c>
    </row>
    <row r="509" spans="1:19">
      <c r="A509" s="1104"/>
      <c r="B509" s="1105"/>
      <c r="C509" s="1097">
        <f t="shared" si="85"/>
        <v>1</v>
      </c>
      <c r="D509" s="1106"/>
      <c r="E509" s="1097">
        <f t="shared" si="86"/>
        <v>1</v>
      </c>
      <c r="F509" s="1106"/>
      <c r="G509" s="1097">
        <f t="shared" si="87"/>
        <v>1</v>
      </c>
      <c r="H509" s="1106"/>
      <c r="I509" s="1097">
        <f t="shared" si="88"/>
        <v>1</v>
      </c>
      <c r="J509" s="1106"/>
      <c r="K509" s="1097">
        <f t="shared" si="89"/>
        <v>1</v>
      </c>
      <c r="L509" s="1106"/>
      <c r="M509" s="1097">
        <f t="shared" si="90"/>
        <v>1</v>
      </c>
      <c r="N509" s="1106"/>
      <c r="O509" s="1097">
        <f t="shared" si="91"/>
        <v>1</v>
      </c>
      <c r="P509" s="1106"/>
      <c r="Q509" s="1097">
        <f t="shared" si="92"/>
        <v>1</v>
      </c>
      <c r="R509" s="1157">
        <f t="shared" si="93"/>
        <v>0</v>
      </c>
      <c r="S509" s="1096">
        <f t="shared" si="94"/>
        <v>0</v>
      </c>
    </row>
    <row r="510" spans="1:19">
      <c r="A510" s="1104"/>
      <c r="B510" s="1105"/>
      <c r="C510" s="1097">
        <f t="shared" si="85"/>
        <v>1</v>
      </c>
      <c r="D510" s="1106"/>
      <c r="E510" s="1097">
        <f t="shared" si="86"/>
        <v>1</v>
      </c>
      <c r="F510" s="1106"/>
      <c r="G510" s="1097">
        <f t="shared" si="87"/>
        <v>1</v>
      </c>
      <c r="H510" s="1106"/>
      <c r="I510" s="1097">
        <f t="shared" si="88"/>
        <v>1</v>
      </c>
      <c r="J510" s="1106"/>
      <c r="K510" s="1097">
        <f t="shared" si="89"/>
        <v>1</v>
      </c>
      <c r="L510" s="1106"/>
      <c r="M510" s="1097">
        <f t="shared" si="90"/>
        <v>1</v>
      </c>
      <c r="N510" s="1106"/>
      <c r="O510" s="1097">
        <f t="shared" si="91"/>
        <v>1</v>
      </c>
      <c r="P510" s="1106"/>
      <c r="Q510" s="1097">
        <f t="shared" si="92"/>
        <v>1</v>
      </c>
      <c r="R510" s="1157">
        <f t="shared" si="93"/>
        <v>0</v>
      </c>
      <c r="S510" s="1096">
        <f t="shared" si="94"/>
        <v>0</v>
      </c>
    </row>
    <row r="511" spans="1:19">
      <c r="A511" s="1104"/>
      <c r="B511" s="1105"/>
      <c r="C511" s="1097">
        <f t="shared" si="85"/>
        <v>1</v>
      </c>
      <c r="D511" s="1106"/>
      <c r="E511" s="1097">
        <f t="shared" si="86"/>
        <v>1</v>
      </c>
      <c r="F511" s="1106"/>
      <c r="G511" s="1097">
        <f t="shared" si="87"/>
        <v>1</v>
      </c>
      <c r="H511" s="1106"/>
      <c r="I511" s="1097">
        <f t="shared" si="88"/>
        <v>1</v>
      </c>
      <c r="J511" s="1106"/>
      <c r="K511" s="1097">
        <f t="shared" si="89"/>
        <v>1</v>
      </c>
      <c r="L511" s="1106"/>
      <c r="M511" s="1097">
        <f t="shared" si="90"/>
        <v>1</v>
      </c>
      <c r="N511" s="1106"/>
      <c r="O511" s="1097">
        <f t="shared" si="91"/>
        <v>1</v>
      </c>
      <c r="P511" s="1106"/>
      <c r="Q511" s="1097">
        <f t="shared" si="92"/>
        <v>1</v>
      </c>
      <c r="R511" s="1157">
        <f t="shared" si="93"/>
        <v>0</v>
      </c>
      <c r="S511" s="1096">
        <f t="shared" si="94"/>
        <v>0</v>
      </c>
    </row>
    <row r="512" spans="1:19">
      <c r="A512" s="1104"/>
      <c r="B512" s="1105"/>
      <c r="C512" s="1097">
        <f t="shared" si="85"/>
        <v>1</v>
      </c>
      <c r="D512" s="1106"/>
      <c r="E512" s="1097">
        <f t="shared" si="86"/>
        <v>1</v>
      </c>
      <c r="F512" s="1106"/>
      <c r="G512" s="1097">
        <f t="shared" si="87"/>
        <v>1</v>
      </c>
      <c r="H512" s="1106"/>
      <c r="I512" s="1097">
        <f t="shared" si="88"/>
        <v>1</v>
      </c>
      <c r="J512" s="1106"/>
      <c r="K512" s="1097">
        <f t="shared" si="89"/>
        <v>1</v>
      </c>
      <c r="L512" s="1106"/>
      <c r="M512" s="1097">
        <f t="shared" si="90"/>
        <v>1</v>
      </c>
      <c r="N512" s="1106"/>
      <c r="O512" s="1097">
        <f t="shared" si="91"/>
        <v>1</v>
      </c>
      <c r="P512" s="1106"/>
      <c r="Q512" s="1097">
        <f t="shared" si="92"/>
        <v>1</v>
      </c>
      <c r="R512" s="1157">
        <f t="shared" si="93"/>
        <v>0</v>
      </c>
      <c r="S512" s="1096">
        <f t="shared" si="94"/>
        <v>0</v>
      </c>
    </row>
    <row r="513" spans="1:19">
      <c r="A513" s="1104"/>
      <c r="B513" s="1105"/>
      <c r="C513" s="1097">
        <f t="shared" si="85"/>
        <v>1</v>
      </c>
      <c r="D513" s="1106"/>
      <c r="E513" s="1097">
        <f t="shared" si="86"/>
        <v>1</v>
      </c>
      <c r="F513" s="1106"/>
      <c r="G513" s="1097">
        <f t="shared" si="87"/>
        <v>1</v>
      </c>
      <c r="H513" s="1106"/>
      <c r="I513" s="1097">
        <f t="shared" si="88"/>
        <v>1</v>
      </c>
      <c r="J513" s="1106"/>
      <c r="K513" s="1097">
        <f t="shared" si="89"/>
        <v>1</v>
      </c>
      <c r="L513" s="1106"/>
      <c r="M513" s="1097">
        <f t="shared" si="90"/>
        <v>1</v>
      </c>
      <c r="N513" s="1106"/>
      <c r="O513" s="1097">
        <f t="shared" si="91"/>
        <v>1</v>
      </c>
      <c r="P513" s="1106"/>
      <c r="Q513" s="1097">
        <f t="shared" si="92"/>
        <v>1</v>
      </c>
      <c r="R513" s="1157">
        <f t="shared" si="93"/>
        <v>0</v>
      </c>
      <c r="S513" s="1096">
        <f t="shared" si="94"/>
        <v>0</v>
      </c>
    </row>
    <row r="514" spans="1:19">
      <c r="A514" s="1104"/>
      <c r="B514" s="1105"/>
      <c r="C514" s="1097">
        <f t="shared" si="85"/>
        <v>1</v>
      </c>
      <c r="D514" s="1106"/>
      <c r="E514" s="1097">
        <f t="shared" si="86"/>
        <v>1</v>
      </c>
      <c r="F514" s="1106"/>
      <c r="G514" s="1097">
        <f t="shared" si="87"/>
        <v>1</v>
      </c>
      <c r="H514" s="1106"/>
      <c r="I514" s="1097">
        <f t="shared" si="88"/>
        <v>1</v>
      </c>
      <c r="J514" s="1106"/>
      <c r="K514" s="1097">
        <f t="shared" si="89"/>
        <v>1</v>
      </c>
      <c r="L514" s="1106"/>
      <c r="M514" s="1097">
        <f t="shared" si="90"/>
        <v>1</v>
      </c>
      <c r="N514" s="1106"/>
      <c r="O514" s="1097">
        <f t="shared" si="91"/>
        <v>1</v>
      </c>
      <c r="P514" s="1106"/>
      <c r="Q514" s="1097">
        <f t="shared" si="92"/>
        <v>1</v>
      </c>
      <c r="R514" s="1157">
        <f t="shared" si="93"/>
        <v>0</v>
      </c>
      <c r="S514" s="1096">
        <f t="shared" si="94"/>
        <v>0</v>
      </c>
    </row>
    <row r="515" spans="1:19">
      <c r="A515" s="1104"/>
      <c r="B515" s="1105"/>
      <c r="C515" s="1097">
        <f t="shared" si="85"/>
        <v>1</v>
      </c>
      <c r="D515" s="1106"/>
      <c r="E515" s="1097">
        <f t="shared" si="86"/>
        <v>1</v>
      </c>
      <c r="F515" s="1106"/>
      <c r="G515" s="1097">
        <f t="shared" si="87"/>
        <v>1</v>
      </c>
      <c r="H515" s="1106"/>
      <c r="I515" s="1097">
        <f t="shared" si="88"/>
        <v>1</v>
      </c>
      <c r="J515" s="1106"/>
      <c r="K515" s="1097">
        <f t="shared" si="89"/>
        <v>1</v>
      </c>
      <c r="L515" s="1106"/>
      <c r="M515" s="1097">
        <f t="shared" si="90"/>
        <v>1</v>
      </c>
      <c r="N515" s="1106"/>
      <c r="O515" s="1097">
        <f t="shared" si="91"/>
        <v>1</v>
      </c>
      <c r="P515" s="1106"/>
      <c r="Q515" s="1097">
        <f t="shared" si="92"/>
        <v>1</v>
      </c>
      <c r="R515" s="1157">
        <f t="shared" si="93"/>
        <v>0</v>
      </c>
      <c r="S515" s="1096">
        <f t="shared" si="94"/>
        <v>0</v>
      </c>
    </row>
    <row r="516" spans="1:19">
      <c r="A516" s="1104"/>
      <c r="B516" s="1105"/>
      <c r="C516" s="1097">
        <f t="shared" si="85"/>
        <v>1</v>
      </c>
      <c r="D516" s="1106"/>
      <c r="E516" s="1097">
        <f t="shared" si="86"/>
        <v>1</v>
      </c>
      <c r="F516" s="1106"/>
      <c r="G516" s="1097">
        <f t="shared" si="87"/>
        <v>1</v>
      </c>
      <c r="H516" s="1106"/>
      <c r="I516" s="1097">
        <f t="shared" si="88"/>
        <v>1</v>
      </c>
      <c r="J516" s="1106"/>
      <c r="K516" s="1097">
        <f t="shared" si="89"/>
        <v>1</v>
      </c>
      <c r="L516" s="1106"/>
      <c r="M516" s="1097">
        <f t="shared" si="90"/>
        <v>1</v>
      </c>
      <c r="N516" s="1106"/>
      <c r="O516" s="1097">
        <f t="shared" si="91"/>
        <v>1</v>
      </c>
      <c r="P516" s="1106"/>
      <c r="Q516" s="1097">
        <f t="shared" si="92"/>
        <v>1</v>
      </c>
      <c r="R516" s="1157">
        <f t="shared" si="93"/>
        <v>0</v>
      </c>
      <c r="S516" s="1096">
        <f t="shared" si="94"/>
        <v>0</v>
      </c>
    </row>
    <row r="517" spans="1:19">
      <c r="A517" s="1104"/>
      <c r="B517" s="1105"/>
      <c r="C517" s="1097">
        <f t="shared" si="85"/>
        <v>1</v>
      </c>
      <c r="D517" s="1106"/>
      <c r="E517" s="1097">
        <f t="shared" si="86"/>
        <v>1</v>
      </c>
      <c r="F517" s="1106"/>
      <c r="G517" s="1097">
        <f t="shared" si="87"/>
        <v>1</v>
      </c>
      <c r="H517" s="1106"/>
      <c r="I517" s="1097">
        <f t="shared" si="88"/>
        <v>1</v>
      </c>
      <c r="J517" s="1106"/>
      <c r="K517" s="1097">
        <f t="shared" si="89"/>
        <v>1</v>
      </c>
      <c r="L517" s="1106"/>
      <c r="M517" s="1097">
        <f t="shared" si="90"/>
        <v>1</v>
      </c>
      <c r="N517" s="1106"/>
      <c r="O517" s="1097">
        <f t="shared" si="91"/>
        <v>1</v>
      </c>
      <c r="P517" s="1106"/>
      <c r="Q517" s="1097">
        <f t="shared" si="92"/>
        <v>1</v>
      </c>
      <c r="R517" s="1157">
        <f t="shared" si="93"/>
        <v>0</v>
      </c>
      <c r="S517" s="1096">
        <f t="shared" si="94"/>
        <v>0</v>
      </c>
    </row>
    <row r="518" spans="1:19">
      <c r="A518" s="1104"/>
      <c r="B518" s="1105"/>
      <c r="C518" s="1097">
        <f t="shared" si="85"/>
        <v>1</v>
      </c>
      <c r="D518" s="1106"/>
      <c r="E518" s="1097">
        <f t="shared" si="86"/>
        <v>1</v>
      </c>
      <c r="F518" s="1106"/>
      <c r="G518" s="1097">
        <f t="shared" si="87"/>
        <v>1</v>
      </c>
      <c r="H518" s="1106"/>
      <c r="I518" s="1097">
        <f t="shared" si="88"/>
        <v>1</v>
      </c>
      <c r="J518" s="1106"/>
      <c r="K518" s="1097">
        <f t="shared" si="89"/>
        <v>1</v>
      </c>
      <c r="L518" s="1106"/>
      <c r="M518" s="1097">
        <f t="shared" si="90"/>
        <v>1</v>
      </c>
      <c r="N518" s="1106"/>
      <c r="O518" s="1097">
        <f t="shared" si="91"/>
        <v>1</v>
      </c>
      <c r="P518" s="1106"/>
      <c r="Q518" s="1097">
        <f t="shared" si="92"/>
        <v>1</v>
      </c>
      <c r="R518" s="1157">
        <f t="shared" si="93"/>
        <v>0</v>
      </c>
      <c r="S518" s="1096">
        <f t="shared" si="94"/>
        <v>0</v>
      </c>
    </row>
    <row r="519" spans="1:19">
      <c r="A519" s="1104"/>
      <c r="B519" s="1105"/>
      <c r="C519" s="1097">
        <f t="shared" si="85"/>
        <v>1</v>
      </c>
      <c r="D519" s="1106"/>
      <c r="E519" s="1097">
        <f t="shared" si="86"/>
        <v>1</v>
      </c>
      <c r="F519" s="1106"/>
      <c r="G519" s="1097">
        <f t="shared" si="87"/>
        <v>1</v>
      </c>
      <c r="H519" s="1106"/>
      <c r="I519" s="1097">
        <f t="shared" si="88"/>
        <v>1</v>
      </c>
      <c r="J519" s="1106"/>
      <c r="K519" s="1097">
        <f t="shared" si="89"/>
        <v>1</v>
      </c>
      <c r="L519" s="1106"/>
      <c r="M519" s="1097">
        <f t="shared" si="90"/>
        <v>1</v>
      </c>
      <c r="N519" s="1106"/>
      <c r="O519" s="1097">
        <f t="shared" si="91"/>
        <v>1</v>
      </c>
      <c r="P519" s="1106"/>
      <c r="Q519" s="1097">
        <f t="shared" si="92"/>
        <v>1</v>
      </c>
      <c r="R519" s="1157">
        <f t="shared" si="93"/>
        <v>0</v>
      </c>
      <c r="S519" s="1096">
        <f t="shared" si="94"/>
        <v>0</v>
      </c>
    </row>
    <row r="520" spans="1:19">
      <c r="A520" s="1104"/>
      <c r="B520" s="1105"/>
      <c r="C520" s="1097">
        <f t="shared" si="85"/>
        <v>1</v>
      </c>
      <c r="D520" s="1106"/>
      <c r="E520" s="1097">
        <f t="shared" si="86"/>
        <v>1</v>
      </c>
      <c r="F520" s="1106"/>
      <c r="G520" s="1097">
        <f t="shared" si="87"/>
        <v>1</v>
      </c>
      <c r="H520" s="1106"/>
      <c r="I520" s="1097">
        <f t="shared" si="88"/>
        <v>1</v>
      </c>
      <c r="J520" s="1106"/>
      <c r="K520" s="1097">
        <f t="shared" si="89"/>
        <v>1</v>
      </c>
      <c r="L520" s="1106"/>
      <c r="M520" s="1097">
        <f t="shared" si="90"/>
        <v>1</v>
      </c>
      <c r="N520" s="1106"/>
      <c r="O520" s="1097">
        <f t="shared" si="91"/>
        <v>1</v>
      </c>
      <c r="P520" s="1106"/>
      <c r="Q520" s="1097">
        <f t="shared" si="92"/>
        <v>1</v>
      </c>
      <c r="R520" s="1157">
        <f t="shared" si="93"/>
        <v>0</v>
      </c>
      <c r="S520" s="1096">
        <f t="shared" si="94"/>
        <v>0</v>
      </c>
    </row>
    <row r="521" spans="1:19">
      <c r="A521" s="1104"/>
      <c r="B521" s="1105"/>
      <c r="C521" s="1097">
        <f t="shared" si="85"/>
        <v>1</v>
      </c>
      <c r="D521" s="1106"/>
      <c r="E521" s="1097">
        <f t="shared" si="86"/>
        <v>1</v>
      </c>
      <c r="F521" s="1106"/>
      <c r="G521" s="1097">
        <f t="shared" si="87"/>
        <v>1</v>
      </c>
      <c r="H521" s="1106"/>
      <c r="I521" s="1097">
        <f t="shared" si="88"/>
        <v>1</v>
      </c>
      <c r="J521" s="1106"/>
      <c r="K521" s="1097">
        <f t="shared" si="89"/>
        <v>1</v>
      </c>
      <c r="L521" s="1106"/>
      <c r="M521" s="1097">
        <f t="shared" si="90"/>
        <v>1</v>
      </c>
      <c r="N521" s="1106"/>
      <c r="O521" s="1097">
        <f t="shared" si="91"/>
        <v>1</v>
      </c>
      <c r="P521" s="1106"/>
      <c r="Q521" s="1097">
        <f t="shared" si="92"/>
        <v>1</v>
      </c>
      <c r="R521" s="1157">
        <f t="shared" si="93"/>
        <v>0</v>
      </c>
      <c r="S521" s="1096">
        <f t="shared" si="94"/>
        <v>0</v>
      </c>
    </row>
    <row r="522" spans="1:19">
      <c r="A522" s="1104"/>
      <c r="B522" s="1105"/>
      <c r="C522" s="1097">
        <f t="shared" si="85"/>
        <v>1</v>
      </c>
      <c r="D522" s="1106"/>
      <c r="E522" s="1097">
        <f t="shared" si="86"/>
        <v>1</v>
      </c>
      <c r="F522" s="1106"/>
      <c r="G522" s="1097">
        <f t="shared" si="87"/>
        <v>1</v>
      </c>
      <c r="H522" s="1106"/>
      <c r="I522" s="1097">
        <f t="shared" si="88"/>
        <v>1</v>
      </c>
      <c r="J522" s="1106"/>
      <c r="K522" s="1097">
        <f t="shared" si="89"/>
        <v>1</v>
      </c>
      <c r="L522" s="1106"/>
      <c r="M522" s="1097">
        <f t="shared" si="90"/>
        <v>1</v>
      </c>
      <c r="N522" s="1106"/>
      <c r="O522" s="1097">
        <f t="shared" si="91"/>
        <v>1</v>
      </c>
      <c r="P522" s="1106"/>
      <c r="Q522" s="1097">
        <f t="shared" si="92"/>
        <v>1</v>
      </c>
      <c r="R522" s="1157">
        <f t="shared" si="93"/>
        <v>0</v>
      </c>
      <c r="S522" s="1096">
        <f t="shared" si="94"/>
        <v>0</v>
      </c>
    </row>
    <row r="523" spans="1:19">
      <c r="A523" s="1104"/>
      <c r="B523" s="1105"/>
      <c r="C523" s="1097">
        <f t="shared" si="85"/>
        <v>1</v>
      </c>
      <c r="D523" s="1106"/>
      <c r="E523" s="1097">
        <f t="shared" si="86"/>
        <v>1</v>
      </c>
      <c r="F523" s="1106"/>
      <c r="G523" s="1097">
        <f t="shared" si="87"/>
        <v>1</v>
      </c>
      <c r="H523" s="1106"/>
      <c r="I523" s="1097">
        <f t="shared" si="88"/>
        <v>1</v>
      </c>
      <c r="J523" s="1106"/>
      <c r="K523" s="1097">
        <f t="shared" si="89"/>
        <v>1</v>
      </c>
      <c r="L523" s="1106"/>
      <c r="M523" s="1097">
        <f t="shared" si="90"/>
        <v>1</v>
      </c>
      <c r="N523" s="1106"/>
      <c r="O523" s="1097">
        <f t="shared" si="91"/>
        <v>1</v>
      </c>
      <c r="P523" s="1106"/>
      <c r="Q523" s="1097">
        <f t="shared" si="92"/>
        <v>1</v>
      </c>
      <c r="R523" s="1157">
        <f t="shared" si="93"/>
        <v>0</v>
      </c>
      <c r="S523" s="1096">
        <f t="shared" si="94"/>
        <v>0</v>
      </c>
    </row>
    <row r="524" spans="1:19">
      <c r="A524" s="1104"/>
      <c r="B524" s="1105"/>
      <c r="C524" s="1097">
        <f t="shared" si="85"/>
        <v>1</v>
      </c>
      <c r="D524" s="1106"/>
      <c r="E524" s="1097">
        <f t="shared" si="86"/>
        <v>1</v>
      </c>
      <c r="F524" s="1106"/>
      <c r="G524" s="1097">
        <f t="shared" si="87"/>
        <v>1</v>
      </c>
      <c r="H524" s="1106"/>
      <c r="I524" s="1097">
        <f t="shared" si="88"/>
        <v>1</v>
      </c>
      <c r="J524" s="1106"/>
      <c r="K524" s="1097">
        <f t="shared" si="89"/>
        <v>1</v>
      </c>
      <c r="L524" s="1106"/>
      <c r="M524" s="1097">
        <f t="shared" si="90"/>
        <v>1</v>
      </c>
      <c r="N524" s="1106"/>
      <c r="O524" s="1097">
        <f t="shared" si="91"/>
        <v>1</v>
      </c>
      <c r="P524" s="1106"/>
      <c r="Q524" s="1097">
        <f t="shared" si="92"/>
        <v>1</v>
      </c>
      <c r="R524" s="1157">
        <f t="shared" si="93"/>
        <v>0</v>
      </c>
      <c r="S524" s="109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3.8"/>
  <cols>
    <col min="1" max="1" width="23.3333333333333" style="1021" customWidth="1"/>
    <col min="2" max="2" width="12.4444444444444" style="1021" customWidth="1"/>
    <col min="3" max="3" width="12.1111111111111" style="1021" customWidth="1"/>
    <col min="4" max="4" width="14.1111111111111" style="1021" customWidth="1"/>
    <col min="5" max="5" width="12.4444444444444" style="1021" customWidth="1"/>
    <col min="6" max="16384" width="9" style="1021"/>
  </cols>
  <sheetData>
    <row r="1" ht="20.4" spans="1:16">
      <c r="A1" s="1022" t="s">
        <v>1699</v>
      </c>
      <c r="B1" s="1023"/>
      <c r="C1" s="1023"/>
      <c r="D1" s="1023"/>
      <c r="E1" s="1023"/>
      <c r="F1" s="1024"/>
      <c r="G1" s="1024"/>
      <c r="H1" s="1024"/>
      <c r="I1" s="1024"/>
      <c r="J1" s="1024"/>
      <c r="K1" s="1024"/>
      <c r="L1" s="1024"/>
      <c r="M1" s="1024"/>
      <c r="N1" s="1024"/>
      <c r="O1" s="1024"/>
      <c r="P1" s="1024"/>
    </row>
    <row r="2" ht="15.6" spans="1:16">
      <c r="A2" s="1025" t="s">
        <v>97</v>
      </c>
      <c r="B2" s="1026">
        <f ca="1">SUMIF(B6:B13,"&lt;&gt;#ref!",B6:B13)</f>
        <v>9553</v>
      </c>
      <c r="C2" s="1025" t="s">
        <v>1700</v>
      </c>
      <c r="D2" s="1025" t="s">
        <v>1701</v>
      </c>
      <c r="E2" s="1027">
        <f ca="1">SUMIF(E6:E13,"&lt;&gt;#ref!",E6:E13)</f>
        <v>10109.15</v>
      </c>
      <c r="F2" s="1024"/>
      <c r="G2" s="1024"/>
      <c r="H2" s="1024"/>
      <c r="I2" s="1024"/>
      <c r="J2" s="1024"/>
      <c r="K2" s="1024"/>
      <c r="L2" s="1024"/>
      <c r="M2" s="1024"/>
      <c r="N2" s="1024"/>
      <c r="O2" s="1024"/>
      <c r="P2" s="1024"/>
    </row>
    <row r="3" ht="15.6" spans="1:16">
      <c r="A3" s="1025" t="s">
        <v>1702</v>
      </c>
      <c r="B3" s="1026">
        <f ca="1">ROUND(B2*10000/E2,0)</f>
        <v>9450</v>
      </c>
      <c r="C3" s="1025" t="s">
        <v>1703</v>
      </c>
      <c r="D3" s="1024"/>
      <c r="E3" s="1024"/>
      <c r="F3" s="1024"/>
      <c r="G3" s="1024"/>
      <c r="H3" s="1024"/>
      <c r="I3" s="1024"/>
      <c r="J3" s="1024"/>
      <c r="K3" s="1024"/>
      <c r="L3" s="1024"/>
      <c r="M3" s="1024"/>
      <c r="N3" s="1024"/>
      <c r="O3" s="1024"/>
      <c r="P3" s="1024"/>
    </row>
    <row r="4" ht="15.6" spans="1:16">
      <c r="A4" s="1028"/>
      <c r="B4" s="1024"/>
      <c r="C4" s="1024"/>
      <c r="D4" s="1024"/>
      <c r="E4" s="1024"/>
      <c r="F4" s="1024"/>
      <c r="G4" s="1024"/>
      <c r="H4" s="1024"/>
      <c r="I4" s="1024"/>
      <c r="J4" s="1024"/>
      <c r="K4" s="1024"/>
      <c r="L4" s="1024"/>
      <c r="M4" s="1024"/>
      <c r="N4" s="1024"/>
      <c r="O4" s="1024"/>
      <c r="P4" s="1024"/>
    </row>
    <row r="5" ht="31.2" spans="1:16">
      <c r="A5" s="1029" t="s">
        <v>1704</v>
      </c>
      <c r="B5" s="1030" t="s">
        <v>1705</v>
      </c>
      <c r="C5" s="1031"/>
      <c r="D5" s="1024"/>
      <c r="E5" s="1032" t="s">
        <v>1706</v>
      </c>
      <c r="F5" s="1024"/>
      <c r="G5" s="1024"/>
      <c r="H5" s="1024"/>
      <c r="I5" s="1024"/>
      <c r="J5" s="1024"/>
      <c r="K5" s="1024"/>
      <c r="L5" s="1024"/>
      <c r="M5" s="1024"/>
      <c r="N5" s="1024"/>
      <c r="O5" s="1024"/>
      <c r="P5" s="1024"/>
    </row>
    <row r="6" ht="15.6" spans="1:16">
      <c r="A6" s="1033" t="s">
        <v>1707</v>
      </c>
      <c r="B6" s="1026">
        <f ca="1">SUMIF(INDIRECT("'"&amp;A6&amp;"'"&amp;"!A:A"),"总价",INDIRECT("'"&amp;A6&amp;"'"&amp;"!B:B"))</f>
        <v>9553</v>
      </c>
      <c r="C6" s="1025" t="s">
        <v>1700</v>
      </c>
      <c r="D6" s="1024"/>
      <c r="E6" s="1027">
        <f ca="1">SUMIF(INDIRECT("'"&amp;A6&amp;"'"&amp;"!C:C"),"建筑面积",INDIRECT("'"&amp;A6&amp;"'"&amp;"!D:D"))</f>
        <v>10109.15</v>
      </c>
      <c r="F6" s="1024"/>
      <c r="G6" s="1024"/>
      <c r="H6" s="1024"/>
      <c r="I6" s="1024"/>
      <c r="J6" s="1024"/>
      <c r="K6" s="1024"/>
      <c r="L6" s="1024"/>
      <c r="M6" s="1024"/>
      <c r="N6" s="1024"/>
      <c r="O6" s="1024"/>
      <c r="P6" s="1024"/>
    </row>
    <row r="7" ht="15.6" spans="1:16">
      <c r="A7" s="1033"/>
      <c r="B7" s="1026" t="e">
        <f ca="1">SUMIF(INDIRECT("'"&amp;A7&amp;"'"&amp;"!A:A"),"总价",INDIRECT("'"&amp;A7&amp;"'"&amp;"!B:B"))</f>
        <v>#REF!</v>
      </c>
      <c r="C7" s="1025" t="s">
        <v>1700</v>
      </c>
      <c r="D7" s="1024"/>
      <c r="E7" s="1027" t="e">
        <f ca="1" t="shared" ref="E7:E13" si="0">SUMIF(INDIRECT("'"&amp;A7&amp;"'"&amp;"!C:C"),"建筑面积",INDIRECT("'"&amp;A7&amp;"'"&amp;"!D:D"))</f>
        <v>#REF!</v>
      </c>
      <c r="F7" s="1024"/>
      <c r="G7" s="1024"/>
      <c r="H7" s="1024"/>
      <c r="I7" s="1024"/>
      <c r="J7" s="1024"/>
      <c r="K7" s="1024"/>
      <c r="L7" s="1024"/>
      <c r="M7" s="1024"/>
      <c r="N7" s="1024"/>
      <c r="O7" s="1024"/>
      <c r="P7" s="1024"/>
    </row>
    <row r="8" ht="15.6" spans="1:16">
      <c r="A8" s="1033"/>
      <c r="B8" s="1026" t="e">
        <f ca="1" t="shared" ref="B8:B13" si="1">SUMIF(INDIRECT("'"&amp;A8&amp;"'"&amp;"!A:A"),"总价",INDIRECT("'"&amp;A8&amp;"'"&amp;"!B:B"))</f>
        <v>#REF!</v>
      </c>
      <c r="C8" s="1025" t="s">
        <v>1700</v>
      </c>
      <c r="D8" s="1024"/>
      <c r="E8" s="1027" t="e">
        <f ca="1" t="shared" si="0"/>
        <v>#REF!</v>
      </c>
      <c r="F8" s="1024"/>
      <c r="G8" s="1024"/>
      <c r="H8" s="1024"/>
      <c r="I8" s="1024"/>
      <c r="J8" s="1024"/>
      <c r="K8" s="1024"/>
      <c r="L8" s="1024"/>
      <c r="M8" s="1024"/>
      <c r="N8" s="1024"/>
      <c r="O8" s="1024"/>
      <c r="P8" s="1024"/>
    </row>
    <row r="9" ht="15.6" spans="1:16">
      <c r="A9" s="1033"/>
      <c r="B9" s="1026" t="e">
        <f ca="1" t="shared" si="1"/>
        <v>#REF!</v>
      </c>
      <c r="C9" s="1025" t="s">
        <v>1700</v>
      </c>
      <c r="D9" s="1024"/>
      <c r="E9" s="1027" t="e">
        <f ca="1" t="shared" si="0"/>
        <v>#REF!</v>
      </c>
      <c r="F9" s="1024"/>
      <c r="G9" s="1024"/>
      <c r="H9" s="1024"/>
      <c r="I9" s="1024"/>
      <c r="J9" s="1024"/>
      <c r="K9" s="1024"/>
      <c r="L9" s="1024"/>
      <c r="M9" s="1024"/>
      <c r="N9" s="1024"/>
      <c r="O9" s="1024"/>
      <c r="P9" s="1024"/>
    </row>
    <row r="10" ht="15.6" spans="1:16">
      <c r="A10" s="1033"/>
      <c r="B10" s="1026" t="e">
        <f ca="1" t="shared" si="1"/>
        <v>#REF!</v>
      </c>
      <c r="C10" s="1025" t="s">
        <v>1700</v>
      </c>
      <c r="D10" s="1024"/>
      <c r="E10" s="1027" t="e">
        <f ca="1" t="shared" si="0"/>
        <v>#REF!</v>
      </c>
      <c r="F10" s="1024"/>
      <c r="G10" s="1024"/>
      <c r="H10" s="1024"/>
      <c r="I10" s="1024"/>
      <c r="J10" s="1024"/>
      <c r="K10" s="1024"/>
      <c r="L10" s="1024"/>
      <c r="M10" s="1024"/>
      <c r="N10" s="1024"/>
      <c r="O10" s="1024"/>
      <c r="P10" s="1024"/>
    </row>
    <row r="11" ht="15.6" spans="1:16">
      <c r="A11" s="1033"/>
      <c r="B11" s="1026" t="e">
        <f ca="1" t="shared" si="1"/>
        <v>#REF!</v>
      </c>
      <c r="C11" s="1025" t="s">
        <v>1700</v>
      </c>
      <c r="D11" s="1024"/>
      <c r="E11" s="1027" t="e">
        <f ca="1" t="shared" si="0"/>
        <v>#REF!</v>
      </c>
      <c r="F11" s="1024"/>
      <c r="G11" s="1024"/>
      <c r="H11" s="1024"/>
      <c r="I11" s="1024"/>
      <c r="J11" s="1024"/>
      <c r="K11" s="1024"/>
      <c r="L11" s="1024"/>
      <c r="M11" s="1024"/>
      <c r="N11" s="1024"/>
      <c r="O11" s="1024"/>
      <c r="P11" s="1024"/>
    </row>
    <row r="12" ht="15.6" spans="1:16">
      <c r="A12" s="1033"/>
      <c r="B12" s="1026" t="e">
        <f ca="1" t="shared" si="1"/>
        <v>#REF!</v>
      </c>
      <c r="C12" s="1025" t="s">
        <v>1700</v>
      </c>
      <c r="D12" s="1024"/>
      <c r="E12" s="1027" t="e">
        <f ca="1" t="shared" si="0"/>
        <v>#REF!</v>
      </c>
      <c r="F12" s="1024"/>
      <c r="G12" s="1024"/>
      <c r="H12" s="1024"/>
      <c r="I12" s="1024"/>
      <c r="J12" s="1024"/>
      <c r="K12" s="1024"/>
      <c r="L12" s="1024"/>
      <c r="M12" s="1024"/>
      <c r="N12" s="1024"/>
      <c r="O12" s="1024"/>
      <c r="P12" s="1024"/>
    </row>
    <row r="13" ht="15.6" spans="1:16">
      <c r="A13" s="1033"/>
      <c r="B13" s="1026" t="e">
        <f ca="1" t="shared" si="1"/>
        <v>#REF!</v>
      </c>
      <c r="C13" s="1025" t="s">
        <v>1700</v>
      </c>
      <c r="D13" s="1024"/>
      <c r="E13" s="1027" t="e">
        <f ca="1" t="shared" si="0"/>
        <v>#REF!</v>
      </c>
      <c r="F13" s="1024"/>
      <c r="G13" s="1024"/>
      <c r="H13" s="1024"/>
      <c r="I13" s="1024"/>
      <c r="J13" s="1024"/>
      <c r="K13" s="1024"/>
      <c r="L13" s="1024"/>
      <c r="M13" s="1024"/>
      <c r="N13" s="1024"/>
      <c r="O13" s="1024"/>
      <c r="P13" s="1024"/>
    </row>
    <row r="14" spans="1:16">
      <c r="A14" s="1024"/>
      <c r="B14" s="1024"/>
      <c r="C14" s="1024"/>
      <c r="D14" s="1024"/>
      <c r="E14" s="1024"/>
      <c r="F14" s="1024"/>
      <c r="G14" s="1024"/>
      <c r="H14" s="1024"/>
      <c r="I14" s="1024"/>
      <c r="J14" s="1024"/>
      <c r="K14" s="1024"/>
      <c r="L14" s="1024"/>
      <c r="M14" s="1024"/>
      <c r="N14" s="1024"/>
      <c r="O14" s="1024"/>
      <c r="P14" s="1024"/>
    </row>
    <row r="15" spans="1:16">
      <c r="A15" s="1024"/>
      <c r="B15" s="1024"/>
      <c r="C15" s="1024"/>
      <c r="D15" s="1024"/>
      <c r="E15" s="1024"/>
      <c r="F15" s="1024"/>
      <c r="G15" s="1024"/>
      <c r="H15" s="1024"/>
      <c r="I15" s="1024"/>
      <c r="J15" s="1024"/>
      <c r="K15" s="1024"/>
      <c r="L15" s="1024"/>
      <c r="M15" s="1024"/>
      <c r="N15" s="1024"/>
      <c r="O15" s="1024"/>
      <c r="P15" s="1024"/>
    </row>
    <row r="16" spans="1:16">
      <c r="A16" s="1024"/>
      <c r="B16" s="1024"/>
      <c r="C16" s="1024"/>
      <c r="D16" s="1024"/>
      <c r="E16" s="1024"/>
      <c r="F16" s="1024"/>
      <c r="G16" s="1024"/>
      <c r="H16" s="1024"/>
      <c r="I16" s="1024"/>
      <c r="J16" s="1024"/>
      <c r="K16" s="1024"/>
      <c r="L16" s="1024"/>
      <c r="M16" s="1024"/>
      <c r="N16" s="1024"/>
      <c r="O16" s="1024"/>
      <c r="P16" s="1024"/>
    </row>
    <row r="17" spans="1:16">
      <c r="A17" s="1024"/>
      <c r="B17" s="1024"/>
      <c r="C17" s="1024"/>
      <c r="D17" s="1024"/>
      <c r="E17" s="1024"/>
      <c r="F17" s="1024"/>
      <c r="G17" s="1024"/>
      <c r="H17" s="1024"/>
      <c r="I17" s="1024"/>
      <c r="J17" s="1024"/>
      <c r="K17" s="1024"/>
      <c r="L17" s="1024"/>
      <c r="M17" s="1024"/>
      <c r="N17" s="1024"/>
      <c r="O17" s="1024"/>
      <c r="P17" s="1024"/>
    </row>
    <row r="18" spans="1:16">
      <c r="A18" s="1024"/>
      <c r="B18" s="1024"/>
      <c r="C18" s="1024"/>
      <c r="D18" s="1024"/>
      <c r="E18" s="1024"/>
      <c r="F18" s="1024"/>
      <c r="G18" s="1024"/>
      <c r="H18" s="1024"/>
      <c r="I18" s="1024"/>
      <c r="J18" s="1024"/>
      <c r="K18" s="1024"/>
      <c r="L18" s="1024"/>
      <c r="M18" s="1024"/>
      <c r="N18" s="1024"/>
      <c r="O18" s="1024"/>
      <c r="P18" s="1024"/>
    </row>
    <row r="19" spans="1:16">
      <c r="A19" s="1024"/>
      <c r="B19" s="1024"/>
      <c r="C19" s="1024"/>
      <c r="D19" s="1024"/>
      <c r="E19" s="1024"/>
      <c r="F19" s="1024"/>
      <c r="G19" s="1024"/>
      <c r="H19" s="1024"/>
      <c r="I19" s="1024"/>
      <c r="J19" s="1024"/>
      <c r="K19" s="1024"/>
      <c r="L19" s="1024"/>
      <c r="M19" s="1024"/>
      <c r="N19" s="1024"/>
      <c r="O19" s="1024"/>
      <c r="P19" s="1024"/>
    </row>
    <row r="20" spans="1:16">
      <c r="A20" s="1024"/>
      <c r="B20" s="1024"/>
      <c r="C20" s="1024"/>
      <c r="D20" s="1024"/>
      <c r="E20" s="1024"/>
      <c r="F20" s="1024"/>
      <c r="G20" s="1024"/>
      <c r="H20" s="1024"/>
      <c r="I20" s="1024"/>
      <c r="J20" s="1024"/>
      <c r="K20" s="1024"/>
      <c r="L20" s="1024"/>
      <c r="M20" s="1024"/>
      <c r="N20" s="1024"/>
      <c r="O20" s="1024"/>
      <c r="P20" s="1024"/>
    </row>
    <row r="21" spans="1:16">
      <c r="A21" s="1024"/>
      <c r="B21" s="1024"/>
      <c r="C21" s="1024"/>
      <c r="D21" s="1024"/>
      <c r="E21" s="1024"/>
      <c r="F21" s="1024"/>
      <c r="G21" s="1024"/>
      <c r="H21" s="1024"/>
      <c r="I21" s="1024"/>
      <c r="J21" s="1024"/>
      <c r="K21" s="1024"/>
      <c r="L21" s="1024"/>
      <c r="M21" s="1024"/>
      <c r="N21" s="1024"/>
      <c r="O21" s="1024"/>
      <c r="P21" s="102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21" workbookViewId="0">
      <selection activeCell="C33" sqref="C33"/>
    </sheetView>
  </sheetViews>
  <sheetFormatPr defaultColWidth="12" defaultRowHeight="13.2"/>
  <cols>
    <col min="1" max="1" width="9.77777777777778" style="619" customWidth="1"/>
    <col min="2" max="2" width="22.5555555555556" style="620" customWidth="1"/>
    <col min="3" max="3" width="12" style="621"/>
    <col min="4" max="4" width="14.8888888888889" style="621" customWidth="1"/>
    <col min="5" max="5" width="14.6666666666667" style="621" customWidth="1"/>
    <col min="6" max="8" width="12" style="621"/>
    <col min="9" max="9" width="12.2222222222222" style="621" customWidth="1"/>
    <col min="10" max="10" width="12" style="621"/>
    <col min="11" max="11" width="8.11111111111111" style="622" customWidth="1"/>
    <col min="12" max="12" width="19.4444444444444" style="621" customWidth="1"/>
    <col min="13" max="13" width="8.44444444444444" style="621" customWidth="1"/>
    <col min="14" max="14" width="9.77777777777778" style="621" customWidth="1"/>
    <col min="15" max="25" width="12" style="621"/>
    <col min="26" max="26" width="9.33333333333333" style="619" customWidth="1"/>
    <col min="27" max="32" width="9.33333333333333" style="623" customWidth="1"/>
    <col min="33" max="36" width="9.33333333333333" style="619" customWidth="1"/>
    <col min="37" max="38" width="9.33333333333333" style="621" customWidth="1"/>
    <col min="39" max="16384" width="12" style="621"/>
  </cols>
  <sheetData>
    <row r="1" ht="31.2" spans="1:36">
      <c r="A1" s="390" t="s">
        <v>1708</v>
      </c>
      <c r="B1" s="391"/>
      <c r="C1" s="394" t="s">
        <v>1474</v>
      </c>
      <c r="D1" s="624">
        <f>SUM(D33:D34,D37:D42)</f>
        <v>10109.15</v>
      </c>
      <c r="E1" s="625"/>
      <c r="F1" s="625"/>
      <c r="G1" s="625"/>
      <c r="H1" s="625"/>
      <c r="I1" s="625"/>
      <c r="J1" s="625"/>
      <c r="K1" s="617"/>
      <c r="L1" s="837" t="s">
        <v>1709</v>
      </c>
      <c r="M1" s="838">
        <f>SUMPRODUCT((区片价!B5:B9=I2)*(区片价!C3:G3=E2)*(区片价!C5:G9))</f>
        <v>0</v>
      </c>
      <c r="N1" s="839">
        <f>SUMPRODUCT((因素修正幅度!B5:B9=I2)*(因素修正幅度!C3:G3=E2)*(因素修正幅度!C5:G9))</f>
        <v>0</v>
      </c>
      <c r="O1" s="618"/>
      <c r="P1" s="618"/>
      <c r="Q1" s="617"/>
      <c r="R1" s="932" t="s">
        <v>1710</v>
      </c>
      <c r="S1" s="932" t="s">
        <v>1711</v>
      </c>
      <c r="T1" s="932" t="s">
        <v>1712</v>
      </c>
      <c r="U1" s="932" t="s">
        <v>1713</v>
      </c>
      <c r="V1" s="932" t="s">
        <v>1714</v>
      </c>
      <c r="W1" s="933"/>
      <c r="X1" s="933"/>
      <c r="Y1" s="933"/>
      <c r="Z1" s="933"/>
      <c r="AA1" s="933"/>
      <c r="AB1" s="933"/>
      <c r="AC1" s="946"/>
      <c r="AD1" s="947"/>
      <c r="AE1" s="947"/>
      <c r="AF1" s="947"/>
      <c r="AG1" s="947"/>
      <c r="AH1" s="947"/>
      <c r="AI1" s="947"/>
      <c r="AJ1" s="956"/>
    </row>
    <row r="2" ht="15.6" spans="1:36">
      <c r="A2" s="394" t="s">
        <v>989</v>
      </c>
      <c r="B2" s="398">
        <f>C30</f>
        <v>9553</v>
      </c>
      <c r="C2" s="626" t="s">
        <v>990</v>
      </c>
      <c r="D2" s="627" t="s">
        <v>1715</v>
      </c>
      <c r="E2" s="628" t="s">
        <v>549</v>
      </c>
      <c r="F2" s="627" t="s">
        <v>1716</v>
      </c>
      <c r="G2" s="629" t="str">
        <f>IF(E2="商业",项目基本情况!B37,IF(E2="办公",项目基本情况!C37,IF(E2="住宅",项目基本情况!D37,IF(E2="工业",项目基本情况!E37,项目基本情况!F37))))</f>
        <v>五级</v>
      </c>
      <c r="H2" s="627" t="s">
        <v>1717</v>
      </c>
      <c r="I2" s="629" t="str">
        <f>IF(E2="商业",项目基本情况!B38,IF(E2="办公",项目基本情况!C38,IF(E2="住宅",项目基本情况!D38,IF(E2="工业",项目基本情况!E38,项目基本情况!F38))))</f>
        <v>Ⅴ-20</v>
      </c>
      <c r="J2" s="840"/>
      <c r="K2" s="617"/>
      <c r="L2" s="841" t="s">
        <v>1718</v>
      </c>
      <c r="M2" s="842">
        <f>SUMPRODUCT((区片价!B10:B29=I2)*(区片价!C3:G3=E2)*(区片价!C10:G29))</f>
        <v>0</v>
      </c>
      <c r="N2" s="839">
        <f>SUMPRODUCT((因素修正幅度!B10:B29=I2)*(因素修正幅度!C3:G3=E2)*(因素修正幅度!C10:G29))</f>
        <v>0</v>
      </c>
      <c r="O2" s="617"/>
      <c r="P2" s="617"/>
      <c r="Q2" s="617"/>
      <c r="R2" s="932">
        <v>1</v>
      </c>
      <c r="S2" s="934">
        <f>ROUND(SUMPRODUCT((B106:B110=R2)*(C105:N105=G2)*(C106:N110)),4)</f>
        <v>1.5019</v>
      </c>
      <c r="T2" s="934">
        <f t="shared" ref="T2:T16" si="0">ROUND($C$5*$C$22*$C$23*$C$24*S2*$C$28,0)</f>
        <v>14871</v>
      </c>
      <c r="U2" s="935"/>
      <c r="V2" s="934">
        <f>ROUND(T2*U2/10000,0)</f>
        <v>0</v>
      </c>
      <c r="W2" s="933"/>
      <c r="X2" s="933"/>
      <c r="Y2" s="933"/>
      <c r="Z2" s="933"/>
      <c r="AA2" s="933"/>
      <c r="AB2" s="933"/>
      <c r="AC2" s="946"/>
      <c r="AD2" s="947"/>
      <c r="AE2" s="947"/>
      <c r="AF2" s="947"/>
      <c r="AG2" s="947"/>
      <c r="AH2" s="947"/>
      <c r="AI2" s="947"/>
      <c r="AJ2" s="956"/>
    </row>
    <row r="3" ht="15.6" spans="1:36">
      <c r="A3" s="397" t="s">
        <v>991</v>
      </c>
      <c r="B3" s="398">
        <f>ROUND(B2*10000/D1,0)</f>
        <v>9450</v>
      </c>
      <c r="C3" s="626" t="s">
        <v>992</v>
      </c>
      <c r="D3" s="627" t="s">
        <v>1719</v>
      </c>
      <c r="E3" s="630" t="s">
        <v>1720</v>
      </c>
      <c r="F3" s="631" t="s">
        <v>1721</v>
      </c>
      <c r="G3" s="632">
        <f>IF(F3="宗地容积率",'数据-汇总表'!I4,IF(F3="估价对象容积率",'数据-汇总表'!I6,'数据-汇总表'!I7))</f>
        <v>3.15</v>
      </c>
      <c r="H3" s="633" t="s">
        <v>1722</v>
      </c>
      <c r="I3" s="843"/>
      <c r="J3" s="840" t="s">
        <v>1723</v>
      </c>
      <c r="K3" s="617"/>
      <c r="L3" s="841" t="s">
        <v>1724</v>
      </c>
      <c r="M3" s="842">
        <f>SUMPRODUCT((区片价!B30:B54=I2)*(区片价!C3:G3=E2)*(区片价!C30:G54))</f>
        <v>0</v>
      </c>
      <c r="N3" s="839">
        <f>SUMPRODUCT((因素修正幅度!B30:B54=I2)*(因素修正幅度!C3:G3=E2)*(因素修正幅度!C30:G54))</f>
        <v>0</v>
      </c>
      <c r="O3" s="617"/>
      <c r="P3" s="617"/>
      <c r="Q3" s="617"/>
      <c r="R3" s="932">
        <v>2</v>
      </c>
      <c r="S3" s="934">
        <f>ROUND(SUMPRODUCT((B106:B110=R3)*(C105:N105=G2)*(C106:N110)),4)</f>
        <v>1.1838</v>
      </c>
      <c r="T3" s="934">
        <f t="shared" si="0"/>
        <v>11721</v>
      </c>
      <c r="U3" s="935"/>
      <c r="V3" s="934">
        <f t="shared" ref="V3:V16" si="1">ROUND(T3*U3/10000,0)</f>
        <v>0</v>
      </c>
      <c r="W3" s="933"/>
      <c r="X3" s="933"/>
      <c r="Y3" s="933"/>
      <c r="Z3" s="933"/>
      <c r="AA3" s="933"/>
      <c r="AB3" s="933"/>
      <c r="AC3" s="946"/>
      <c r="AD3" s="947"/>
      <c r="AE3" s="947"/>
      <c r="AF3" s="947"/>
      <c r="AG3" s="947"/>
      <c r="AH3" s="947"/>
      <c r="AI3" s="947"/>
      <c r="AJ3" s="956"/>
    </row>
    <row r="4" ht="15.6" spans="1:36">
      <c r="A4" s="634"/>
      <c r="B4" s="635"/>
      <c r="C4" s="635"/>
      <c r="D4" s="636"/>
      <c r="E4" s="636"/>
      <c r="F4" s="636"/>
      <c r="G4" s="636"/>
      <c r="H4" s="636"/>
      <c r="I4" s="636"/>
      <c r="J4" s="844"/>
      <c r="K4" s="617"/>
      <c r="L4" s="841" t="s">
        <v>1725</v>
      </c>
      <c r="M4" s="842">
        <f>SUMPRODUCT((区片价!B55:B86=I2)*(区片价!C3:G3=E2)*(区片价!C55:G86))</f>
        <v>0</v>
      </c>
      <c r="N4" s="839">
        <f>SUMPRODUCT((因素修正幅度!B55:B86=I2)*(因素修正幅度!C3:G3=E2)*(因素修正幅度!C55:G86))</f>
        <v>0</v>
      </c>
      <c r="O4" s="617"/>
      <c r="P4" s="617"/>
      <c r="Q4" s="617"/>
      <c r="R4" s="932">
        <v>3</v>
      </c>
      <c r="S4" s="934">
        <f>ROUND(SUMPRODUCT((B106:B110=R4)*(C105:N105=G2)*(C106:N110)),4)</f>
        <v>1.0005</v>
      </c>
      <c r="T4" s="934">
        <f t="shared" si="0"/>
        <v>9906</v>
      </c>
      <c r="U4" s="935"/>
      <c r="V4" s="934">
        <f t="shared" si="1"/>
        <v>0</v>
      </c>
      <c r="W4" s="933"/>
      <c r="X4" s="933"/>
      <c r="Y4" s="933"/>
      <c r="Z4" s="933"/>
      <c r="AA4" s="933"/>
      <c r="AB4" s="933"/>
      <c r="AC4" s="946"/>
      <c r="AD4" s="947"/>
      <c r="AE4" s="947"/>
      <c r="AF4" s="947"/>
      <c r="AG4" s="947"/>
      <c r="AH4" s="947"/>
      <c r="AI4" s="947"/>
      <c r="AJ4" s="956"/>
    </row>
    <row r="5" s="616" customFormat="1" ht="15.75" spans="1:36">
      <c r="A5" s="637" t="s">
        <v>895</v>
      </c>
      <c r="B5" s="638" t="s">
        <v>1726</v>
      </c>
      <c r="C5" s="639">
        <f>ROUND(IF(E2="商业",C6*C7*C17+C20,(IF(E2="住宅",C6*C13*C17+C20,IF(E2="办公",C6*C12*C17+C20,C6+C20)))),0)</f>
        <v>12930</v>
      </c>
      <c r="D5" s="640">
        <f>ROUND(C6*C17+C20,0)</f>
        <v>12930</v>
      </c>
      <c r="E5" s="640"/>
      <c r="F5" s="641"/>
      <c r="G5" s="642"/>
      <c r="H5" s="642"/>
      <c r="I5" s="642"/>
      <c r="J5" s="845"/>
      <c r="K5" s="846"/>
      <c r="L5" s="841" t="s">
        <v>1727</v>
      </c>
      <c r="M5" s="842">
        <f>SUMPRODUCT((区片价!B87:B126=I2)*(区片价!C3:G3=E2)*(区片价!C87:G126))</f>
        <v>12930</v>
      </c>
      <c r="N5" s="839">
        <f>SUMPRODUCT((因素修正幅度!B87:B126=I2)*(因素修正幅度!C3:G3=E2)*(因素修正幅度!C87:G126))</f>
        <v>0.097</v>
      </c>
      <c r="O5" s="617"/>
      <c r="P5" s="617"/>
      <c r="Q5" s="617"/>
      <c r="R5" s="932">
        <v>4</v>
      </c>
      <c r="S5" s="934">
        <f>ROUND(SUMPRODUCT((B106:B110=R5)*(C105:N105=G2)*(C106:N110)),4)</f>
        <v>0.8824</v>
      </c>
      <c r="T5" s="934">
        <f t="shared" si="0"/>
        <v>8737</v>
      </c>
      <c r="U5" s="935"/>
      <c r="V5" s="934">
        <f t="shared" si="1"/>
        <v>0</v>
      </c>
      <c r="W5" s="933"/>
      <c r="X5" s="933"/>
      <c r="Y5" s="933"/>
      <c r="Z5" s="933"/>
      <c r="AA5" s="933"/>
      <c r="AB5" s="933"/>
      <c r="AC5" s="948"/>
      <c r="AD5" s="949"/>
      <c r="AE5" s="949"/>
      <c r="AF5" s="949"/>
      <c r="AG5" s="949"/>
      <c r="AH5" s="949"/>
      <c r="AI5" s="949"/>
      <c r="AJ5" s="957"/>
    </row>
    <row r="6" ht="15.75" spans="1:36">
      <c r="A6" s="643" t="s">
        <v>994</v>
      </c>
      <c r="B6" s="644" t="s">
        <v>1728</v>
      </c>
      <c r="C6" s="645">
        <f>SUMIF(L1:L12,G2,M1:M12)</f>
        <v>12930</v>
      </c>
      <c r="D6" s="646"/>
      <c r="E6" s="647"/>
      <c r="F6" s="647"/>
      <c r="G6" s="648"/>
      <c r="H6" s="648"/>
      <c r="I6" s="648"/>
      <c r="J6" s="847"/>
      <c r="K6" s="848"/>
      <c r="L6" s="841" t="s">
        <v>1729</v>
      </c>
      <c r="M6" s="842">
        <f>SUMPRODUCT((区片价!B127:B189=I2)*(区片价!C3:G3=E2)*(区片价!C127:G189))</f>
        <v>0</v>
      </c>
      <c r="N6" s="839">
        <f>SUMPRODUCT((因素修正幅度!B127:B189=I2)*(因素修正幅度!C3:G3=E2)*(因素修正幅度!C127:G189))</f>
        <v>0</v>
      </c>
      <c r="O6" s="617"/>
      <c r="P6" s="617"/>
      <c r="Q6" s="617"/>
      <c r="R6" s="932">
        <v>5</v>
      </c>
      <c r="S6" s="934">
        <f>ROUND(SUMPRODUCT((B106:B110=R6)*(C105:N105=G2)*(C106:N110)),4)</f>
        <v>0.848</v>
      </c>
      <c r="T6" s="934">
        <f t="shared" si="0"/>
        <v>8396</v>
      </c>
      <c r="U6" s="935"/>
      <c r="V6" s="934">
        <f t="shared" si="1"/>
        <v>0</v>
      </c>
      <c r="W6" s="933"/>
      <c r="X6" s="933"/>
      <c r="Y6" s="933"/>
      <c r="Z6" s="933"/>
      <c r="AA6" s="933"/>
      <c r="AB6" s="933"/>
      <c r="AC6" s="948"/>
      <c r="AD6" s="949"/>
      <c r="AE6" s="949"/>
      <c r="AF6" s="949"/>
      <c r="AG6" s="949"/>
      <c r="AH6" s="949"/>
      <c r="AI6" s="949"/>
      <c r="AJ6" s="957"/>
    </row>
    <row r="7" ht="24.75" spans="1:36">
      <c r="A7" s="649" t="s">
        <v>1730</v>
      </c>
      <c r="B7" s="650" t="s">
        <v>1731</v>
      </c>
      <c r="C7" s="651" t="e">
        <f>IF(C8="不临65条商业街",1,ROUND(1+(1.6*E8+1.2*E9+0.8*E10+0.4*E11)*C9,4))</f>
        <v>#DIV/0!</v>
      </c>
      <c r="D7" s="652" t="s">
        <v>1732</v>
      </c>
      <c r="E7" s="653"/>
      <c r="F7" s="654"/>
      <c r="G7" s="655"/>
      <c r="H7" s="655"/>
      <c r="I7" s="655"/>
      <c r="J7" s="849"/>
      <c r="K7" s="848"/>
      <c r="L7" s="841" t="s">
        <v>1733</v>
      </c>
      <c r="M7" s="842">
        <f>SUMPRODUCT((区片价!B190:B233=I2)*(区片价!C3:G3=E2)*(区片价!C190:G233))</f>
        <v>0</v>
      </c>
      <c r="N7" s="839">
        <f>SUMPRODUCT((因素修正幅度!B190:B233=I2)*(因素修正幅度!C3:G3=E2)*(因素修正幅度!C190:G233))</f>
        <v>0</v>
      </c>
      <c r="O7" s="617"/>
      <c r="P7" s="617"/>
      <c r="Q7" s="617"/>
      <c r="R7" s="932">
        <v>6</v>
      </c>
      <c r="S7" s="936"/>
      <c r="T7" s="934">
        <f t="shared" si="0"/>
        <v>0</v>
      </c>
      <c r="U7" s="935"/>
      <c r="V7" s="934">
        <f t="shared" si="1"/>
        <v>0</v>
      </c>
      <c r="W7" s="937" t="s">
        <v>1734</v>
      </c>
      <c r="X7" s="938" t="str">
        <f>G2</f>
        <v>五级</v>
      </c>
      <c r="Y7" s="938" t="s">
        <v>1735</v>
      </c>
      <c r="Z7" s="950">
        <f>G3</f>
        <v>3.15</v>
      </c>
      <c r="AA7" s="933"/>
      <c r="AB7" s="933"/>
      <c r="AC7" s="946"/>
      <c r="AD7" s="947"/>
      <c r="AE7" s="947"/>
      <c r="AF7" s="947"/>
      <c r="AG7" s="947"/>
      <c r="AH7" s="947"/>
      <c r="AI7" s="947"/>
      <c r="AJ7" s="956"/>
    </row>
    <row r="8" ht="15" spans="1:36">
      <c r="A8" s="656"/>
      <c r="B8" s="633" t="s">
        <v>1736</v>
      </c>
      <c r="C8" s="657"/>
      <c r="D8" s="658" t="s">
        <v>1737</v>
      </c>
      <c r="E8" s="659" t="e">
        <f>ROUND(C11/E7,4)</f>
        <v>#DIV/0!</v>
      </c>
      <c r="F8" s="660" t="s">
        <v>1738</v>
      </c>
      <c r="G8" s="661"/>
      <c r="H8" s="661"/>
      <c r="I8" s="661"/>
      <c r="J8" s="850"/>
      <c r="K8" s="617"/>
      <c r="L8" s="841" t="s">
        <v>1739</v>
      </c>
      <c r="M8" s="842">
        <f>SUMPRODUCT((区片价!B234:B276=I2)*(区片价!C3:G3=E2)*(区片价!C234:G276))</f>
        <v>0</v>
      </c>
      <c r="N8" s="839">
        <f>SUMPRODUCT((因素修正幅度!B234:B276=I2)*(因素修正幅度!C3:G3=E2)*(因素修正幅度!C234:G276))</f>
        <v>0</v>
      </c>
      <c r="O8" s="617"/>
      <c r="P8" s="617"/>
      <c r="Q8" s="617"/>
      <c r="R8" s="932">
        <v>7</v>
      </c>
      <c r="S8" s="935"/>
      <c r="T8" s="934">
        <f t="shared" si="0"/>
        <v>0</v>
      </c>
      <c r="U8" s="935"/>
      <c r="V8" s="934">
        <f t="shared" si="1"/>
        <v>0</v>
      </c>
      <c r="W8" s="939" t="s">
        <v>1740</v>
      </c>
      <c r="X8" s="940"/>
      <c r="Y8" s="951" t="s">
        <v>1741</v>
      </c>
      <c r="Z8" s="951" t="s">
        <v>1742</v>
      </c>
      <c r="AA8" s="951" t="s">
        <v>1743</v>
      </c>
      <c r="AB8" s="951" t="s">
        <v>1744</v>
      </c>
      <c r="AC8" s="951" t="s">
        <v>1745</v>
      </c>
      <c r="AD8" s="951" t="s">
        <v>1746</v>
      </c>
      <c r="AE8" s="951" t="s">
        <v>1747</v>
      </c>
      <c r="AF8" s="951" t="s">
        <v>1748</v>
      </c>
      <c r="AG8" s="951" t="s">
        <v>1749</v>
      </c>
      <c r="AH8" s="951" t="s">
        <v>1750</v>
      </c>
      <c r="AI8" s="951" t="s">
        <v>1751</v>
      </c>
      <c r="AJ8" s="951" t="s">
        <v>1752</v>
      </c>
    </row>
    <row r="9" ht="15" spans="1:36">
      <c r="A9" s="656"/>
      <c r="B9" s="633" t="s">
        <v>1753</v>
      </c>
      <c r="C9" s="662">
        <f>SUMIF(修正!C71:C138,C8,修正!E71:E138)</f>
        <v>0</v>
      </c>
      <c r="D9" s="663" t="s">
        <v>1754</v>
      </c>
      <c r="E9" s="663" t="e">
        <f>ROUND(C11/E7,4)</f>
        <v>#DIV/0!</v>
      </c>
      <c r="F9" s="660" t="s">
        <v>1755</v>
      </c>
      <c r="G9" s="661"/>
      <c r="H9" s="661"/>
      <c r="I9" s="661"/>
      <c r="J9" s="850"/>
      <c r="K9" s="617"/>
      <c r="L9" s="841" t="s">
        <v>1756</v>
      </c>
      <c r="M9" s="842">
        <f>SUMPRODUCT((区片价!B277:B326=I2)*(区片价!C3:G3=E2)*(区片价!C277:G326))</f>
        <v>0</v>
      </c>
      <c r="N9" s="839">
        <f>SUMPRODUCT((因素修正幅度!B277:B326=I2)*(因素修正幅度!C3:G3=E2)*(因素修正幅度!C277:G326))</f>
        <v>0</v>
      </c>
      <c r="O9" s="617"/>
      <c r="P9" s="617"/>
      <c r="Q9" s="617"/>
      <c r="R9" s="932">
        <v>8</v>
      </c>
      <c r="S9" s="935"/>
      <c r="T9" s="934">
        <f t="shared" si="0"/>
        <v>0</v>
      </c>
      <c r="U9" s="935"/>
      <c r="V9" s="934">
        <f t="shared" si="1"/>
        <v>0</v>
      </c>
      <c r="W9" s="937"/>
      <c r="X9" s="941" t="s">
        <v>1757</v>
      </c>
      <c r="Y9" s="952">
        <v>6</v>
      </c>
      <c r="Z9" s="953">
        <f>$Y$9</f>
        <v>6</v>
      </c>
      <c r="AA9" s="953">
        <f t="shared" ref="AA9:AJ9" si="2">$Y$9</f>
        <v>6</v>
      </c>
      <c r="AB9" s="953">
        <f t="shared" si="2"/>
        <v>6</v>
      </c>
      <c r="AC9" s="953">
        <f t="shared" si="2"/>
        <v>6</v>
      </c>
      <c r="AD9" s="953">
        <f t="shared" si="2"/>
        <v>6</v>
      </c>
      <c r="AE9" s="953">
        <f t="shared" si="2"/>
        <v>6</v>
      </c>
      <c r="AF9" s="953">
        <f t="shared" si="2"/>
        <v>6</v>
      </c>
      <c r="AG9" s="953">
        <f t="shared" si="2"/>
        <v>6</v>
      </c>
      <c r="AH9" s="953">
        <f t="shared" si="2"/>
        <v>6</v>
      </c>
      <c r="AI9" s="953">
        <f t="shared" si="2"/>
        <v>6</v>
      </c>
      <c r="AJ9" s="953">
        <f t="shared" si="2"/>
        <v>6</v>
      </c>
    </row>
    <row r="10" ht="15" spans="1:36">
      <c r="A10" s="656"/>
      <c r="B10" s="633" t="s">
        <v>1758</v>
      </c>
      <c r="C10" s="663">
        <f>SUMIF(修正!C71:C138,C8,修正!F71:F138)</f>
        <v>0</v>
      </c>
      <c r="D10" s="663" t="s">
        <v>1759</v>
      </c>
      <c r="E10" s="663" t="e">
        <f>ROUND(C11/E7,4)</f>
        <v>#DIV/0!</v>
      </c>
      <c r="F10" s="660" t="s">
        <v>1760</v>
      </c>
      <c r="G10" s="661"/>
      <c r="H10" s="661"/>
      <c r="I10" s="661"/>
      <c r="J10" s="850"/>
      <c r="K10" s="617"/>
      <c r="L10" s="841" t="s">
        <v>1761</v>
      </c>
      <c r="M10" s="842">
        <f>SUMPRODUCT((区片价!B327:B357=I2)*(区片价!C3:G3=E2)*(区片价!C327:G357))</f>
        <v>0</v>
      </c>
      <c r="N10" s="839">
        <f>SUMPRODUCT((因素修正幅度!B327:B357=I2)*(因素修正幅度!C3:G3=E2)*(因素修正幅度!C327:G357))</f>
        <v>0</v>
      </c>
      <c r="O10" s="617"/>
      <c r="P10" s="617"/>
      <c r="Q10" s="617"/>
      <c r="R10" s="932">
        <v>9</v>
      </c>
      <c r="S10" s="935"/>
      <c r="T10" s="934">
        <f t="shared" si="0"/>
        <v>0</v>
      </c>
      <c r="U10" s="935"/>
      <c r="V10" s="934">
        <f t="shared" si="1"/>
        <v>0</v>
      </c>
      <c r="W10" s="937"/>
      <c r="X10" s="941">
        <v>6</v>
      </c>
      <c r="Y10" s="954">
        <f>ROUND((-0.5556*(Y9^2)-0.2719*Y9+8944)*(10^(-4)),4)</f>
        <v>0.8922</v>
      </c>
      <c r="Z10" s="954">
        <f>ROUND((-0.5556*(Z9^2)-0.2719*Z9+8944)*(10^(-4)),4)</f>
        <v>0.8922</v>
      </c>
      <c r="AA10" s="954">
        <f>ROUND((-0.7912*(AA9^2)-11.3794*AA9+8482)*(10^(-4)),4)</f>
        <v>0.8385</v>
      </c>
      <c r="AB10" s="954">
        <f>ROUND((-0.7912*(AB9^2)-11.3794*AB9+8482)*(10^(-4)),4)</f>
        <v>0.8385</v>
      </c>
      <c r="AC10" s="954">
        <f>ROUND((-0.7912*(AC9^2)-11.3794*AC9+8482)*(10^(-4)),4)</f>
        <v>0.8385</v>
      </c>
      <c r="AD10" s="954">
        <f>ROUND((-0.7912*(AD9^2)-11.3794*AD9+8482)*(10^(-4)),4)</f>
        <v>0.8385</v>
      </c>
      <c r="AE10" s="954">
        <f>ROUND((-0.7912*(AE9^2)-11.3794*AE9+8482)*(10^(-4)),4)</f>
        <v>0.8385</v>
      </c>
      <c r="AF10" s="954">
        <f>ROUND((-0.989*(AF9^2)-63.78*AF9+7771)*(10^(-4)),4)</f>
        <v>0.7353</v>
      </c>
      <c r="AG10" s="954">
        <f>ROUND((-0.989*(AG9^2)-63.78*AG9+7771)*(10^(-4)),4)</f>
        <v>0.7353</v>
      </c>
      <c r="AH10" s="954">
        <f>ROUND((-0.989*(AH9^2)-63.78*AH9+7771)*(10^(-4)),4)</f>
        <v>0.7353</v>
      </c>
      <c r="AI10" s="954">
        <f>ROUND((-0.989*(AI9^2)-63.78*AI9+7771)*(10^(-4)),4)</f>
        <v>0.7353</v>
      </c>
      <c r="AJ10" s="954">
        <f>ROUND((-0.989*(AJ9^2)-63.78*AJ9+7771)*(10^(-4)),4)</f>
        <v>0.7353</v>
      </c>
    </row>
    <row r="11" ht="15.75" spans="1:36">
      <c r="A11" s="664"/>
      <c r="B11" s="665" t="s">
        <v>1762</v>
      </c>
      <c r="C11" s="666">
        <f>C10/4</f>
        <v>0</v>
      </c>
      <c r="D11" s="666" t="s">
        <v>1763</v>
      </c>
      <c r="E11" s="666" t="e">
        <f>ROUND(C11/E7,4)</f>
        <v>#DIV/0!</v>
      </c>
      <c r="F11" s="667" t="s">
        <v>1764</v>
      </c>
      <c r="G11" s="668"/>
      <c r="H11" s="668"/>
      <c r="I11" s="668"/>
      <c r="J11" s="851"/>
      <c r="K11" s="617"/>
      <c r="L11" s="841" t="s">
        <v>1765</v>
      </c>
      <c r="M11" s="842">
        <f>SUMPRODUCT((区片价!B358:B377=I2)*(区片价!C3:G3=E2)*(区片价!C358:G377))</f>
        <v>0</v>
      </c>
      <c r="N11" s="839">
        <f>SUMPRODUCT((因素修正幅度!B358:B377=I2)*(因素修正幅度!C3:G3=E2)*(因素修正幅度!C358:G377))</f>
        <v>0</v>
      </c>
      <c r="O11" s="617"/>
      <c r="P11" s="617"/>
      <c r="Q11" s="617"/>
      <c r="R11" s="932">
        <v>10</v>
      </c>
      <c r="S11" s="935"/>
      <c r="T11" s="934">
        <f t="shared" si="0"/>
        <v>0</v>
      </c>
      <c r="U11" s="935"/>
      <c r="V11" s="934">
        <f t="shared" si="1"/>
        <v>0</v>
      </c>
      <c r="W11" s="933"/>
      <c r="X11" s="933"/>
      <c r="Y11" s="933"/>
      <c r="Z11" s="933"/>
      <c r="AA11" s="933"/>
      <c r="AB11" s="933"/>
      <c r="AC11" s="946"/>
      <c r="AD11" s="955"/>
      <c r="AE11" s="955"/>
      <c r="AF11" s="955"/>
      <c r="AG11" s="955"/>
      <c r="AH11" s="955"/>
      <c r="AI11" s="955"/>
      <c r="AJ11" s="958"/>
    </row>
    <row r="12" ht="25.95" spans="1:36">
      <c r="A12" s="649" t="s">
        <v>1766</v>
      </c>
      <c r="B12" s="669" t="s">
        <v>1767</v>
      </c>
      <c r="C12" s="670">
        <v>1</v>
      </c>
      <c r="D12" s="671" t="s">
        <v>1768</v>
      </c>
      <c r="E12" s="672" t="s">
        <v>1769</v>
      </c>
      <c r="F12" s="673"/>
      <c r="G12" s="674"/>
      <c r="H12" s="674"/>
      <c r="I12" s="674"/>
      <c r="J12" s="852"/>
      <c r="K12" s="617"/>
      <c r="L12" s="853" t="s">
        <v>1770</v>
      </c>
      <c r="M12" s="854">
        <f>SUMPRODUCT((区片价!B378:B384=I2)*(区片价!C3:G3=E2)*(区片价!C378:G384))</f>
        <v>0</v>
      </c>
      <c r="N12" s="839">
        <f>SUMPRODUCT((因素修正幅度!B378:B384=I2)*(因素修正幅度!C3:G3=E2)*(因素修正幅度!C378:G384))</f>
        <v>0</v>
      </c>
      <c r="O12" s="617"/>
      <c r="P12" s="617"/>
      <c r="Q12" s="617"/>
      <c r="R12" s="932">
        <v>11</v>
      </c>
      <c r="S12" s="935"/>
      <c r="T12" s="934">
        <f t="shared" si="0"/>
        <v>0</v>
      </c>
      <c r="U12" s="935"/>
      <c r="V12" s="934">
        <f t="shared" si="1"/>
        <v>0</v>
      </c>
      <c r="W12" s="933"/>
      <c r="X12" s="933"/>
      <c r="Y12" s="933"/>
      <c r="Z12" s="933"/>
      <c r="AA12" s="933"/>
      <c r="AB12" s="933"/>
      <c r="AC12" s="946"/>
      <c r="AD12" s="955"/>
      <c r="AE12" s="955"/>
      <c r="AF12" s="955"/>
      <c r="AG12" s="955"/>
      <c r="AH12" s="955"/>
      <c r="AI12" s="955"/>
      <c r="AJ12" s="958"/>
    </row>
    <row r="13" ht="24.75" spans="1:36">
      <c r="A13" s="649" t="s">
        <v>1771</v>
      </c>
      <c r="B13" s="675" t="s">
        <v>1772</v>
      </c>
      <c r="C13" s="651">
        <f>ROUND(C16*D16*E16*F16*G16*H16*I16*J16,4)</f>
        <v>0</v>
      </c>
      <c r="D13" s="676" t="s">
        <v>1773</v>
      </c>
      <c r="E13" s="677"/>
      <c r="F13" s="677"/>
      <c r="G13" s="678"/>
      <c r="H13" s="678"/>
      <c r="I13" s="678"/>
      <c r="J13" s="855"/>
      <c r="K13" s="617"/>
      <c r="L13" s="856"/>
      <c r="M13" s="857"/>
      <c r="N13" s="858"/>
      <c r="O13" s="617"/>
      <c r="P13" s="617"/>
      <c r="Q13" s="617"/>
      <c r="R13" s="932">
        <v>12</v>
      </c>
      <c r="S13" s="935"/>
      <c r="T13" s="934">
        <f t="shared" si="0"/>
        <v>0</v>
      </c>
      <c r="U13" s="935"/>
      <c r="V13" s="934">
        <f t="shared" si="1"/>
        <v>0</v>
      </c>
      <c r="W13" s="933"/>
      <c r="X13" s="933"/>
      <c r="Y13" s="933"/>
      <c r="Z13" s="933"/>
      <c r="AA13" s="933"/>
      <c r="AB13" s="933"/>
      <c r="AC13" s="946"/>
      <c r="AD13" s="955"/>
      <c r="AE13" s="955"/>
      <c r="AF13" s="955"/>
      <c r="AG13" s="955"/>
      <c r="AH13" s="955"/>
      <c r="AI13" s="955"/>
      <c r="AJ13" s="958"/>
    </row>
    <row r="14" ht="24" spans="1:36">
      <c r="A14" s="679"/>
      <c r="B14" s="680" t="s">
        <v>1774</v>
      </c>
      <c r="C14" s="681" t="s">
        <v>1775</v>
      </c>
      <c r="D14" s="682" t="s">
        <v>1776</v>
      </c>
      <c r="E14" s="683" t="s">
        <v>1777</v>
      </c>
      <c r="F14" s="684" t="s">
        <v>1778</v>
      </c>
      <c r="G14" s="684" t="s">
        <v>1778</v>
      </c>
      <c r="H14" s="684" t="s">
        <v>1778</v>
      </c>
      <c r="I14" s="684" t="s">
        <v>1778</v>
      </c>
      <c r="J14" s="684" t="s">
        <v>1778</v>
      </c>
      <c r="K14" s="617"/>
      <c r="L14" s="617"/>
      <c r="M14" s="617"/>
      <c r="N14" s="617"/>
      <c r="O14" s="617"/>
      <c r="P14" s="617"/>
      <c r="Q14" s="617"/>
      <c r="R14" s="932">
        <v>13</v>
      </c>
      <c r="S14" s="935"/>
      <c r="T14" s="934">
        <f t="shared" si="0"/>
        <v>0</v>
      </c>
      <c r="U14" s="935"/>
      <c r="V14" s="934">
        <f t="shared" si="1"/>
        <v>0</v>
      </c>
      <c r="W14" s="933"/>
      <c r="X14" s="933"/>
      <c r="Y14" s="933"/>
      <c r="Z14" s="933"/>
      <c r="AA14" s="933"/>
      <c r="AB14" s="933"/>
      <c r="AC14" s="946"/>
      <c r="AD14" s="955"/>
      <c r="AE14" s="955"/>
      <c r="AF14" s="955"/>
      <c r="AG14" s="955"/>
      <c r="AH14" s="955"/>
      <c r="AI14" s="955"/>
      <c r="AJ14" s="958"/>
    </row>
    <row r="15" ht="15" spans="1:36">
      <c r="A15" s="679"/>
      <c r="B15" s="685"/>
      <c r="C15" s="686"/>
      <c r="D15" s="687"/>
      <c r="E15" s="688"/>
      <c r="F15" s="689" t="s">
        <v>1779</v>
      </c>
      <c r="G15" s="690"/>
      <c r="H15" s="691"/>
      <c r="I15" s="859"/>
      <c r="J15" s="860"/>
      <c r="K15" s="617"/>
      <c r="L15" s="617"/>
      <c r="M15" s="617"/>
      <c r="N15" s="617"/>
      <c r="O15" s="617"/>
      <c r="P15" s="617"/>
      <c r="Q15" s="617"/>
      <c r="R15" s="932">
        <v>14</v>
      </c>
      <c r="S15" s="935"/>
      <c r="T15" s="934">
        <f t="shared" si="0"/>
        <v>0</v>
      </c>
      <c r="U15" s="935"/>
      <c r="V15" s="934">
        <f t="shared" si="1"/>
        <v>0</v>
      </c>
      <c r="W15" s="933"/>
      <c r="X15" s="933"/>
      <c r="Y15" s="933"/>
      <c r="Z15" s="933"/>
      <c r="AA15" s="933"/>
      <c r="AB15" s="933"/>
      <c r="AC15" s="946"/>
      <c r="AD15" s="955"/>
      <c r="AE15" s="955"/>
      <c r="AF15" s="955"/>
      <c r="AG15" s="955"/>
      <c r="AH15" s="955"/>
      <c r="AI15" s="955"/>
      <c r="AJ15" s="958"/>
    </row>
    <row r="16" ht="15.75" spans="1:36">
      <c r="A16" s="679"/>
      <c r="B16" s="692" t="s">
        <v>1682</v>
      </c>
      <c r="C16" s="693"/>
      <c r="D16" s="693"/>
      <c r="E16" s="693"/>
      <c r="F16" s="693">
        <v>1</v>
      </c>
      <c r="G16" s="693">
        <v>1</v>
      </c>
      <c r="H16" s="693">
        <v>1</v>
      </c>
      <c r="I16" s="693">
        <v>1</v>
      </c>
      <c r="J16" s="861">
        <v>1</v>
      </c>
      <c r="K16" s="617"/>
      <c r="L16" s="618"/>
      <c r="M16" s="618"/>
      <c r="N16" s="618"/>
      <c r="O16" s="618"/>
      <c r="P16" s="618"/>
      <c r="Q16" s="617"/>
      <c r="R16" s="932">
        <v>15</v>
      </c>
      <c r="S16" s="935"/>
      <c r="T16" s="934">
        <f t="shared" si="0"/>
        <v>0</v>
      </c>
      <c r="U16" s="935"/>
      <c r="V16" s="934">
        <f t="shared" si="1"/>
        <v>0</v>
      </c>
      <c r="W16" s="933"/>
      <c r="X16" s="933"/>
      <c r="Y16" s="933"/>
      <c r="Z16" s="933"/>
      <c r="AA16" s="933"/>
      <c r="AB16" s="933"/>
      <c r="AC16" s="946"/>
      <c r="AD16" s="955"/>
      <c r="AE16" s="955"/>
      <c r="AF16" s="955"/>
      <c r="AG16" s="955"/>
      <c r="AH16" s="955"/>
      <c r="AI16" s="955"/>
      <c r="AJ16" s="958"/>
    </row>
    <row r="17" ht="24" spans="1:36">
      <c r="A17" s="694" t="s">
        <v>1780</v>
      </c>
      <c r="B17" s="695" t="s">
        <v>1781</v>
      </c>
      <c r="C17" s="696">
        <f>ROUND(IF(OR(E2="工业",E2="公共服务"),1,IF(AND(E18=0,E19=0),1,IF(AND(E18=J24,E19=G19),0.8,IF(E19=0,1+E17*(-0.2),1+E17*G17*(-0.2))))),4)</f>
        <v>1</v>
      </c>
      <c r="D17" s="697" t="s">
        <v>1782</v>
      </c>
      <c r="E17" s="696">
        <f>ROUND(G18/I18,2)</f>
        <v>0</v>
      </c>
      <c r="F17" s="697" t="s">
        <v>1783</v>
      </c>
      <c r="G17" s="696" t="e">
        <f>ROUND(E19/G19,2)</f>
        <v>#DIV/0!</v>
      </c>
      <c r="H17" s="696"/>
      <c r="I17" s="696"/>
      <c r="J17" s="862"/>
      <c r="K17" s="617"/>
      <c r="L17" s="618"/>
      <c r="M17" s="618"/>
      <c r="N17" s="618"/>
      <c r="O17" s="618"/>
      <c r="P17" s="618"/>
      <c r="Q17" s="617"/>
      <c r="R17" s="617"/>
      <c r="S17" s="617"/>
      <c r="T17" s="617"/>
      <c r="U17" s="617"/>
      <c r="V17" s="617"/>
      <c r="W17" s="617"/>
      <c r="X17" s="617"/>
      <c r="Y17" s="617"/>
      <c r="Z17" s="801"/>
      <c r="AA17" s="801"/>
      <c r="AB17" s="801"/>
      <c r="AC17" s="801"/>
      <c r="AD17" s="801"/>
      <c r="AE17" s="617"/>
      <c r="AF17" s="617"/>
      <c r="AG17" s="618"/>
      <c r="AH17" s="618"/>
      <c r="AI17" s="618"/>
      <c r="AJ17" s="618"/>
    </row>
    <row r="18" s="616" customFormat="1" ht="13.8" spans="1:36">
      <c r="A18" s="698"/>
      <c r="B18" s="699"/>
      <c r="C18" s="700"/>
      <c r="D18" s="701" t="s">
        <v>1784</v>
      </c>
      <c r="E18" s="702"/>
      <c r="F18" s="703" t="s">
        <v>1785</v>
      </c>
      <c r="G18" s="700">
        <f>ROUND(1-(1/(POWER(1+G24,E18))),4)</f>
        <v>0</v>
      </c>
      <c r="H18" s="703" t="s">
        <v>1786</v>
      </c>
      <c r="I18" s="700">
        <f>ROUND(1-(1/(POWER(1+G24,J24))),4)</f>
        <v>0.9312</v>
      </c>
      <c r="J18" s="863"/>
      <c r="K18" s="617"/>
      <c r="L18" s="618"/>
      <c r="M18" s="618"/>
      <c r="N18" s="618"/>
      <c r="O18" s="618"/>
      <c r="P18" s="618"/>
      <c r="Q18" s="617"/>
      <c r="R18" s="942"/>
      <c r="S18" s="942"/>
      <c r="T18" s="801"/>
      <c r="U18" s="801"/>
      <c r="V18" s="801"/>
      <c r="W18" s="617"/>
      <c r="X18" s="617"/>
      <c r="Y18" s="617"/>
      <c r="Z18" s="871"/>
      <c r="AA18" s="871"/>
      <c r="AB18" s="871"/>
      <c r="AC18" s="871"/>
      <c r="AD18" s="871"/>
      <c r="AE18" s="801"/>
      <c r="AF18" s="801"/>
      <c r="AG18" s="959"/>
      <c r="AH18" s="959"/>
      <c r="AI18" s="959"/>
      <c r="AJ18" s="872"/>
    </row>
    <row r="19" s="616" customFormat="1" ht="14.55" spans="1:37">
      <c r="A19" s="704"/>
      <c r="B19" s="705"/>
      <c r="C19" s="706"/>
      <c r="D19" s="706" t="s">
        <v>1787</v>
      </c>
      <c r="E19" s="707"/>
      <c r="F19" s="708" t="s">
        <v>1788</v>
      </c>
      <c r="G19" s="707"/>
      <c r="H19" s="706"/>
      <c r="I19" s="706"/>
      <c r="J19" s="864"/>
      <c r="K19" s="617"/>
      <c r="L19" s="618"/>
      <c r="M19" s="618"/>
      <c r="N19" s="618"/>
      <c r="O19" s="618"/>
      <c r="P19" s="618"/>
      <c r="Q19" s="942"/>
      <c r="R19" s="942"/>
      <c r="S19" s="942"/>
      <c r="T19" s="801"/>
      <c r="U19" s="801"/>
      <c r="V19" s="801"/>
      <c r="W19" s="617"/>
      <c r="X19" s="617"/>
      <c r="Y19" s="617"/>
      <c r="Z19" s="871"/>
      <c r="AA19" s="871"/>
      <c r="AB19" s="871"/>
      <c r="AC19" s="871"/>
      <c r="AD19" s="871"/>
      <c r="AE19" s="871"/>
      <c r="AF19" s="942"/>
      <c r="AG19" s="960"/>
      <c r="AH19" s="959"/>
      <c r="AI19" s="961"/>
      <c r="AJ19" s="961"/>
      <c r="AK19" s="962"/>
    </row>
    <row r="20" s="616" customFormat="1" ht="13.8" spans="1:36">
      <c r="A20" s="709" t="s">
        <v>1789</v>
      </c>
      <c r="B20" s="710" t="s">
        <v>1790</v>
      </c>
      <c r="C20" s="711">
        <f>ROUND(IF(F21="与级别开发程度一致",0,(G21-E21)/C21),0)</f>
        <v>0</v>
      </c>
      <c r="D20" s="712" t="s">
        <v>1791</v>
      </c>
      <c r="E20" s="713"/>
      <c r="F20" s="714" t="s">
        <v>1792</v>
      </c>
      <c r="G20" s="715"/>
      <c r="H20" s="716"/>
      <c r="I20" s="716"/>
      <c r="J20" s="865"/>
      <c r="K20" s="866"/>
      <c r="L20" s="866"/>
      <c r="M20" s="866"/>
      <c r="N20" s="866"/>
      <c r="O20" s="867"/>
      <c r="P20" s="618"/>
      <c r="Q20" s="942"/>
      <c r="R20" s="942"/>
      <c r="S20" s="942"/>
      <c r="T20" s="801"/>
      <c r="U20" s="801"/>
      <c r="V20" s="801"/>
      <c r="W20" s="617"/>
      <c r="X20" s="617"/>
      <c r="Y20" s="617"/>
      <c r="Z20" s="871"/>
      <c r="AA20" s="871"/>
      <c r="AB20" s="871"/>
      <c r="AC20" s="871"/>
      <c r="AD20" s="871"/>
      <c r="AE20" s="871"/>
      <c r="AF20" s="871"/>
      <c r="AG20" s="872"/>
      <c r="AH20" s="872"/>
      <c r="AI20" s="872"/>
      <c r="AJ20" s="872"/>
    </row>
    <row r="21" s="616" customFormat="1" ht="24.75" spans="1:36">
      <c r="A21" s="717"/>
      <c r="B21" s="718" t="s">
        <v>1793</v>
      </c>
      <c r="C21" s="719">
        <f>IF(E3="M4科研用地",SUMPRODUCT((修正!A2:A7=E3)*(修正!B1:M1=G2)*(修正!B2:M7)),SUMPRODUCT((修正!A2:A7=E2)*(修正!B1:M1=G2)*(修正!B2:M7)))</f>
        <v>2.5</v>
      </c>
      <c r="D21" s="720" t="str">
        <f>IF(OR(G2="八级",G2="九级",G2="十级",G2="十一级",G2="十二级"),"五通一平","七通一平")</f>
        <v>七通一平</v>
      </c>
      <c r="E21" s="721">
        <f>SUMPRODUCT((修正!B1:M1=G2)*(修正!B17:M17))</f>
        <v>315</v>
      </c>
      <c r="F21" s="722" t="s">
        <v>1794</v>
      </c>
      <c r="G21" s="723">
        <f>SUM(H21:O21)</f>
        <v>0</v>
      </c>
      <c r="H21" s="719">
        <f>SUMPRODUCT((七通一平=H20)*(修正!B1:M1=G2)*(修正!B8:M16))</f>
        <v>0</v>
      </c>
      <c r="I21" s="719">
        <f>SUMPRODUCT((七通一平=I20)*(修正!B1:M1=G2)*(修正!B8:M16))</f>
        <v>0</v>
      </c>
      <c r="J21" s="868">
        <f>SUMPRODUCT((七通一平=J20)*(修正!B1:M1=G2)*(修正!B8:M16))</f>
        <v>0</v>
      </c>
      <c r="K21" s="719">
        <f>SUMPRODUCT((七通一平=K20)*(修正!B1:M1=G2)*(修正!B8:M16))</f>
        <v>0</v>
      </c>
      <c r="L21" s="719">
        <f>SUMPRODUCT((七通一平=L20)*(修正!B1:M1=G2)*(修正!B8:M16))</f>
        <v>0</v>
      </c>
      <c r="M21" s="719">
        <f>SUMPRODUCT((七通一平=M20)*(修正!B1:M1=G2)*(修正!B8:M16))</f>
        <v>0</v>
      </c>
      <c r="N21" s="719">
        <f>SUMPRODUCT((七通一平=N20)*(修正!B1:M1=G2)*(修正!B8:M16))</f>
        <v>0</v>
      </c>
      <c r="O21" s="869">
        <f>SUMPRODUCT((七通一平=O20)*(修正!B1:M1=G2)*(修正!B8:M16))</f>
        <v>0</v>
      </c>
      <c r="P21" s="618"/>
      <c r="Q21" s="872"/>
      <c r="R21" s="942"/>
      <c r="S21" s="942"/>
      <c r="T21" s="801"/>
      <c r="U21" s="801"/>
      <c r="V21" s="801"/>
      <c r="W21" s="617"/>
      <c r="X21" s="617"/>
      <c r="Y21" s="617"/>
      <c r="Z21" s="871"/>
      <c r="AA21" s="871"/>
      <c r="AB21" s="871"/>
      <c r="AC21" s="871"/>
      <c r="AD21" s="871"/>
      <c r="AE21" s="871"/>
      <c r="AF21" s="871"/>
      <c r="AG21" s="872"/>
      <c r="AH21" s="872"/>
      <c r="AI21" s="872"/>
      <c r="AJ21" s="872"/>
    </row>
    <row r="22" s="616" customFormat="1" ht="15.15" spans="1:36">
      <c r="A22" s="724" t="s">
        <v>906</v>
      </c>
      <c r="B22" s="725" t="s">
        <v>1795</v>
      </c>
      <c r="C22" s="726">
        <f>SUMIF(修正!C20:C51,E3,修正!E20:E51)</f>
        <v>1</v>
      </c>
      <c r="D22" s="727"/>
      <c r="E22" s="728"/>
      <c r="F22" s="728"/>
      <c r="G22" s="728"/>
      <c r="H22" s="728"/>
      <c r="I22" s="728"/>
      <c r="J22" s="870"/>
      <c r="K22" s="871"/>
      <c r="L22" s="872"/>
      <c r="M22" s="872"/>
      <c r="N22" s="872"/>
      <c r="O22" s="873"/>
      <c r="P22" s="873"/>
      <c r="Q22" s="872"/>
      <c r="R22" s="942"/>
      <c r="S22" s="942"/>
      <c r="T22" s="801"/>
      <c r="U22" s="801"/>
      <c r="V22" s="801"/>
      <c r="W22" s="617"/>
      <c r="X22" s="617"/>
      <c r="Y22" s="617"/>
      <c r="Z22" s="871"/>
      <c r="AA22" s="871"/>
      <c r="AB22" s="871"/>
      <c r="AC22" s="871"/>
      <c r="AD22" s="871"/>
      <c r="AE22" s="871"/>
      <c r="AF22" s="871"/>
      <c r="AG22" s="872"/>
      <c r="AH22" s="872"/>
      <c r="AI22" s="872"/>
      <c r="AJ22" s="872"/>
    </row>
    <row r="23" ht="24.75" spans="1:37">
      <c r="A23" s="729" t="s">
        <v>911</v>
      </c>
      <c r="B23" s="730" t="s">
        <v>1796</v>
      </c>
      <c r="C23" s="73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732" t="s">
        <v>1797</v>
      </c>
      <c r="E23" s="733">
        <v>44197</v>
      </c>
      <c r="F23" s="732" t="s">
        <v>1798</v>
      </c>
      <c r="G23" s="734">
        <f>'数据-取费表'!B2</f>
        <v>45022</v>
      </c>
      <c r="H23" s="735" t="s">
        <v>1799</v>
      </c>
      <c r="I23" s="874" t="str">
        <f>IF(H23="季度增幅（自定义）",SUMIF(N25:N28,E2,O25:O28),"")</f>
        <v/>
      </c>
      <c r="J23" s="875" t="s">
        <v>1800</v>
      </c>
      <c r="K23" s="871"/>
      <c r="L23" s="876" t="s">
        <v>1801</v>
      </c>
      <c r="M23" s="877">
        <f>ROUND(SUMIF(地价!B2:G2,E2,地价!B16:G16),0)</f>
        <v>350</v>
      </c>
      <c r="N23" s="878" t="s">
        <v>1802</v>
      </c>
      <c r="O23" s="879">
        <f>ROUNDDOWN(DATEDIF(E23,G23,"M")/3,0)</f>
        <v>9</v>
      </c>
      <c r="P23" s="880"/>
      <c r="Q23" s="872"/>
      <c r="R23" s="942"/>
      <c r="S23" s="942"/>
      <c r="T23" s="801"/>
      <c r="U23" s="801"/>
      <c r="V23" s="801"/>
      <c r="W23" s="617"/>
      <c r="X23" s="617"/>
      <c r="Y23" s="617"/>
      <c r="Z23" s="871"/>
      <c r="AA23" s="871"/>
      <c r="AB23" s="871"/>
      <c r="AC23" s="871"/>
      <c r="AD23" s="871"/>
      <c r="AE23" s="801"/>
      <c r="AF23" s="801"/>
      <c r="AG23" s="959"/>
      <c r="AH23" s="959"/>
      <c r="AI23" s="959"/>
      <c r="AJ23" s="959"/>
      <c r="AK23" s="619"/>
    </row>
    <row r="24" s="616" customFormat="1" ht="24.75" spans="1:36">
      <c r="A24" s="736" t="s">
        <v>914</v>
      </c>
      <c r="B24" s="737" t="s">
        <v>1803</v>
      </c>
      <c r="C24" s="738">
        <f>ROUND(POWER(1+G24,J24-I24)*(POWER(1+G24,I24)-1)/(POWER(1+G24,J24)-1),4)</f>
        <v>0.7188</v>
      </c>
      <c r="D24" s="739" t="s">
        <v>1804</v>
      </c>
      <c r="E24" s="740">
        <f>存贷款利率!E22/100</f>
        <v>0.0435</v>
      </c>
      <c r="F24" s="739" t="s">
        <v>1805</v>
      </c>
      <c r="G24" s="741">
        <f>SUMIF(M30:Q30,E2,M33:Q33)</f>
        <v>0.055</v>
      </c>
      <c r="H24" s="739" t="s">
        <v>1806</v>
      </c>
      <c r="I24" s="881">
        <f>SUMIF('数据-取费表'!C6:C15,E2,'数据-取费表'!F6:F15)/COUNTIF('数据-取费表'!C6:C15,E2)</f>
        <v>20.67</v>
      </c>
      <c r="J24" s="882">
        <f>IF(E2="住宅",70,IF(E2="商业",40,50))</f>
        <v>50</v>
      </c>
      <c r="K24" s="871"/>
      <c r="L24" s="883" t="s">
        <v>1807</v>
      </c>
      <c r="M24" s="884">
        <f>ROUND(SUMPRODUCT((地价!A4:A16=YEAR(G23)&amp;"-"&amp;ROUNDUP(MONTH(G23)/3,0))*(地价!B2:G2=E2)*(地价!B4:G16)),0)</f>
        <v>0</v>
      </c>
      <c r="N24" s="885" t="s">
        <v>1808</v>
      </c>
      <c r="O24" s="886" t="s">
        <v>1809</v>
      </c>
      <c r="P24" s="887" t="s">
        <v>1810</v>
      </c>
      <c r="Q24" s="618"/>
      <c r="R24" s="942"/>
      <c r="S24" s="942"/>
      <c r="T24" s="801"/>
      <c r="U24" s="801"/>
      <c r="V24" s="801"/>
      <c r="W24" s="617"/>
      <c r="X24" s="617"/>
      <c r="Y24" s="617"/>
      <c r="Z24" s="871"/>
      <c r="AA24" s="871"/>
      <c r="AB24" s="871"/>
      <c r="AC24" s="871"/>
      <c r="AD24" s="871"/>
      <c r="AE24" s="871"/>
      <c r="AF24" s="871"/>
      <c r="AG24" s="872"/>
      <c r="AH24" s="872"/>
      <c r="AI24" s="872"/>
      <c r="AJ24" s="872"/>
    </row>
    <row r="25" ht="14.4" spans="1:36">
      <c r="A25" s="742" t="s">
        <v>936</v>
      </c>
      <c r="B25" s="743" t="s">
        <v>1811</v>
      </c>
      <c r="C25" s="744">
        <f>IF(B25="容积率修正",IF(G3&lt;10,D26,J26),C27)</f>
        <v>0.9544</v>
      </c>
      <c r="D25" s="745"/>
      <c r="E25" s="745"/>
      <c r="F25" s="745"/>
      <c r="G25" s="745"/>
      <c r="H25" s="745"/>
      <c r="I25" s="745"/>
      <c r="J25" s="888"/>
      <c r="K25" s="871"/>
      <c r="L25" s="872"/>
      <c r="M25" s="872"/>
      <c r="N25" s="889" t="s">
        <v>1812</v>
      </c>
      <c r="O25" s="890"/>
      <c r="P25" s="891">
        <f>SUMPRODUCT((地价!A3:A40=YEAR(G23)&amp;"-"&amp;ROUNDUP(MONTH(G23)/3,0))*(地价!AD2:AH2=N25)*(地价!AD3:AH40))</f>
        <v>0</v>
      </c>
      <c r="Q25" s="872"/>
      <c r="R25" s="942"/>
      <c r="S25" s="942"/>
      <c r="T25" s="801"/>
      <c r="U25" s="801"/>
      <c r="V25" s="801"/>
      <c r="W25" s="617"/>
      <c r="X25" s="617"/>
      <c r="Y25" s="617"/>
      <c r="Z25" s="871"/>
      <c r="AA25" s="871"/>
      <c r="AB25" s="871"/>
      <c r="AC25" s="871"/>
      <c r="AD25" s="871"/>
      <c r="AE25" s="801"/>
      <c r="AF25" s="801"/>
      <c r="AG25" s="959"/>
      <c r="AH25" s="959"/>
      <c r="AI25" s="959"/>
      <c r="AJ25" s="959"/>
    </row>
    <row r="26" ht="14.4" spans="1:36">
      <c r="A26" s="746" t="s">
        <v>1813</v>
      </c>
      <c r="B26" s="747" t="s">
        <v>1814</v>
      </c>
      <c r="C26" s="748" t="s">
        <v>1815</v>
      </c>
      <c r="D26" s="749">
        <f>IF(E26=G26,F26,IF(G3&lt;10,ROUND(F26+(H26-F26)*(G3-E26)/(G26-E26),4),"——"))</f>
        <v>0.9544</v>
      </c>
      <c r="E26" s="632">
        <f>ROUNDDOWN(G3,1)</f>
        <v>3.1</v>
      </c>
      <c r="F26" s="7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0.9571</v>
      </c>
      <c r="G26" s="632">
        <f>ROUNDUP(G3,1)</f>
        <v>3.2</v>
      </c>
      <c r="H26" s="7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0.9516</v>
      </c>
      <c r="I26" s="748" t="s">
        <v>1816</v>
      </c>
      <c r="J26" s="892" t="str">
        <f>IF(G3&gt;=10,D115,"——")</f>
        <v>——</v>
      </c>
      <c r="K26" s="871"/>
      <c r="L26" s="872"/>
      <c r="M26" s="872"/>
      <c r="N26" s="889" t="s">
        <v>1817</v>
      </c>
      <c r="O26" s="890"/>
      <c r="P26" s="891">
        <f>SUMPRODUCT((地价!A3:A40=YEAR(G23)&amp;"-"&amp;ROUNDUP(MONTH(G23)/3,0))*(地价!AD2:AH2=N26)*(地价!AD3:AH40))</f>
        <v>0</v>
      </c>
      <c r="Q26" s="618"/>
      <c r="R26" s="942"/>
      <c r="S26" s="942"/>
      <c r="T26" s="801"/>
      <c r="U26" s="801"/>
      <c r="V26" s="801"/>
      <c r="W26" s="617"/>
      <c r="X26" s="617"/>
      <c r="Y26" s="617"/>
      <c r="Z26" s="871"/>
      <c r="AA26" s="871"/>
      <c r="AB26" s="871"/>
      <c r="AC26" s="871"/>
      <c r="AD26" s="871"/>
      <c r="AE26" s="801"/>
      <c r="AF26" s="801"/>
      <c r="AG26" s="959"/>
      <c r="AH26" s="959"/>
      <c r="AI26" s="959"/>
      <c r="AJ26" s="959"/>
    </row>
    <row r="27" ht="15.15" spans="1:36">
      <c r="A27" s="746" t="s">
        <v>1818</v>
      </c>
      <c r="B27" s="750" t="s">
        <v>1819</v>
      </c>
      <c r="C27" s="751">
        <f>ROUND(IF(I3&lt;6,SUMPRODUCT((B106:B110=I3)*(C105:N105=G2)*(C106:N110)),SUMIF(C105:N105,G2,C112:N112)),4)</f>
        <v>0</v>
      </c>
      <c r="D27" s="752"/>
      <c r="E27" s="752"/>
      <c r="F27" s="753"/>
      <c r="G27" s="754"/>
      <c r="H27" s="755"/>
      <c r="I27" s="893"/>
      <c r="J27" s="894"/>
      <c r="K27" s="617"/>
      <c r="L27" s="618"/>
      <c r="M27" s="618"/>
      <c r="N27" s="889" t="s">
        <v>1820</v>
      </c>
      <c r="O27" s="890"/>
      <c r="P27" s="891">
        <f>SUMPRODUCT((地价!A3:A40=YEAR(G23)&amp;"-"&amp;ROUNDUP(MONTH(G23)/3,0))*(地价!AD2:AH2=N27)*(地价!AD3:AH40))</f>
        <v>0</v>
      </c>
      <c r="Q27" s="618"/>
      <c r="R27" s="942"/>
      <c r="S27" s="942"/>
      <c r="T27" s="801"/>
      <c r="U27" s="801"/>
      <c r="V27" s="801"/>
      <c r="W27" s="617"/>
      <c r="X27" s="617"/>
      <c r="Y27" s="617"/>
      <c r="Z27" s="871"/>
      <c r="AA27" s="871"/>
      <c r="AB27" s="871"/>
      <c r="AC27" s="871"/>
      <c r="AD27" s="871"/>
      <c r="AE27" s="801"/>
      <c r="AF27" s="801"/>
      <c r="AG27" s="959"/>
      <c r="AH27" s="959"/>
      <c r="AI27" s="959"/>
      <c r="AJ27" s="959"/>
    </row>
    <row r="28" ht="15.15" spans="1:36">
      <c r="A28" s="736" t="s">
        <v>1821</v>
      </c>
      <c r="B28" s="730" t="s">
        <v>1822</v>
      </c>
      <c r="C28" s="731">
        <f>SUMIF(A47:A101,E2,B47:B101)</f>
        <v>1.0501</v>
      </c>
      <c r="D28" s="756"/>
      <c r="E28" s="757"/>
      <c r="F28" s="757"/>
      <c r="G28" s="757"/>
      <c r="H28" s="757"/>
      <c r="I28" s="757"/>
      <c r="J28" s="895"/>
      <c r="K28" s="871"/>
      <c r="L28" s="872"/>
      <c r="M28" s="872"/>
      <c r="N28" s="896" t="s">
        <v>1823</v>
      </c>
      <c r="O28" s="897"/>
      <c r="P28" s="898">
        <f>SUMPRODUCT((地价!A3:A40=YEAR(G23)&amp;"-"&amp;ROUNDUP(MONTH(G23)/3,0))*(地价!AD2:AH2=N28)*(地价!AD3:AH40))</f>
        <v>0</v>
      </c>
      <c r="Q28" s="942"/>
      <c r="R28" s="942"/>
      <c r="S28" s="942"/>
      <c r="T28" s="801"/>
      <c r="U28" s="801"/>
      <c r="V28" s="801"/>
      <c r="W28" s="617"/>
      <c r="X28" s="617"/>
      <c r="Y28" s="617"/>
      <c r="Z28" s="871"/>
      <c r="AA28" s="871"/>
      <c r="AB28" s="871"/>
      <c r="AC28" s="871"/>
      <c r="AD28" s="871"/>
      <c r="AE28" s="801"/>
      <c r="AF28" s="801"/>
      <c r="AG28" s="959"/>
      <c r="AH28" s="959"/>
      <c r="AI28" s="959"/>
      <c r="AJ28" s="959"/>
    </row>
    <row r="29" ht="15.15" spans="1:36">
      <c r="A29" s="736" t="s">
        <v>1824</v>
      </c>
      <c r="B29" s="758" t="s">
        <v>1825</v>
      </c>
      <c r="C29" s="759"/>
      <c r="D29" s="655"/>
      <c r="E29" s="655"/>
      <c r="F29" s="760"/>
      <c r="G29" s="655"/>
      <c r="H29" s="655"/>
      <c r="I29" s="655"/>
      <c r="J29" s="849"/>
      <c r="K29" s="617"/>
      <c r="L29" s="618"/>
      <c r="M29" s="618"/>
      <c r="N29" s="899" t="s">
        <v>1826</v>
      </c>
      <c r="O29" s="900"/>
      <c r="P29" s="901">
        <f>SUMPRODUCT((地价!A3:A40=YEAR(G23)&amp;"-"&amp;ROUNDUP(MONTH(G23)/3,0))*(地价!AD2:AH2=N29)*(地价!AD3:AH40))</f>
        <v>0</v>
      </c>
      <c r="Q29" s="942"/>
      <c r="R29" s="942"/>
      <c r="S29" s="942"/>
      <c r="T29" s="801"/>
      <c r="U29" s="801"/>
      <c r="V29" s="801"/>
      <c r="W29" s="617"/>
      <c r="X29" s="617"/>
      <c r="Y29" s="617"/>
      <c r="Z29" s="871"/>
      <c r="AA29" s="871"/>
      <c r="AB29" s="871"/>
      <c r="AC29" s="871"/>
      <c r="AD29" s="871"/>
      <c r="AE29" s="617"/>
      <c r="AF29" s="617"/>
      <c r="AG29" s="618"/>
      <c r="AH29" s="618"/>
      <c r="AI29" s="618"/>
      <c r="AJ29" s="618"/>
    </row>
    <row r="30" ht="14.4" spans="1:36">
      <c r="A30" s="761"/>
      <c r="B30" s="747" t="s">
        <v>1827</v>
      </c>
      <c r="C30" s="762">
        <f>IF(B25="容积率修正",E33+SUM(E37:E42),SUM(V2:V16)+SUM(E37:E42))</f>
        <v>9553</v>
      </c>
      <c r="D30" s="763"/>
      <c r="E30" s="752"/>
      <c r="F30" s="764"/>
      <c r="G30" s="752"/>
      <c r="H30" s="752"/>
      <c r="I30" s="752"/>
      <c r="J30" s="902"/>
      <c r="K30" s="617"/>
      <c r="L30" s="903" t="s">
        <v>1715</v>
      </c>
      <c r="M30" s="904" t="s">
        <v>1828</v>
      </c>
      <c r="N30" s="904" t="s">
        <v>1829</v>
      </c>
      <c r="O30" s="904" t="s">
        <v>1830</v>
      </c>
      <c r="P30" s="904" t="s">
        <v>1831</v>
      </c>
      <c r="Q30" s="943" t="s">
        <v>280</v>
      </c>
      <c r="R30" s="942"/>
      <c r="S30" s="942"/>
      <c r="T30" s="801"/>
      <c r="U30" s="801"/>
      <c r="V30" s="801"/>
      <c r="W30" s="617"/>
      <c r="X30" s="617"/>
      <c r="Y30" s="617"/>
      <c r="Z30" s="871"/>
      <c r="AA30" s="871"/>
      <c r="AB30" s="871"/>
      <c r="AC30" s="871"/>
      <c r="AD30" s="871"/>
      <c r="AE30" s="617"/>
      <c r="AF30" s="617"/>
      <c r="AG30" s="618"/>
      <c r="AH30" s="618"/>
      <c r="AI30" s="618"/>
      <c r="AJ30" s="618"/>
    </row>
    <row r="31" ht="15.15" spans="1:36">
      <c r="A31" s="761"/>
      <c r="B31" s="765" t="s">
        <v>1832</v>
      </c>
      <c r="C31" s="766">
        <f>E34+SUM(I37:I42)</f>
        <v>0</v>
      </c>
      <c r="D31" s="767"/>
      <c r="E31" s="768"/>
      <c r="F31" s="769"/>
      <c r="G31" s="768"/>
      <c r="H31" s="768"/>
      <c r="I31" s="768"/>
      <c r="J31" s="905"/>
      <c r="K31" s="617"/>
      <c r="L31" s="906" t="s">
        <v>1833</v>
      </c>
      <c r="M31" s="627">
        <v>0.25</v>
      </c>
      <c r="N31" s="627">
        <v>0.2</v>
      </c>
      <c r="O31" s="627">
        <v>0.15</v>
      </c>
      <c r="P31" s="627">
        <v>0.1</v>
      </c>
      <c r="Q31" s="944">
        <v>0.15</v>
      </c>
      <c r="R31" s="942"/>
      <c r="S31" s="942"/>
      <c r="T31" s="801"/>
      <c r="U31" s="801"/>
      <c r="V31" s="801"/>
      <c r="W31" s="617"/>
      <c r="X31" s="617"/>
      <c r="Y31" s="617"/>
      <c r="Z31" s="871"/>
      <c r="AA31" s="871"/>
      <c r="AB31" s="871"/>
      <c r="AC31" s="871"/>
      <c r="AD31" s="871"/>
      <c r="AE31" s="617"/>
      <c r="AF31" s="617"/>
      <c r="AG31" s="618"/>
      <c r="AH31" s="618"/>
      <c r="AI31" s="618"/>
      <c r="AJ31" s="618"/>
    </row>
    <row r="32" ht="15.15" spans="1:36">
      <c r="A32" s="770"/>
      <c r="B32" s="771" t="s">
        <v>1834</v>
      </c>
      <c r="C32" s="772" t="s">
        <v>1835</v>
      </c>
      <c r="D32" s="772" t="s">
        <v>562</v>
      </c>
      <c r="E32" s="773" t="s">
        <v>1836</v>
      </c>
      <c r="F32" s="774"/>
      <c r="G32" s="678"/>
      <c r="H32" s="678"/>
      <c r="I32" s="678"/>
      <c r="J32" s="855"/>
      <c r="K32" s="617"/>
      <c r="L32" s="907" t="s">
        <v>1805</v>
      </c>
      <c r="M32" s="908">
        <f>ROUND($E$24*(1+M31),3)</f>
        <v>0.054</v>
      </c>
      <c r="N32" s="908">
        <f>ROUND($E$24*(1+N31),3)</f>
        <v>0.052</v>
      </c>
      <c r="O32" s="908">
        <f>ROUND($E$24*(1+O31),3)</f>
        <v>0.05</v>
      </c>
      <c r="P32" s="908">
        <f>ROUND($E$24*(1+P31),3)</f>
        <v>0.048</v>
      </c>
      <c r="Q32" s="945">
        <f>ROUND($E$24*(1+Q31),3)</f>
        <v>0.05</v>
      </c>
      <c r="R32" s="942"/>
      <c r="S32" s="942"/>
      <c r="T32" s="801"/>
      <c r="U32" s="801"/>
      <c r="V32" s="801"/>
      <c r="W32" s="617"/>
      <c r="X32" s="617"/>
      <c r="Y32" s="617"/>
      <c r="Z32" s="871"/>
      <c r="AA32" s="871"/>
      <c r="AB32" s="871"/>
      <c r="AC32" s="871"/>
      <c r="AD32" s="871"/>
      <c r="AE32" s="617"/>
      <c r="AF32" s="617"/>
      <c r="AG32" s="618"/>
      <c r="AH32" s="618"/>
      <c r="AI32" s="618"/>
      <c r="AJ32" s="618"/>
    </row>
    <row r="33" ht="13.8" spans="1:36">
      <c r="A33" s="775"/>
      <c r="B33" s="776" t="s">
        <v>1837</v>
      </c>
      <c r="C33" s="777">
        <f>ROUND(C5*C22*C23*C24*C25*C28,0)</f>
        <v>9450</v>
      </c>
      <c r="D33" s="778">
        <f>'数据-汇总表'!F19</f>
        <v>10109.15</v>
      </c>
      <c r="E33" s="779">
        <f>ROUND(C33*D33/10000,0)</f>
        <v>9553</v>
      </c>
      <c r="F33" s="780" t="s">
        <v>1838</v>
      </c>
      <c r="G33" s="781"/>
      <c r="H33" s="781"/>
      <c r="I33" s="781"/>
      <c r="J33" s="909"/>
      <c r="K33" s="617"/>
      <c r="L33" s="910" t="s">
        <v>1839</v>
      </c>
      <c r="M33" s="911">
        <v>0.055</v>
      </c>
      <c r="N33" s="911">
        <v>0.055</v>
      </c>
      <c r="O33" s="911">
        <v>0.05</v>
      </c>
      <c r="P33" s="911">
        <v>0.05</v>
      </c>
      <c r="Q33" s="911">
        <v>0.05</v>
      </c>
      <c r="R33" s="942"/>
      <c r="S33" s="942"/>
      <c r="T33" s="801"/>
      <c r="U33" s="801"/>
      <c r="V33" s="801"/>
      <c r="W33" s="617"/>
      <c r="X33" s="617"/>
      <c r="Y33" s="617"/>
      <c r="Z33" s="871"/>
      <c r="AA33" s="871"/>
      <c r="AB33" s="871"/>
      <c r="AC33" s="871"/>
      <c r="AD33" s="871"/>
      <c r="AE33" s="801"/>
      <c r="AF33" s="801"/>
      <c r="AG33" s="959"/>
      <c r="AH33" s="959"/>
      <c r="AI33" s="959"/>
      <c r="AJ33" s="959"/>
    </row>
    <row r="34" ht="25.95" spans="1:36">
      <c r="A34" s="782"/>
      <c r="B34" s="783" t="s">
        <v>1840</v>
      </c>
      <c r="C34" s="720">
        <f>ROUND(IF(E2="工业",C33*M42,IF(B25="楼层修正",SUM(V2:V16)*M41*10000/D34,C33*M41)),0)</f>
        <v>2363</v>
      </c>
      <c r="D34" s="784"/>
      <c r="E34" s="779">
        <f>ROUND(IF(B25="楼层修正",SUM(V2:V16)*M40,C34*D34/10000),0)</f>
        <v>0</v>
      </c>
      <c r="F34" s="785" t="s">
        <v>1841</v>
      </c>
      <c r="G34" s="786"/>
      <c r="H34" s="786"/>
      <c r="I34" s="786"/>
      <c r="J34" s="912"/>
      <c r="K34" s="617"/>
      <c r="L34" s="910" t="s">
        <v>1842</v>
      </c>
      <c r="M34" s="911">
        <v>0.065</v>
      </c>
      <c r="N34" s="911">
        <v>0.065</v>
      </c>
      <c r="O34" s="911">
        <v>0.06</v>
      </c>
      <c r="P34" s="911">
        <v>0.06</v>
      </c>
      <c r="Q34" s="911">
        <v>0.06</v>
      </c>
      <c r="R34" s="942"/>
      <c r="S34" s="942"/>
      <c r="T34" s="801"/>
      <c r="U34" s="801"/>
      <c r="V34" s="801"/>
      <c r="W34" s="617"/>
      <c r="X34" s="617"/>
      <c r="Y34" s="617"/>
      <c r="Z34" s="871"/>
      <c r="AA34" s="871"/>
      <c r="AB34" s="871"/>
      <c r="AC34" s="871"/>
      <c r="AD34" s="871"/>
      <c r="AE34" s="801"/>
      <c r="AF34" s="801"/>
      <c r="AG34" s="959"/>
      <c r="AH34" s="959"/>
      <c r="AI34" s="959"/>
      <c r="AJ34" s="959"/>
    </row>
    <row r="35" spans="1:36">
      <c r="A35" s="787"/>
      <c r="B35" s="788" t="s">
        <v>1843</v>
      </c>
      <c r="C35" s="789" t="s">
        <v>1844</v>
      </c>
      <c r="D35" s="678"/>
      <c r="E35" s="790"/>
      <c r="F35" s="790"/>
      <c r="G35" s="676" t="s">
        <v>1841</v>
      </c>
      <c r="H35" s="678"/>
      <c r="I35" s="913"/>
      <c r="J35" s="855"/>
      <c r="K35" s="617"/>
      <c r="L35" s="617"/>
      <c r="M35" s="617"/>
      <c r="N35" s="617"/>
      <c r="O35" s="873"/>
      <c r="P35" s="873"/>
      <c r="Q35" s="942"/>
      <c r="R35" s="617"/>
      <c r="S35" s="617"/>
      <c r="T35" s="617"/>
      <c r="U35" s="617"/>
      <c r="V35" s="617"/>
      <c r="W35" s="617"/>
      <c r="X35" s="617"/>
      <c r="Y35" s="617"/>
      <c r="Z35" s="801"/>
      <c r="AA35" s="801"/>
      <c r="AB35" s="801"/>
      <c r="AC35" s="801"/>
      <c r="AD35" s="801"/>
      <c r="AE35" s="801"/>
      <c r="AF35" s="801"/>
      <c r="AG35" s="959"/>
      <c r="AH35" s="959"/>
      <c r="AI35" s="959"/>
      <c r="AJ35" s="959"/>
    </row>
    <row r="36" ht="36.75" spans="1:36">
      <c r="A36" s="775"/>
      <c r="B36" s="791"/>
      <c r="C36" s="792" t="s">
        <v>1835</v>
      </c>
      <c r="D36" s="793" t="s">
        <v>562</v>
      </c>
      <c r="E36" s="793" t="s">
        <v>1836</v>
      </c>
      <c r="F36" s="624" t="s">
        <v>1845</v>
      </c>
      <c r="G36" s="794" t="s">
        <v>1835</v>
      </c>
      <c r="H36" s="794" t="s">
        <v>562</v>
      </c>
      <c r="I36" s="794" t="s">
        <v>1836</v>
      </c>
      <c r="J36" s="445"/>
      <c r="K36" s="914" t="s">
        <v>1846</v>
      </c>
      <c r="L36" s="915">
        <f ca="1">'数据-取费表'!B40</f>
        <v>0.0415</v>
      </c>
      <c r="M36" s="916">
        <f ca="1">ROUND($L$36*(1+M31),3)</f>
        <v>0.052</v>
      </c>
      <c r="N36" s="916">
        <f ca="1">ROUND($L$36*(1+N31),3)</f>
        <v>0.05</v>
      </c>
      <c r="O36" s="916">
        <f ca="1">ROUND($L$36*(1+O31),3)</f>
        <v>0.048</v>
      </c>
      <c r="P36" s="916">
        <f ca="1">ROUND($L$36*(1+P31),3)</f>
        <v>0.046</v>
      </c>
      <c r="Q36" s="916">
        <f ca="1">ROUND($L$36*(1+Q31),3)</f>
        <v>0.048</v>
      </c>
      <c r="R36" s="617"/>
      <c r="S36" s="617"/>
      <c r="T36" s="617"/>
      <c r="U36" s="617"/>
      <c r="V36" s="617"/>
      <c r="W36" s="617"/>
      <c r="X36" s="617"/>
      <c r="Y36" s="617"/>
      <c r="Z36" s="801"/>
      <c r="AA36" s="801"/>
      <c r="AB36" s="801"/>
      <c r="AC36" s="801"/>
      <c r="AD36" s="801"/>
      <c r="AE36" s="801"/>
      <c r="AF36" s="801"/>
      <c r="AG36" s="959"/>
      <c r="AH36" s="959"/>
      <c r="AI36" s="959"/>
      <c r="AJ36" s="959"/>
    </row>
    <row r="37" ht="24.75" spans="1:36">
      <c r="A37" s="795"/>
      <c r="B37" s="796" t="s">
        <v>1847</v>
      </c>
      <c r="C37" s="777">
        <f>ROUND(D5*C22*C23*C24*C28*F37,0)</f>
        <v>5941</v>
      </c>
      <c r="D37" s="778"/>
      <c r="E37" s="663">
        <f>ROUND(C37*D37/10000,0)</f>
        <v>0</v>
      </c>
      <c r="F37" s="663">
        <f>SUMIF(修正!A57:A68,G2,修正!B57:B68)</f>
        <v>0.6</v>
      </c>
      <c r="G37" s="663">
        <f>ROUND(IF(E2="工业",C37*$M$42,C37*$M$41),0)</f>
        <v>1485</v>
      </c>
      <c r="H37" s="663">
        <f>D37</f>
        <v>0</v>
      </c>
      <c r="I37" s="663">
        <f>ROUND(G37*H37/10000,0)</f>
        <v>0</v>
      </c>
      <c r="J37" s="917"/>
      <c r="K37" s="918" t="s">
        <v>1848</v>
      </c>
      <c r="L37" s="914">
        <f ca="1">L36+K38</f>
        <v>0.0465</v>
      </c>
      <c r="M37" s="916">
        <f ca="1">ROUND($L$37*(1+M31),3)</f>
        <v>0.058</v>
      </c>
      <c r="N37" s="916">
        <f ca="1" t="shared" ref="N37:Q37" si="3">ROUND($L$37*(1+N31),3)</f>
        <v>0.056</v>
      </c>
      <c r="O37" s="916">
        <f ca="1" t="shared" si="3"/>
        <v>0.053</v>
      </c>
      <c r="P37" s="916">
        <f ca="1" t="shared" si="3"/>
        <v>0.051</v>
      </c>
      <c r="Q37" s="916">
        <f ca="1" t="shared" si="3"/>
        <v>0.053</v>
      </c>
      <c r="R37" s="617"/>
      <c r="S37" s="617"/>
      <c r="T37" s="617"/>
      <c r="U37" s="617"/>
      <c r="V37" s="617"/>
      <c r="W37" s="617"/>
      <c r="X37" s="617"/>
      <c r="Y37" s="617"/>
      <c r="Z37" s="801"/>
      <c r="AA37" s="801"/>
      <c r="AB37" s="801"/>
      <c r="AC37" s="801"/>
      <c r="AD37" s="801"/>
      <c r="AE37" s="801"/>
      <c r="AF37" s="801"/>
      <c r="AG37" s="959"/>
      <c r="AH37" s="959"/>
      <c r="AI37" s="959"/>
      <c r="AJ37" s="959"/>
    </row>
    <row r="38" spans="1:30">
      <c r="A38" s="797"/>
      <c r="B38" s="681" t="s">
        <v>1849</v>
      </c>
      <c r="C38" s="777">
        <f>ROUND(D5*C22*C23*C24*C28*F38,0)</f>
        <v>2970</v>
      </c>
      <c r="D38" s="778"/>
      <c r="E38" s="663">
        <f t="shared" ref="E38:E42" si="4">ROUND(C38*D38/10000,0)</f>
        <v>0</v>
      </c>
      <c r="F38" s="663">
        <f>SUMIF(修正!A57:A68,G2,修正!C57:C68)</f>
        <v>0.3</v>
      </c>
      <c r="G38" s="663">
        <f>ROUND(IF(E2="工业",C38*$M$42,C38*$M$41),0)</f>
        <v>743</v>
      </c>
      <c r="H38" s="663">
        <f t="shared" ref="H38:H42" si="5">D38</f>
        <v>0</v>
      </c>
      <c r="I38" s="663">
        <f t="shared" ref="I38:I42" si="6">ROUND(G38*H38/10000,0)</f>
        <v>0</v>
      </c>
      <c r="J38" s="797"/>
      <c r="K38" s="914">
        <v>0.005</v>
      </c>
      <c r="L38" s="914"/>
      <c r="M38" s="914"/>
      <c r="N38" s="914"/>
      <c r="O38" s="914"/>
      <c r="P38" s="914"/>
      <c r="Q38" s="914"/>
      <c r="R38" s="617"/>
      <c r="S38" s="617"/>
      <c r="T38" s="617"/>
      <c r="U38" s="617"/>
      <c r="V38" s="617"/>
      <c r="W38" s="617"/>
      <c r="X38" s="617"/>
      <c r="Y38" s="617"/>
      <c r="Z38" s="801"/>
      <c r="AA38" s="801"/>
      <c r="AB38" s="801"/>
      <c r="AC38" s="801"/>
      <c r="AD38" s="801"/>
    </row>
    <row r="39" ht="13.95" spans="1:30">
      <c r="A39" s="797"/>
      <c r="B39" s="681" t="s">
        <v>1850</v>
      </c>
      <c r="C39" s="777">
        <f>ROUND(D5*C22*C23*C24*C28*F39,0)</f>
        <v>2475</v>
      </c>
      <c r="D39" s="778"/>
      <c r="E39" s="663">
        <f t="shared" si="4"/>
        <v>0</v>
      </c>
      <c r="F39" s="663">
        <f>SUMIF(修正!A57:A68,G2,修正!D57:D68)</f>
        <v>0.25</v>
      </c>
      <c r="G39" s="663">
        <f>ROUND(IF(E2="工业",C39*$M$42,C39*$M$41),0)</f>
        <v>619</v>
      </c>
      <c r="H39" s="663">
        <f t="shared" si="5"/>
        <v>0</v>
      </c>
      <c r="I39" s="663">
        <f t="shared" si="6"/>
        <v>0</v>
      </c>
      <c r="J39" s="797"/>
      <c r="K39" s="617"/>
      <c r="L39" s="617"/>
      <c r="M39" s="617"/>
      <c r="N39" s="617"/>
      <c r="O39" s="617"/>
      <c r="P39" s="617"/>
      <c r="Q39" s="617"/>
      <c r="R39" s="617"/>
      <c r="S39" s="617"/>
      <c r="T39" s="617"/>
      <c r="U39" s="617"/>
      <c r="V39" s="617"/>
      <c r="W39" s="617"/>
      <c r="X39" s="617"/>
      <c r="Y39" s="617"/>
      <c r="Z39" s="801"/>
      <c r="AA39" s="801"/>
      <c r="AB39" s="801"/>
      <c r="AC39" s="801"/>
      <c r="AD39" s="801"/>
    </row>
    <row r="40" s="617" customFormat="1" spans="1:36">
      <c r="A40" s="798"/>
      <c r="B40" s="681" t="s">
        <v>1851</v>
      </c>
      <c r="C40" s="663">
        <f>ROUND(D5*C22*C23*C24*C28*F40,0)</f>
        <v>2475</v>
      </c>
      <c r="D40" s="778"/>
      <c r="E40" s="663">
        <f t="shared" si="4"/>
        <v>0</v>
      </c>
      <c r="F40" s="777">
        <f>SUMIF(修正!A57:A68,G2,修正!E57:E68)</f>
        <v>0.25</v>
      </c>
      <c r="G40" s="663">
        <f>ROUND(IF(E2="工业",C40*$M$42,C40*$M$41),0)</f>
        <v>619</v>
      </c>
      <c r="H40" s="663">
        <f t="shared" si="5"/>
        <v>0</v>
      </c>
      <c r="I40" s="663">
        <f t="shared" si="6"/>
        <v>0</v>
      </c>
      <c r="J40" s="919"/>
      <c r="L40" s="920" t="s">
        <v>1852</v>
      </c>
      <c r="M40" s="921"/>
      <c r="Z40" s="801"/>
      <c r="AA40" s="801"/>
      <c r="AB40" s="801"/>
      <c r="AC40" s="801"/>
      <c r="AD40" s="801"/>
      <c r="AE40" s="801"/>
      <c r="AF40" s="801"/>
      <c r="AG40" s="801"/>
      <c r="AH40" s="801"/>
      <c r="AI40" s="801"/>
      <c r="AJ40" s="801"/>
    </row>
    <row r="41" s="617" customFormat="1" spans="1:36">
      <c r="A41" s="798"/>
      <c r="B41" s="681" t="s">
        <v>1853</v>
      </c>
      <c r="C41" s="663">
        <f>ROUND(D5*C22*C23*C44*C28*F41,0)</f>
        <v>0</v>
      </c>
      <c r="D41" s="778"/>
      <c r="E41" s="663">
        <f t="shared" si="4"/>
        <v>0</v>
      </c>
      <c r="F41" s="777">
        <f>SUMIF(修正!A57:A68,G2,修正!F57:F68)</f>
        <v>0.25</v>
      </c>
      <c r="G41" s="663">
        <f>ROUND(IF(E2="工业",C41*$M$42,C41*$M$41),0)</f>
        <v>0</v>
      </c>
      <c r="H41" s="663">
        <f t="shared" si="5"/>
        <v>0</v>
      </c>
      <c r="I41" s="663">
        <f t="shared" si="6"/>
        <v>0</v>
      </c>
      <c r="J41" s="919"/>
      <c r="L41" s="922" t="s">
        <v>1854</v>
      </c>
      <c r="M41" s="923">
        <v>0.25</v>
      </c>
      <c r="Z41" s="801"/>
      <c r="AA41" s="801"/>
      <c r="AB41" s="801"/>
      <c r="AC41" s="801"/>
      <c r="AD41" s="801"/>
      <c r="AE41" s="801"/>
      <c r="AF41" s="801"/>
      <c r="AG41" s="801"/>
      <c r="AH41" s="801"/>
      <c r="AI41" s="801"/>
      <c r="AJ41" s="801"/>
    </row>
    <row r="42" s="617" customFormat="1" ht="13.95" spans="1:36">
      <c r="A42" s="782"/>
      <c r="B42" s="799" t="s">
        <v>1855</v>
      </c>
      <c r="C42" s="720">
        <f>ROUND(D5*C22*C23*C44*C28*F42,0)</f>
        <v>0</v>
      </c>
      <c r="D42" s="784"/>
      <c r="E42" s="720">
        <f t="shared" si="4"/>
        <v>0</v>
      </c>
      <c r="F42" s="800">
        <f>SUMIF(修正!A57:A68,G2,修正!G57:G68)</f>
        <v>0.15</v>
      </c>
      <c r="G42" s="720">
        <f>ROUND(IF(E2="工业",C42*$M$42,C42*$M$41),0)</f>
        <v>0</v>
      </c>
      <c r="H42" s="720">
        <f t="shared" si="5"/>
        <v>0</v>
      </c>
      <c r="I42" s="720">
        <f t="shared" si="6"/>
        <v>0</v>
      </c>
      <c r="J42" s="924"/>
      <c r="L42" s="925" t="s">
        <v>1831</v>
      </c>
      <c r="M42" s="926">
        <v>0.15</v>
      </c>
      <c r="Z42" s="801"/>
      <c r="AA42" s="801"/>
      <c r="AB42" s="801"/>
      <c r="AC42" s="801"/>
      <c r="AD42" s="801"/>
      <c r="AE42" s="801"/>
      <c r="AF42" s="801"/>
      <c r="AG42" s="801"/>
      <c r="AH42" s="801"/>
      <c r="AI42" s="801"/>
      <c r="AJ42" s="801"/>
    </row>
    <row r="43" s="617" customFormat="1" spans="26:36">
      <c r="Z43" s="801"/>
      <c r="AA43" s="801"/>
      <c r="AB43" s="801"/>
      <c r="AC43" s="801"/>
      <c r="AD43" s="801"/>
      <c r="AE43" s="801"/>
      <c r="AF43" s="801"/>
      <c r="AG43" s="801"/>
      <c r="AH43" s="801"/>
      <c r="AI43" s="801"/>
      <c r="AJ43" s="801"/>
    </row>
    <row r="44" s="617" customFormat="1" ht="24" spans="1:36">
      <c r="A44" s="801"/>
      <c r="B44" s="802" t="s">
        <v>1856</v>
      </c>
      <c r="C44" s="624">
        <f>ROUND(POWER(1+E44,H44-G44)*(POWER(1+E44,G44)-1)/(POWER(1+E44,H44)-1),4)</f>
        <v>0</v>
      </c>
      <c r="D44" s="663" t="s">
        <v>1805</v>
      </c>
      <c r="E44" s="803">
        <f>G24</f>
        <v>0.055</v>
      </c>
      <c r="F44" s="663" t="s">
        <v>1806</v>
      </c>
      <c r="G44" s="804"/>
      <c r="H44" s="663">
        <v>50</v>
      </c>
      <c r="Z44" s="801"/>
      <c r="AA44" s="801"/>
      <c r="AB44" s="801"/>
      <c r="AC44" s="801"/>
      <c r="AD44" s="801"/>
      <c r="AE44" s="801"/>
      <c r="AF44" s="801"/>
      <c r="AG44" s="801"/>
      <c r="AH44" s="801"/>
      <c r="AI44" s="801"/>
      <c r="AJ44" s="801"/>
    </row>
    <row r="45" s="617" customFormat="1" spans="1:36">
      <c r="A45" s="801"/>
      <c r="B45" s="805"/>
      <c r="Z45" s="801"/>
      <c r="AA45" s="801"/>
      <c r="AB45" s="801"/>
      <c r="AC45" s="801"/>
      <c r="AD45" s="801"/>
      <c r="AE45" s="801"/>
      <c r="AF45" s="801"/>
      <c r="AG45" s="801"/>
      <c r="AH45" s="801"/>
      <c r="AI45" s="801"/>
      <c r="AJ45" s="801"/>
    </row>
    <row r="46" s="617" customFormat="1" spans="1:37">
      <c r="A46" s="801"/>
      <c r="B46" s="805"/>
      <c r="AA46" s="801"/>
      <c r="AB46" s="801"/>
      <c r="AC46" s="801"/>
      <c r="AD46" s="801"/>
      <c r="AE46" s="801"/>
      <c r="AF46" s="801"/>
      <c r="AG46" s="801"/>
      <c r="AH46" s="801"/>
      <c r="AI46" s="801"/>
      <c r="AJ46" s="801"/>
      <c r="AK46" s="801"/>
    </row>
    <row r="47" s="617" customFormat="1" ht="15.15" spans="1:37">
      <c r="A47" s="806" t="s">
        <v>1857</v>
      </c>
      <c r="B47" s="807"/>
      <c r="C47" s="808"/>
      <c r="D47" s="808"/>
      <c r="E47" s="808"/>
      <c r="F47" s="809"/>
      <c r="G47" s="809"/>
      <c r="H47" s="809"/>
      <c r="I47" s="927"/>
      <c r="J47" s="927"/>
      <c r="K47" s="927"/>
      <c r="L47" s="927"/>
      <c r="M47" s="927"/>
      <c r="AA47" s="801"/>
      <c r="AB47" s="801"/>
      <c r="AC47" s="801"/>
      <c r="AD47" s="801"/>
      <c r="AE47" s="801"/>
      <c r="AF47" s="801"/>
      <c r="AG47" s="801"/>
      <c r="AH47" s="801"/>
      <c r="AI47" s="801"/>
      <c r="AJ47" s="801"/>
      <c r="AK47" s="801"/>
    </row>
    <row r="48" s="617" customFormat="1" ht="14.4" spans="1:37">
      <c r="A48" s="810" t="s">
        <v>1858</v>
      </c>
      <c r="B48" s="811">
        <f>1+E50</f>
        <v>1</v>
      </c>
      <c r="C48" s="812"/>
      <c r="D48" s="813"/>
      <c r="E48" s="814"/>
      <c r="F48" s="815"/>
      <c r="G48" s="809"/>
      <c r="H48" s="808"/>
      <c r="I48" s="927"/>
      <c r="J48" s="927"/>
      <c r="K48" s="927"/>
      <c r="L48" s="927"/>
      <c r="M48" s="927"/>
      <c r="AA48" s="801"/>
      <c r="AB48" s="801"/>
      <c r="AC48" s="801"/>
      <c r="AD48" s="801"/>
      <c r="AE48" s="801"/>
      <c r="AF48" s="801"/>
      <c r="AG48" s="801"/>
      <c r="AH48" s="801"/>
      <c r="AI48" s="801"/>
      <c r="AJ48" s="801"/>
      <c r="AK48" s="801"/>
    </row>
    <row r="49" s="617" customFormat="1" ht="25.2" spans="1:37">
      <c r="A49" s="816" t="s">
        <v>1859</v>
      </c>
      <c r="B49" s="817" t="s">
        <v>1860</v>
      </c>
      <c r="C49" s="817" t="s">
        <v>1861</v>
      </c>
      <c r="D49" s="817" t="s">
        <v>1862</v>
      </c>
      <c r="E49" s="818" t="s">
        <v>1863</v>
      </c>
      <c r="F49" s="819" t="s">
        <v>1864</v>
      </c>
      <c r="G49" s="817" t="s">
        <v>1682</v>
      </c>
      <c r="H49" s="820" t="s">
        <v>1865</v>
      </c>
      <c r="I49" s="817" t="s">
        <v>1866</v>
      </c>
      <c r="J49" s="928" t="s">
        <v>1532</v>
      </c>
      <c r="K49" s="928" t="s">
        <v>1533</v>
      </c>
      <c r="L49" s="928" t="s">
        <v>1534</v>
      </c>
      <c r="M49" s="928" t="s">
        <v>1535</v>
      </c>
      <c r="N49" s="928" t="s">
        <v>1536</v>
      </c>
      <c r="AA49" s="801"/>
      <c r="AB49" s="801"/>
      <c r="AC49" s="801"/>
      <c r="AD49" s="801"/>
      <c r="AE49" s="801"/>
      <c r="AF49" s="801"/>
      <c r="AG49" s="801"/>
      <c r="AH49" s="801"/>
      <c r="AI49" s="801"/>
      <c r="AJ49" s="801"/>
      <c r="AK49" s="801"/>
    </row>
    <row r="50" s="617" customFormat="1" ht="37.2" spans="1:37">
      <c r="A50" s="816" t="s">
        <v>1867</v>
      </c>
      <c r="B50" s="821" t="str">
        <f>估价对象房地状况!C4</f>
        <v>估价对象位于XX商圈，周边商业氛围成熟，人流量大，商业繁华度好</v>
      </c>
      <c r="C50" s="687"/>
      <c r="D50" s="822">
        <f t="shared" ref="D50:D58" si="7">SUMIF($J$49:$N$49,C50,J50:N50)</f>
        <v>0</v>
      </c>
      <c r="E50" s="823">
        <f>ROUND(SUM(D50:D58),4)</f>
        <v>0</v>
      </c>
      <c r="F50" s="824" t="str">
        <f>IF(E2="商业",SUMIF(L1:L12,G2,N1:N12),"——")</f>
        <v>——</v>
      </c>
      <c r="G50" s="825"/>
      <c r="H50" s="826" t="str">
        <f t="shared" ref="H50:H58" si="8">IFERROR(ROUNDDOWN($F$50*I50/2,4),"——")</f>
        <v>——</v>
      </c>
      <c r="I50" s="929">
        <v>0.3</v>
      </c>
      <c r="J50" s="930">
        <f t="shared" ref="J50:J58" si="9">K50+$G50</f>
        <v>0</v>
      </c>
      <c r="K50" s="930">
        <f t="shared" ref="K50:K58" si="10">$L50+$G50</f>
        <v>0</v>
      </c>
      <c r="L50" s="930">
        <v>0</v>
      </c>
      <c r="M50" s="930">
        <f t="shared" ref="M50:N58" si="11">L50-$G50</f>
        <v>0</v>
      </c>
      <c r="N50" s="930">
        <f t="shared" si="11"/>
        <v>0</v>
      </c>
      <c r="AA50" s="801"/>
      <c r="AB50" s="801"/>
      <c r="AC50" s="801"/>
      <c r="AD50" s="801"/>
      <c r="AE50" s="801"/>
      <c r="AF50" s="801"/>
      <c r="AG50" s="801"/>
      <c r="AH50" s="801"/>
      <c r="AI50" s="801"/>
      <c r="AJ50" s="801"/>
      <c r="AK50" s="801"/>
    </row>
    <row r="51" s="617" customFormat="1" ht="48" spans="1:37">
      <c r="A51" s="816" t="s">
        <v>1868</v>
      </c>
      <c r="B51" s="827" t="str">
        <f>估价对象房地状况!C18</f>
        <v>估价对象周边道路状况、公共交通通达情况、停车便捷程度，综合评价交通便捷度较好</v>
      </c>
      <c r="C51" s="687"/>
      <c r="D51" s="822">
        <f t="shared" si="7"/>
        <v>0</v>
      </c>
      <c r="E51" s="828"/>
      <c r="F51" s="824"/>
      <c r="G51" s="825"/>
      <c r="H51" s="826" t="str">
        <f t="shared" si="8"/>
        <v>——</v>
      </c>
      <c r="I51" s="929">
        <v>0.22</v>
      </c>
      <c r="J51" s="930">
        <f t="shared" si="9"/>
        <v>0</v>
      </c>
      <c r="K51" s="930">
        <f t="shared" si="10"/>
        <v>0</v>
      </c>
      <c r="L51" s="930">
        <v>0</v>
      </c>
      <c r="M51" s="930">
        <f t="shared" si="11"/>
        <v>0</v>
      </c>
      <c r="N51" s="930">
        <f t="shared" si="11"/>
        <v>0</v>
      </c>
      <c r="AA51" s="801"/>
      <c r="AB51" s="801"/>
      <c r="AC51" s="801"/>
      <c r="AD51" s="801"/>
      <c r="AE51" s="801"/>
      <c r="AF51" s="801"/>
      <c r="AG51" s="801"/>
      <c r="AH51" s="801"/>
      <c r="AI51" s="801"/>
      <c r="AJ51" s="801"/>
      <c r="AK51" s="801"/>
    </row>
    <row r="52" s="617" customFormat="1" ht="48" spans="1:37">
      <c r="A52" s="829" t="s">
        <v>1869</v>
      </c>
      <c r="B52" s="827">
        <f>估价对象房地状况!C19</f>
        <v>0</v>
      </c>
      <c r="C52" s="687"/>
      <c r="D52" s="822">
        <f t="shared" si="7"/>
        <v>0</v>
      </c>
      <c r="E52" s="828"/>
      <c r="F52" s="824"/>
      <c r="G52" s="825"/>
      <c r="H52" s="826" t="str">
        <f t="shared" si="8"/>
        <v>——</v>
      </c>
      <c r="I52" s="929">
        <v>0.12</v>
      </c>
      <c r="J52" s="930">
        <f t="shared" si="9"/>
        <v>0</v>
      </c>
      <c r="K52" s="930">
        <f t="shared" si="10"/>
        <v>0</v>
      </c>
      <c r="L52" s="930">
        <v>0</v>
      </c>
      <c r="M52" s="930">
        <f t="shared" si="11"/>
        <v>0</v>
      </c>
      <c r="N52" s="930">
        <f t="shared" si="11"/>
        <v>0</v>
      </c>
      <c r="AA52" s="801"/>
      <c r="AB52" s="801"/>
      <c r="AC52" s="801"/>
      <c r="AD52" s="801"/>
      <c r="AE52" s="801"/>
      <c r="AF52" s="801"/>
      <c r="AG52" s="801"/>
      <c r="AH52" s="801"/>
      <c r="AI52" s="801"/>
      <c r="AJ52" s="801"/>
      <c r="AK52" s="801"/>
    </row>
    <row r="53" s="617" customFormat="1" ht="37.2" spans="1:37">
      <c r="A53" s="816" t="s">
        <v>1870</v>
      </c>
      <c r="B53" s="830" t="s">
        <v>1871</v>
      </c>
      <c r="C53" s="687"/>
      <c r="D53" s="822">
        <f t="shared" si="7"/>
        <v>0</v>
      </c>
      <c r="E53" s="828"/>
      <c r="F53" s="824"/>
      <c r="G53" s="825"/>
      <c r="H53" s="826" t="str">
        <f t="shared" si="8"/>
        <v>——</v>
      </c>
      <c r="I53" s="929">
        <v>0.05</v>
      </c>
      <c r="J53" s="930">
        <f t="shared" si="9"/>
        <v>0</v>
      </c>
      <c r="K53" s="930">
        <f t="shared" si="10"/>
        <v>0</v>
      </c>
      <c r="L53" s="930">
        <v>0</v>
      </c>
      <c r="M53" s="930">
        <f t="shared" si="11"/>
        <v>0</v>
      </c>
      <c r="N53" s="930">
        <f t="shared" si="11"/>
        <v>0</v>
      </c>
      <c r="AA53" s="801"/>
      <c r="AB53" s="801"/>
      <c r="AC53" s="801"/>
      <c r="AD53" s="801"/>
      <c r="AE53" s="801"/>
      <c r="AF53" s="801"/>
      <c r="AG53" s="801"/>
      <c r="AH53" s="801"/>
      <c r="AI53" s="801"/>
      <c r="AJ53" s="801"/>
      <c r="AK53" s="801"/>
    </row>
    <row r="54" s="617" customFormat="1" ht="24" spans="1:37">
      <c r="A54" s="816" t="s">
        <v>1872</v>
      </c>
      <c r="B54" s="827">
        <f>估价对象房地状况!C24</f>
        <v>0</v>
      </c>
      <c r="C54" s="687"/>
      <c r="D54" s="822">
        <f t="shared" si="7"/>
        <v>0</v>
      </c>
      <c r="E54" s="828"/>
      <c r="F54" s="824"/>
      <c r="G54" s="825"/>
      <c r="H54" s="826" t="str">
        <f t="shared" si="8"/>
        <v>——</v>
      </c>
      <c r="I54" s="929">
        <v>0.08</v>
      </c>
      <c r="J54" s="930">
        <f t="shared" si="9"/>
        <v>0</v>
      </c>
      <c r="K54" s="930">
        <f t="shared" si="10"/>
        <v>0</v>
      </c>
      <c r="L54" s="930">
        <v>0</v>
      </c>
      <c r="M54" s="930">
        <f t="shared" si="11"/>
        <v>0</v>
      </c>
      <c r="N54" s="930">
        <f t="shared" si="11"/>
        <v>0</v>
      </c>
      <c r="AA54" s="801"/>
      <c r="AB54" s="801"/>
      <c r="AC54" s="801"/>
      <c r="AD54" s="801"/>
      <c r="AE54" s="801"/>
      <c r="AF54" s="801"/>
      <c r="AG54" s="801"/>
      <c r="AH54" s="801"/>
      <c r="AI54" s="801"/>
      <c r="AJ54" s="801"/>
      <c r="AK54" s="801"/>
    </row>
    <row r="55" s="617" customFormat="1" ht="36" spans="1:37">
      <c r="A55" s="816" t="s">
        <v>1873</v>
      </c>
      <c r="B55" s="831" t="s">
        <v>1874</v>
      </c>
      <c r="C55" s="687"/>
      <c r="D55" s="822">
        <f t="shared" si="7"/>
        <v>0</v>
      </c>
      <c r="E55" s="828"/>
      <c r="F55" s="824"/>
      <c r="G55" s="825"/>
      <c r="H55" s="826" t="str">
        <f t="shared" si="8"/>
        <v>——</v>
      </c>
      <c r="I55" s="929">
        <v>0.05</v>
      </c>
      <c r="J55" s="930">
        <f t="shared" si="9"/>
        <v>0</v>
      </c>
      <c r="K55" s="930">
        <f t="shared" si="10"/>
        <v>0</v>
      </c>
      <c r="L55" s="930">
        <v>0</v>
      </c>
      <c r="M55" s="930">
        <f t="shared" si="11"/>
        <v>0</v>
      </c>
      <c r="N55" s="930">
        <f t="shared" si="11"/>
        <v>0</v>
      </c>
      <c r="AA55" s="801"/>
      <c r="AB55" s="801"/>
      <c r="AC55" s="801"/>
      <c r="AD55" s="801"/>
      <c r="AE55" s="801"/>
      <c r="AF55" s="801"/>
      <c r="AG55" s="801"/>
      <c r="AH55" s="801"/>
      <c r="AI55" s="801"/>
      <c r="AJ55" s="801"/>
      <c r="AK55" s="801"/>
    </row>
    <row r="56" s="617" customFormat="1" ht="24" spans="1:37">
      <c r="A56" s="832" t="s">
        <v>1875</v>
      </c>
      <c r="B56" s="833" t="str">
        <f>估价对象房地状况!C21</f>
        <v>估价对象所在区域公共配套设施齐备情况</v>
      </c>
      <c r="C56" s="687"/>
      <c r="D56" s="822">
        <f t="shared" si="7"/>
        <v>0</v>
      </c>
      <c r="E56" s="828"/>
      <c r="F56" s="824"/>
      <c r="G56" s="825"/>
      <c r="H56" s="826" t="str">
        <f t="shared" si="8"/>
        <v>——</v>
      </c>
      <c r="I56" s="929">
        <v>0.05</v>
      </c>
      <c r="J56" s="930">
        <f t="shared" si="9"/>
        <v>0</v>
      </c>
      <c r="K56" s="930">
        <f t="shared" si="10"/>
        <v>0</v>
      </c>
      <c r="L56" s="930">
        <v>0</v>
      </c>
      <c r="M56" s="930">
        <f t="shared" si="11"/>
        <v>0</v>
      </c>
      <c r="N56" s="930">
        <f t="shared" si="11"/>
        <v>0</v>
      </c>
      <c r="AA56" s="801"/>
      <c r="AB56" s="801"/>
      <c r="AC56" s="801"/>
      <c r="AD56" s="801"/>
      <c r="AE56" s="801"/>
      <c r="AF56" s="801"/>
      <c r="AG56" s="801"/>
      <c r="AH56" s="801"/>
      <c r="AI56" s="801"/>
      <c r="AJ56" s="801"/>
      <c r="AK56" s="801"/>
    </row>
    <row r="57" s="617" customFormat="1" ht="24" spans="1:37">
      <c r="A57" s="832" t="s">
        <v>1876</v>
      </c>
      <c r="B57" s="827" t="str">
        <f>估价对象房地状况!C22</f>
        <v>估价对象所在区域基础设施水平</v>
      </c>
      <c r="C57" s="687"/>
      <c r="D57" s="822">
        <f t="shared" si="7"/>
        <v>0</v>
      </c>
      <c r="E57" s="828"/>
      <c r="F57" s="824"/>
      <c r="G57" s="825"/>
      <c r="H57" s="826" t="str">
        <f t="shared" si="8"/>
        <v>——</v>
      </c>
      <c r="I57" s="929">
        <v>0.08</v>
      </c>
      <c r="J57" s="930">
        <f t="shared" si="9"/>
        <v>0</v>
      </c>
      <c r="K57" s="930">
        <f t="shared" si="10"/>
        <v>0</v>
      </c>
      <c r="L57" s="930">
        <v>0</v>
      </c>
      <c r="M57" s="930">
        <f t="shared" si="11"/>
        <v>0</v>
      </c>
      <c r="N57" s="930">
        <f t="shared" si="11"/>
        <v>0</v>
      </c>
      <c r="AA57" s="801"/>
      <c r="AB57" s="801"/>
      <c r="AC57" s="801"/>
      <c r="AD57" s="801"/>
      <c r="AE57" s="801"/>
      <c r="AF57" s="801"/>
      <c r="AG57" s="801"/>
      <c r="AH57" s="801"/>
      <c r="AI57" s="801"/>
      <c r="AJ57" s="801"/>
      <c r="AK57" s="801"/>
    </row>
    <row r="58" s="617" customFormat="1" ht="36.75" spans="1:37">
      <c r="A58" s="834" t="s">
        <v>1877</v>
      </c>
      <c r="B58" s="835" t="str">
        <f>估价对象房地状况!C20</f>
        <v>区域自然环境：；人文环境；综合评价环境状况一般</v>
      </c>
      <c r="C58" s="687"/>
      <c r="D58" s="822">
        <f t="shared" si="7"/>
        <v>0</v>
      </c>
      <c r="E58" s="836"/>
      <c r="F58" s="824"/>
      <c r="G58" s="825"/>
      <c r="H58" s="826" t="str">
        <f t="shared" si="8"/>
        <v>——</v>
      </c>
      <c r="I58" s="931">
        <v>0.05</v>
      </c>
      <c r="J58" s="930">
        <f t="shared" si="9"/>
        <v>0</v>
      </c>
      <c r="K58" s="930">
        <f t="shared" si="10"/>
        <v>0</v>
      </c>
      <c r="L58" s="930">
        <v>0</v>
      </c>
      <c r="M58" s="930">
        <f t="shared" si="11"/>
        <v>0</v>
      </c>
      <c r="N58" s="930">
        <f t="shared" si="11"/>
        <v>0</v>
      </c>
      <c r="AA58" s="801"/>
      <c r="AB58" s="801"/>
      <c r="AC58" s="801"/>
      <c r="AD58" s="801"/>
      <c r="AE58" s="801"/>
      <c r="AF58" s="801"/>
      <c r="AG58" s="801"/>
      <c r="AH58" s="801"/>
      <c r="AI58" s="801"/>
      <c r="AJ58" s="801"/>
      <c r="AK58" s="801"/>
    </row>
    <row r="59" s="617" customFormat="1" ht="14.4" spans="1:37">
      <c r="A59" s="810" t="s">
        <v>1878</v>
      </c>
      <c r="B59" s="811">
        <f>1+E61</f>
        <v>1.0501</v>
      </c>
      <c r="C59" s="813"/>
      <c r="D59" s="813"/>
      <c r="E59" s="814"/>
      <c r="F59" s="815"/>
      <c r="G59" s="809"/>
      <c r="H59" s="809"/>
      <c r="I59" s="809"/>
      <c r="J59" s="808"/>
      <c r="K59" s="808"/>
      <c r="L59" s="808"/>
      <c r="M59" s="808"/>
      <c r="N59" s="808"/>
      <c r="AA59" s="801"/>
      <c r="AB59" s="801"/>
      <c r="AC59" s="801"/>
      <c r="AD59" s="801"/>
      <c r="AE59" s="801"/>
      <c r="AF59" s="801"/>
      <c r="AG59" s="801"/>
      <c r="AH59" s="801"/>
      <c r="AI59" s="801"/>
      <c r="AJ59" s="801"/>
      <c r="AK59" s="801"/>
    </row>
    <row r="60" s="617" customFormat="1" ht="25.2" spans="1:37">
      <c r="A60" s="816" t="s">
        <v>1859</v>
      </c>
      <c r="B60" s="817"/>
      <c r="C60" s="817" t="s">
        <v>1861</v>
      </c>
      <c r="D60" s="817" t="s">
        <v>1862</v>
      </c>
      <c r="E60" s="818" t="s">
        <v>1863</v>
      </c>
      <c r="F60" s="819" t="s">
        <v>1879</v>
      </c>
      <c r="G60" s="817" t="s">
        <v>1682</v>
      </c>
      <c r="H60" s="820" t="s">
        <v>1865</v>
      </c>
      <c r="I60" s="817" t="s">
        <v>1866</v>
      </c>
      <c r="J60" s="928" t="s">
        <v>1532</v>
      </c>
      <c r="K60" s="928" t="s">
        <v>1533</v>
      </c>
      <c r="L60" s="928" t="s">
        <v>1534</v>
      </c>
      <c r="M60" s="928" t="s">
        <v>1535</v>
      </c>
      <c r="N60" s="928" t="s">
        <v>1536</v>
      </c>
      <c r="AA60" s="801"/>
      <c r="AB60" s="801"/>
      <c r="AC60" s="801"/>
      <c r="AD60" s="801"/>
      <c r="AE60" s="801"/>
      <c r="AF60" s="801"/>
      <c r="AG60" s="801"/>
      <c r="AH60" s="801"/>
      <c r="AI60" s="801"/>
      <c r="AJ60" s="801"/>
      <c r="AK60" s="801"/>
    </row>
    <row r="61" s="617" customFormat="1" ht="37.2" spans="1:37">
      <c r="A61" s="816" t="s">
        <v>1880</v>
      </c>
      <c r="B61" s="821" t="str">
        <f>估价对象房地状况!C17</f>
        <v>估价对象位于XX商圈，周边办公楼项目较多，入驻率高，办公集聚程度较好</v>
      </c>
      <c r="C61" s="687" t="s">
        <v>1583</v>
      </c>
      <c r="D61" s="822">
        <f t="shared" ref="D61:D69" si="12">SUMIF($J$60:$N$60,C61,J61:N61)</f>
        <v>0.0121</v>
      </c>
      <c r="E61" s="823">
        <f>ROUND(SUM(D61:D69),4)</f>
        <v>0.0501</v>
      </c>
      <c r="F61" s="824">
        <f>IF(E2="办公",SUMIF(L1:L12,G2,N1:N12),"——")</f>
        <v>0.097</v>
      </c>
      <c r="G61" s="825">
        <f>H61</f>
        <v>0.0121</v>
      </c>
      <c r="H61" s="826">
        <f t="shared" ref="H61:H69" si="13">IFERROR(ROUNDDOWN($F$61*I61/2,4),"——")</f>
        <v>0.0121</v>
      </c>
      <c r="I61" s="929">
        <v>0.25</v>
      </c>
      <c r="J61" s="930">
        <f t="shared" ref="J61:J69" si="14">K61+$G61</f>
        <v>0.0242</v>
      </c>
      <c r="K61" s="930">
        <f t="shared" ref="K61:K69" si="15">$L61+$G61</f>
        <v>0.0121</v>
      </c>
      <c r="L61" s="930">
        <v>0</v>
      </c>
      <c r="M61" s="930">
        <f t="shared" ref="M61:N69" si="16">L61-$G61</f>
        <v>-0.0121</v>
      </c>
      <c r="N61" s="930">
        <f t="shared" si="16"/>
        <v>-0.0242</v>
      </c>
      <c r="AA61" s="801"/>
      <c r="AB61" s="801"/>
      <c r="AC61" s="801"/>
      <c r="AD61" s="801"/>
      <c r="AE61" s="801"/>
      <c r="AF61" s="801"/>
      <c r="AG61" s="801"/>
      <c r="AH61" s="801"/>
      <c r="AI61" s="801"/>
      <c r="AJ61" s="801"/>
      <c r="AK61" s="801"/>
    </row>
    <row r="62" s="617" customFormat="1" ht="48" spans="1:37">
      <c r="A62" s="816" t="s">
        <v>1868</v>
      </c>
      <c r="B62" s="827" t="str">
        <f>估价对象房地状况!C18</f>
        <v>估价对象周边道路状况、公共交通通达情况、停车便捷程度，综合评价交通便捷度较好</v>
      </c>
      <c r="C62" s="687" t="s">
        <v>1583</v>
      </c>
      <c r="D62" s="822">
        <f t="shared" si="12"/>
        <v>0.0126</v>
      </c>
      <c r="E62" s="828"/>
      <c r="F62" s="824"/>
      <c r="G62" s="825">
        <f t="shared" ref="G62:G69" si="17">H62</f>
        <v>0.0126</v>
      </c>
      <c r="H62" s="826">
        <f t="shared" si="13"/>
        <v>0.0126</v>
      </c>
      <c r="I62" s="929">
        <v>0.26</v>
      </c>
      <c r="J62" s="930">
        <f t="shared" si="14"/>
        <v>0.0252</v>
      </c>
      <c r="K62" s="930">
        <f t="shared" si="15"/>
        <v>0.0126</v>
      </c>
      <c r="L62" s="930">
        <v>0</v>
      </c>
      <c r="M62" s="930">
        <f t="shared" si="16"/>
        <v>-0.0126</v>
      </c>
      <c r="N62" s="930">
        <f t="shared" si="16"/>
        <v>-0.0252</v>
      </c>
      <c r="AA62" s="801"/>
      <c r="AB62" s="801"/>
      <c r="AC62" s="801"/>
      <c r="AD62" s="801"/>
      <c r="AE62" s="801"/>
      <c r="AF62" s="801"/>
      <c r="AG62" s="801"/>
      <c r="AH62" s="801"/>
      <c r="AI62" s="801"/>
      <c r="AJ62" s="801"/>
      <c r="AK62" s="801"/>
    </row>
    <row r="63" s="617" customFormat="1" ht="48" spans="1:37">
      <c r="A63" s="829" t="s">
        <v>1869</v>
      </c>
      <c r="B63" s="827">
        <f>估价对象房地状况!C19</f>
        <v>0</v>
      </c>
      <c r="C63" s="687" t="s">
        <v>1583</v>
      </c>
      <c r="D63" s="822">
        <f t="shared" si="12"/>
        <v>0.0053</v>
      </c>
      <c r="E63" s="828"/>
      <c r="F63" s="824"/>
      <c r="G63" s="825">
        <f t="shared" si="17"/>
        <v>0.0053</v>
      </c>
      <c r="H63" s="826">
        <f t="shared" si="13"/>
        <v>0.0053</v>
      </c>
      <c r="I63" s="929">
        <v>0.11</v>
      </c>
      <c r="J63" s="930">
        <f t="shared" si="14"/>
        <v>0.0106</v>
      </c>
      <c r="K63" s="930">
        <f t="shared" si="15"/>
        <v>0.0053</v>
      </c>
      <c r="L63" s="930">
        <v>0</v>
      </c>
      <c r="M63" s="930">
        <f t="shared" si="16"/>
        <v>-0.0053</v>
      </c>
      <c r="N63" s="930">
        <f t="shared" si="16"/>
        <v>-0.0106</v>
      </c>
      <c r="AA63" s="801"/>
      <c r="AB63" s="801"/>
      <c r="AC63" s="801"/>
      <c r="AD63" s="801"/>
      <c r="AE63" s="801"/>
      <c r="AF63" s="801"/>
      <c r="AG63" s="801"/>
      <c r="AH63" s="801"/>
      <c r="AI63" s="801"/>
      <c r="AJ63" s="801"/>
      <c r="AK63" s="801"/>
    </row>
    <row r="64" s="617" customFormat="1" ht="37.2" spans="1:37">
      <c r="A64" s="816" t="s">
        <v>1870</v>
      </c>
      <c r="B64" s="830" t="s">
        <v>1871</v>
      </c>
      <c r="C64" s="687" t="s">
        <v>1583</v>
      </c>
      <c r="D64" s="822">
        <f t="shared" si="12"/>
        <v>0.0024</v>
      </c>
      <c r="E64" s="828"/>
      <c r="F64" s="824"/>
      <c r="G64" s="825">
        <f t="shared" si="17"/>
        <v>0.0024</v>
      </c>
      <c r="H64" s="826">
        <f t="shared" si="13"/>
        <v>0.0024</v>
      </c>
      <c r="I64" s="929">
        <v>0.05</v>
      </c>
      <c r="J64" s="930">
        <f t="shared" si="14"/>
        <v>0.0048</v>
      </c>
      <c r="K64" s="930">
        <f t="shared" si="15"/>
        <v>0.0024</v>
      </c>
      <c r="L64" s="930">
        <v>0</v>
      </c>
      <c r="M64" s="930">
        <f t="shared" si="16"/>
        <v>-0.0024</v>
      </c>
      <c r="N64" s="930">
        <f t="shared" si="16"/>
        <v>-0.0048</v>
      </c>
      <c r="AA64" s="801"/>
      <c r="AB64" s="801"/>
      <c r="AC64" s="801"/>
      <c r="AD64" s="801"/>
      <c r="AE64" s="801"/>
      <c r="AF64" s="801"/>
      <c r="AG64" s="801"/>
      <c r="AH64" s="801"/>
      <c r="AI64" s="801"/>
      <c r="AJ64" s="801"/>
      <c r="AK64" s="801"/>
    </row>
    <row r="65" s="617" customFormat="1" ht="24" spans="1:37">
      <c r="A65" s="816" t="s">
        <v>1872</v>
      </c>
      <c r="B65" s="827">
        <f>估价对象房地状况!C24</f>
        <v>0</v>
      </c>
      <c r="C65" s="687" t="s">
        <v>1600</v>
      </c>
      <c r="D65" s="822">
        <f t="shared" si="12"/>
        <v>0</v>
      </c>
      <c r="E65" s="828"/>
      <c r="F65" s="824"/>
      <c r="G65" s="825">
        <f t="shared" si="17"/>
        <v>0.0024</v>
      </c>
      <c r="H65" s="826">
        <f t="shared" si="13"/>
        <v>0.0024</v>
      </c>
      <c r="I65" s="929">
        <v>0.05</v>
      </c>
      <c r="J65" s="930">
        <f t="shared" si="14"/>
        <v>0.0048</v>
      </c>
      <c r="K65" s="930">
        <f t="shared" si="15"/>
        <v>0.0024</v>
      </c>
      <c r="L65" s="930">
        <v>0</v>
      </c>
      <c r="M65" s="930">
        <f t="shared" si="16"/>
        <v>-0.0024</v>
      </c>
      <c r="N65" s="930">
        <f t="shared" si="16"/>
        <v>-0.0048</v>
      </c>
      <c r="AA65" s="801"/>
      <c r="AB65" s="801"/>
      <c r="AC65" s="801"/>
      <c r="AD65" s="801"/>
      <c r="AE65" s="801"/>
      <c r="AF65" s="801"/>
      <c r="AG65" s="801"/>
      <c r="AH65" s="801"/>
      <c r="AI65" s="801"/>
      <c r="AJ65" s="801"/>
      <c r="AK65" s="801"/>
    </row>
    <row r="66" s="617" customFormat="1" ht="36" spans="1:37">
      <c r="A66" s="816" t="s">
        <v>1873</v>
      </c>
      <c r="B66" s="831" t="s">
        <v>1874</v>
      </c>
      <c r="C66" s="687" t="s">
        <v>1583</v>
      </c>
      <c r="D66" s="822">
        <f t="shared" si="12"/>
        <v>0.0029</v>
      </c>
      <c r="E66" s="828"/>
      <c r="F66" s="824"/>
      <c r="G66" s="825">
        <f t="shared" si="17"/>
        <v>0.0029</v>
      </c>
      <c r="H66" s="826">
        <f t="shared" si="13"/>
        <v>0.0029</v>
      </c>
      <c r="I66" s="929">
        <v>0.06</v>
      </c>
      <c r="J66" s="930">
        <f t="shared" si="14"/>
        <v>0.0058</v>
      </c>
      <c r="K66" s="930">
        <f t="shared" si="15"/>
        <v>0.0029</v>
      </c>
      <c r="L66" s="930">
        <v>0</v>
      </c>
      <c r="M66" s="930">
        <f t="shared" si="16"/>
        <v>-0.0029</v>
      </c>
      <c r="N66" s="930">
        <f t="shared" si="16"/>
        <v>-0.0058</v>
      </c>
      <c r="AA66" s="801"/>
      <c r="AB66" s="801"/>
      <c r="AC66" s="801"/>
      <c r="AD66" s="801"/>
      <c r="AE66" s="801"/>
      <c r="AF66" s="801"/>
      <c r="AG66" s="801"/>
      <c r="AH66" s="801"/>
      <c r="AI66" s="801"/>
      <c r="AJ66" s="801"/>
      <c r="AK66" s="801"/>
    </row>
    <row r="67" s="617" customFormat="1" ht="24" spans="1:37">
      <c r="A67" s="816" t="s">
        <v>1875</v>
      </c>
      <c r="B67" s="833" t="str">
        <f>估价对象房地状况!C21</f>
        <v>估价对象所在区域公共配套设施齐备情况</v>
      </c>
      <c r="C67" s="687" t="s">
        <v>1583</v>
      </c>
      <c r="D67" s="822">
        <f t="shared" si="12"/>
        <v>0.0029</v>
      </c>
      <c r="E67" s="828"/>
      <c r="F67" s="824"/>
      <c r="G67" s="825">
        <f t="shared" si="17"/>
        <v>0.0029</v>
      </c>
      <c r="H67" s="826">
        <f t="shared" si="13"/>
        <v>0.0029</v>
      </c>
      <c r="I67" s="929">
        <v>0.06</v>
      </c>
      <c r="J67" s="930">
        <f t="shared" si="14"/>
        <v>0.0058</v>
      </c>
      <c r="K67" s="930">
        <f t="shared" si="15"/>
        <v>0.0029</v>
      </c>
      <c r="L67" s="930">
        <v>0</v>
      </c>
      <c r="M67" s="930">
        <f t="shared" si="16"/>
        <v>-0.0029</v>
      </c>
      <c r="N67" s="930">
        <f t="shared" si="16"/>
        <v>-0.0058</v>
      </c>
      <c r="AA67" s="801"/>
      <c r="AB67" s="801"/>
      <c r="AC67" s="801"/>
      <c r="AD67" s="801"/>
      <c r="AE67" s="801"/>
      <c r="AF67" s="801"/>
      <c r="AG67" s="801"/>
      <c r="AH67" s="801"/>
      <c r="AI67" s="801"/>
      <c r="AJ67" s="801"/>
      <c r="AK67" s="801"/>
    </row>
    <row r="68" s="617" customFormat="1" ht="24" spans="1:37">
      <c r="A68" s="816" t="s">
        <v>1876</v>
      </c>
      <c r="B68" s="833" t="str">
        <f>估价对象房地状况!C22</f>
        <v>估价对象所在区域基础设施水平</v>
      </c>
      <c r="C68" s="687" t="s">
        <v>1584</v>
      </c>
      <c r="D68" s="822">
        <f t="shared" si="12"/>
        <v>0.0086</v>
      </c>
      <c r="E68" s="828"/>
      <c r="F68" s="824"/>
      <c r="G68" s="825">
        <f t="shared" si="17"/>
        <v>0.0043</v>
      </c>
      <c r="H68" s="826">
        <f t="shared" si="13"/>
        <v>0.0043</v>
      </c>
      <c r="I68" s="929">
        <v>0.09</v>
      </c>
      <c r="J68" s="930">
        <f t="shared" si="14"/>
        <v>0.0086</v>
      </c>
      <c r="K68" s="930">
        <f t="shared" si="15"/>
        <v>0.0043</v>
      </c>
      <c r="L68" s="930">
        <v>0</v>
      </c>
      <c r="M68" s="930">
        <f t="shared" si="16"/>
        <v>-0.0043</v>
      </c>
      <c r="N68" s="930">
        <f t="shared" si="16"/>
        <v>-0.0086</v>
      </c>
      <c r="AA68" s="801"/>
      <c r="AB68" s="801"/>
      <c r="AC68" s="801"/>
      <c r="AD68" s="801"/>
      <c r="AE68" s="801"/>
      <c r="AF68" s="801"/>
      <c r="AG68" s="801"/>
      <c r="AH68" s="801"/>
      <c r="AI68" s="801"/>
      <c r="AJ68" s="801"/>
      <c r="AK68" s="801"/>
    </row>
    <row r="69" s="617" customFormat="1" ht="36.75" spans="1:37">
      <c r="A69" s="834" t="s">
        <v>1877</v>
      </c>
      <c r="B69" s="963" t="str">
        <f>估价对象房地状况!C20</f>
        <v>区域自然环境：；人文环境；综合评价环境状况一般</v>
      </c>
      <c r="C69" s="687" t="s">
        <v>1583</v>
      </c>
      <c r="D69" s="822">
        <f t="shared" si="12"/>
        <v>0.0033</v>
      </c>
      <c r="E69" s="836"/>
      <c r="F69" s="824"/>
      <c r="G69" s="825">
        <f t="shared" si="17"/>
        <v>0.0033</v>
      </c>
      <c r="H69" s="826">
        <f t="shared" si="13"/>
        <v>0.0033</v>
      </c>
      <c r="I69" s="931">
        <v>0.07</v>
      </c>
      <c r="J69" s="930">
        <f t="shared" si="14"/>
        <v>0.0066</v>
      </c>
      <c r="K69" s="930">
        <f t="shared" si="15"/>
        <v>0.0033</v>
      </c>
      <c r="L69" s="930">
        <v>0</v>
      </c>
      <c r="M69" s="930">
        <f t="shared" si="16"/>
        <v>-0.0033</v>
      </c>
      <c r="N69" s="930">
        <f t="shared" si="16"/>
        <v>-0.0066</v>
      </c>
      <c r="AA69" s="801"/>
      <c r="AB69" s="801"/>
      <c r="AC69" s="801"/>
      <c r="AD69" s="801"/>
      <c r="AE69" s="801"/>
      <c r="AF69" s="801"/>
      <c r="AG69" s="801"/>
      <c r="AH69" s="801"/>
      <c r="AI69" s="801"/>
      <c r="AJ69" s="801"/>
      <c r="AK69" s="801"/>
    </row>
    <row r="70" s="617" customFormat="1" ht="14.4" spans="1:37">
      <c r="A70" s="810" t="s">
        <v>1881</v>
      </c>
      <c r="B70" s="811">
        <f>1+E72</f>
        <v>1</v>
      </c>
      <c r="C70" s="813"/>
      <c r="D70" s="813"/>
      <c r="E70" s="814"/>
      <c r="F70" s="815"/>
      <c r="G70" s="809"/>
      <c r="H70" s="809"/>
      <c r="I70" s="809"/>
      <c r="J70" s="808"/>
      <c r="K70" s="808"/>
      <c r="L70" s="808"/>
      <c r="M70" s="808"/>
      <c r="N70" s="808"/>
      <c r="AA70" s="801"/>
      <c r="AB70" s="801"/>
      <c r="AC70" s="801"/>
      <c r="AD70" s="801"/>
      <c r="AE70" s="801"/>
      <c r="AF70" s="801"/>
      <c r="AG70" s="801"/>
      <c r="AH70" s="801"/>
      <c r="AI70" s="801"/>
      <c r="AJ70" s="801"/>
      <c r="AK70" s="801"/>
    </row>
    <row r="71" s="617" customFormat="1" ht="25.2" spans="1:37">
      <c r="A71" s="816" t="s">
        <v>1859</v>
      </c>
      <c r="B71" s="817"/>
      <c r="C71" s="817" t="s">
        <v>1861</v>
      </c>
      <c r="D71" s="817" t="s">
        <v>1862</v>
      </c>
      <c r="E71" s="818" t="s">
        <v>1863</v>
      </c>
      <c r="F71" s="819" t="s">
        <v>1879</v>
      </c>
      <c r="G71" s="817" t="s">
        <v>1682</v>
      </c>
      <c r="H71" s="820" t="s">
        <v>1865</v>
      </c>
      <c r="I71" s="817" t="s">
        <v>1866</v>
      </c>
      <c r="J71" s="928" t="s">
        <v>1532</v>
      </c>
      <c r="K71" s="928" t="s">
        <v>1533</v>
      </c>
      <c r="L71" s="928" t="s">
        <v>1534</v>
      </c>
      <c r="M71" s="928" t="s">
        <v>1535</v>
      </c>
      <c r="N71" s="928" t="s">
        <v>1536</v>
      </c>
      <c r="AA71" s="801"/>
      <c r="AB71" s="801"/>
      <c r="AC71" s="801"/>
      <c r="AD71" s="801"/>
      <c r="AE71" s="801"/>
      <c r="AF71" s="801"/>
      <c r="AG71" s="801"/>
      <c r="AH71" s="801"/>
      <c r="AI71" s="801"/>
      <c r="AJ71" s="801"/>
      <c r="AK71" s="801"/>
    </row>
    <row r="72" s="617" customFormat="1" ht="48" spans="1:37">
      <c r="A72" s="816" t="s">
        <v>1882</v>
      </c>
      <c r="B72" s="821" t="str">
        <f>估价对象房地状况!C15</f>
        <v>估价对象周边居住用地比例、居住小区规模和社区发展完善程度，综合评价居住社区成熟度一般</v>
      </c>
      <c r="C72" s="687"/>
      <c r="D72" s="822">
        <f t="shared" ref="D72:D80" si="18">SUMIF($J$71:$N$71,C72,J72:N72)</f>
        <v>0</v>
      </c>
      <c r="E72" s="823">
        <f>ROUND(SUM(D72:D80),4)</f>
        <v>0</v>
      </c>
      <c r="F72" s="824" t="str">
        <f>IF(E2="住宅",SUMIF(L1:L12,G2,N1:N12),"——")</f>
        <v>——</v>
      </c>
      <c r="G72" s="825"/>
      <c r="H72" s="826" t="str">
        <f t="shared" ref="H72:H80" si="19">IFERROR(ROUNDDOWN($F$72*I72/2,4),"——")</f>
        <v>——</v>
      </c>
      <c r="I72" s="929">
        <v>0.2</v>
      </c>
      <c r="J72" s="930">
        <f t="shared" ref="J72:J80" si="20">K72+$G72</f>
        <v>0</v>
      </c>
      <c r="K72" s="930">
        <f t="shared" ref="K72:K80" si="21">$L72+$G72</f>
        <v>0</v>
      </c>
      <c r="L72" s="930">
        <v>0</v>
      </c>
      <c r="M72" s="930">
        <f t="shared" ref="M72:N80" si="22">L72-$G72</f>
        <v>0</v>
      </c>
      <c r="N72" s="930">
        <f t="shared" si="22"/>
        <v>0</v>
      </c>
      <c r="AA72" s="801"/>
      <c r="AB72" s="801"/>
      <c r="AC72" s="801"/>
      <c r="AD72" s="801"/>
      <c r="AE72" s="801"/>
      <c r="AF72" s="801"/>
      <c r="AG72" s="801"/>
      <c r="AH72" s="801"/>
      <c r="AI72" s="801"/>
      <c r="AJ72" s="801"/>
      <c r="AK72" s="801"/>
    </row>
    <row r="73" s="617" customFormat="1" ht="48" spans="1:37">
      <c r="A73" s="816" t="s">
        <v>1868</v>
      </c>
      <c r="B73" s="827" t="str">
        <f>估价对象房地状况!C18</f>
        <v>估价对象周边道路状况、公共交通通达情况、停车便捷程度，综合评价交通便捷度较好</v>
      </c>
      <c r="C73" s="687"/>
      <c r="D73" s="822">
        <f t="shared" si="18"/>
        <v>0</v>
      </c>
      <c r="E73" s="964"/>
      <c r="F73" s="824"/>
      <c r="G73" s="825"/>
      <c r="H73" s="826" t="str">
        <f t="shared" si="19"/>
        <v>——</v>
      </c>
      <c r="I73" s="929">
        <v>0.26</v>
      </c>
      <c r="J73" s="930">
        <f t="shared" si="20"/>
        <v>0</v>
      </c>
      <c r="K73" s="930">
        <f t="shared" si="21"/>
        <v>0</v>
      </c>
      <c r="L73" s="930">
        <v>0</v>
      </c>
      <c r="M73" s="930">
        <f t="shared" si="22"/>
        <v>0</v>
      </c>
      <c r="N73" s="930">
        <f t="shared" si="22"/>
        <v>0</v>
      </c>
      <c r="AA73" s="801"/>
      <c r="AB73" s="801"/>
      <c r="AC73" s="801"/>
      <c r="AD73" s="801"/>
      <c r="AE73" s="801"/>
      <c r="AF73" s="801"/>
      <c r="AG73" s="801"/>
      <c r="AH73" s="801"/>
      <c r="AI73" s="801"/>
      <c r="AJ73" s="801"/>
      <c r="AK73" s="801"/>
    </row>
    <row r="74" s="618" customFormat="1" ht="48" spans="1:37">
      <c r="A74" s="829" t="s">
        <v>1869</v>
      </c>
      <c r="B74" s="827">
        <f>估价对象房地状况!C19</f>
        <v>0</v>
      </c>
      <c r="C74" s="687"/>
      <c r="D74" s="822">
        <f t="shared" si="18"/>
        <v>0</v>
      </c>
      <c r="E74" s="964"/>
      <c r="F74" s="824"/>
      <c r="G74" s="825"/>
      <c r="H74" s="826" t="str">
        <f t="shared" si="19"/>
        <v>——</v>
      </c>
      <c r="I74" s="929">
        <v>0.1</v>
      </c>
      <c r="J74" s="930">
        <f t="shared" si="20"/>
        <v>0</v>
      </c>
      <c r="K74" s="930">
        <f t="shared" si="21"/>
        <v>0</v>
      </c>
      <c r="L74" s="930">
        <v>0</v>
      </c>
      <c r="M74" s="930">
        <f t="shared" si="22"/>
        <v>0</v>
      </c>
      <c r="N74" s="930">
        <f t="shared" si="22"/>
        <v>0</v>
      </c>
      <c r="O74" s="617"/>
      <c r="P74" s="617"/>
      <c r="Q74" s="617"/>
      <c r="AA74" s="959"/>
      <c r="AB74" s="801"/>
      <c r="AC74" s="801"/>
      <c r="AD74" s="801"/>
      <c r="AE74" s="801"/>
      <c r="AF74" s="801"/>
      <c r="AG74" s="801"/>
      <c r="AH74" s="959"/>
      <c r="AI74" s="959"/>
      <c r="AJ74" s="959"/>
      <c r="AK74" s="959"/>
    </row>
    <row r="75" ht="13.8" spans="1:37">
      <c r="A75" s="816" t="s">
        <v>1883</v>
      </c>
      <c r="B75" s="827">
        <f>估价对象房地状况!C24</f>
        <v>0</v>
      </c>
      <c r="C75" s="687"/>
      <c r="D75" s="822">
        <f t="shared" si="18"/>
        <v>0</v>
      </c>
      <c r="E75" s="964"/>
      <c r="F75" s="824"/>
      <c r="G75" s="825"/>
      <c r="H75" s="826" t="str">
        <f t="shared" si="19"/>
        <v>——</v>
      </c>
      <c r="I75" s="929">
        <v>0.05</v>
      </c>
      <c r="J75" s="930">
        <f t="shared" si="20"/>
        <v>0</v>
      </c>
      <c r="K75" s="930">
        <f t="shared" si="21"/>
        <v>0</v>
      </c>
      <c r="L75" s="930">
        <v>0</v>
      </c>
      <c r="M75" s="930">
        <f t="shared" si="22"/>
        <v>0</v>
      </c>
      <c r="N75" s="930">
        <f t="shared" si="22"/>
        <v>0</v>
      </c>
      <c r="O75" s="617"/>
      <c r="P75" s="617"/>
      <c r="Q75" s="618"/>
      <c r="Z75" s="621"/>
      <c r="AA75" s="619"/>
      <c r="AG75" s="623"/>
      <c r="AK75" s="619"/>
    </row>
    <row r="76" ht="24" spans="1:37">
      <c r="A76" s="816" t="s">
        <v>1875</v>
      </c>
      <c r="B76" s="833" t="str">
        <f>估价对象房地状况!C21</f>
        <v>估价对象所在区域公共配套设施齐备情况</v>
      </c>
      <c r="C76" s="687"/>
      <c r="D76" s="822">
        <f t="shared" si="18"/>
        <v>0</v>
      </c>
      <c r="E76" s="964"/>
      <c r="F76" s="824"/>
      <c r="G76" s="825"/>
      <c r="H76" s="826" t="str">
        <f t="shared" si="19"/>
        <v>——</v>
      </c>
      <c r="I76" s="929">
        <v>0.08</v>
      </c>
      <c r="J76" s="930">
        <f t="shared" si="20"/>
        <v>0</v>
      </c>
      <c r="K76" s="930">
        <f t="shared" si="21"/>
        <v>0</v>
      </c>
      <c r="L76" s="930">
        <v>0</v>
      </c>
      <c r="M76" s="930">
        <f t="shared" si="22"/>
        <v>0</v>
      </c>
      <c r="N76" s="930">
        <f t="shared" si="22"/>
        <v>0</v>
      </c>
      <c r="O76" s="617"/>
      <c r="P76" s="617"/>
      <c r="Z76" s="621"/>
      <c r="AA76" s="619"/>
      <c r="AG76" s="623"/>
      <c r="AK76" s="619"/>
    </row>
    <row r="77" ht="24" spans="1:37">
      <c r="A77" s="816" t="s">
        <v>1876</v>
      </c>
      <c r="B77" s="833" t="str">
        <f>估价对象房地状况!C22</f>
        <v>估价对象所在区域基础设施水平</v>
      </c>
      <c r="C77" s="687"/>
      <c r="D77" s="822">
        <f t="shared" si="18"/>
        <v>0</v>
      </c>
      <c r="E77" s="964"/>
      <c r="F77" s="824"/>
      <c r="G77" s="825"/>
      <c r="H77" s="826" t="str">
        <f t="shared" si="19"/>
        <v>——</v>
      </c>
      <c r="I77" s="929">
        <v>0.09</v>
      </c>
      <c r="J77" s="930">
        <f t="shared" si="20"/>
        <v>0</v>
      </c>
      <c r="K77" s="930">
        <f t="shared" si="21"/>
        <v>0</v>
      </c>
      <c r="L77" s="930">
        <v>0</v>
      </c>
      <c r="M77" s="930">
        <f t="shared" si="22"/>
        <v>0</v>
      </c>
      <c r="N77" s="930">
        <f t="shared" si="22"/>
        <v>0</v>
      </c>
      <c r="O77" s="617"/>
      <c r="P77" s="617"/>
      <c r="Z77" s="621"/>
      <c r="AA77" s="619"/>
      <c r="AG77" s="623"/>
      <c r="AK77" s="619"/>
    </row>
    <row r="78" ht="36" spans="1:37">
      <c r="A78" s="816" t="s">
        <v>1873</v>
      </c>
      <c r="B78" s="831" t="s">
        <v>1874</v>
      </c>
      <c r="C78" s="687"/>
      <c r="D78" s="822">
        <f t="shared" si="18"/>
        <v>0</v>
      </c>
      <c r="E78" s="964"/>
      <c r="F78" s="824"/>
      <c r="G78" s="825"/>
      <c r="H78" s="826" t="str">
        <f t="shared" si="19"/>
        <v>——</v>
      </c>
      <c r="I78" s="929">
        <v>0.05</v>
      </c>
      <c r="J78" s="930">
        <f t="shared" si="20"/>
        <v>0</v>
      </c>
      <c r="K78" s="930">
        <f t="shared" si="21"/>
        <v>0</v>
      </c>
      <c r="L78" s="930">
        <v>0</v>
      </c>
      <c r="M78" s="930">
        <f t="shared" si="22"/>
        <v>0</v>
      </c>
      <c r="N78" s="930">
        <f t="shared" si="22"/>
        <v>0</v>
      </c>
      <c r="O78" s="618"/>
      <c r="P78" s="618"/>
      <c r="Z78" s="621"/>
      <c r="AA78" s="619"/>
      <c r="AG78" s="623"/>
      <c r="AK78" s="619"/>
    </row>
    <row r="79" ht="36" spans="1:37">
      <c r="A79" s="816" t="s">
        <v>1877</v>
      </c>
      <c r="B79" s="821" t="str">
        <f>估价对象房地状况!C20</f>
        <v>区域自然环境：；人文环境；综合评价环境状况一般</v>
      </c>
      <c r="C79" s="687"/>
      <c r="D79" s="822">
        <f t="shared" si="18"/>
        <v>0</v>
      </c>
      <c r="E79" s="964"/>
      <c r="F79" s="824"/>
      <c r="G79" s="825"/>
      <c r="H79" s="826" t="str">
        <f t="shared" si="19"/>
        <v>——</v>
      </c>
      <c r="I79" s="929">
        <v>0.12</v>
      </c>
      <c r="J79" s="930">
        <f t="shared" si="20"/>
        <v>0</v>
      </c>
      <c r="K79" s="930">
        <f t="shared" si="21"/>
        <v>0</v>
      </c>
      <c r="L79" s="930">
        <v>0</v>
      </c>
      <c r="M79" s="930">
        <f t="shared" si="22"/>
        <v>0</v>
      </c>
      <c r="N79" s="930">
        <f t="shared" si="22"/>
        <v>0</v>
      </c>
      <c r="Z79" s="621"/>
      <c r="AA79" s="619"/>
      <c r="AG79" s="623"/>
      <c r="AK79" s="619"/>
    </row>
    <row r="80" ht="36.75" spans="1:37">
      <c r="A80" s="834" t="s">
        <v>1884</v>
      </c>
      <c r="B80" s="965"/>
      <c r="C80" s="687"/>
      <c r="D80" s="822">
        <f t="shared" si="18"/>
        <v>0</v>
      </c>
      <c r="E80" s="966"/>
      <c r="F80" s="824"/>
      <c r="G80" s="825"/>
      <c r="H80" s="826" t="str">
        <f t="shared" si="19"/>
        <v>——</v>
      </c>
      <c r="I80" s="931">
        <v>0.05</v>
      </c>
      <c r="J80" s="930">
        <f t="shared" si="20"/>
        <v>0</v>
      </c>
      <c r="K80" s="930">
        <f t="shared" si="21"/>
        <v>0</v>
      </c>
      <c r="L80" s="930">
        <v>0</v>
      </c>
      <c r="M80" s="930">
        <f t="shared" si="22"/>
        <v>0</v>
      </c>
      <c r="N80" s="930">
        <f t="shared" si="22"/>
        <v>0</v>
      </c>
      <c r="Z80" s="621"/>
      <c r="AA80" s="619"/>
      <c r="AG80" s="623"/>
      <c r="AK80" s="619"/>
    </row>
    <row r="81" ht="14.4" spans="1:37">
      <c r="A81" s="810" t="s">
        <v>1885</v>
      </c>
      <c r="B81" s="811">
        <f>1+E83</f>
        <v>1</v>
      </c>
      <c r="C81" s="813"/>
      <c r="D81" s="813"/>
      <c r="E81" s="814"/>
      <c r="F81" s="815"/>
      <c r="G81" s="809"/>
      <c r="H81" s="809"/>
      <c r="I81" s="809"/>
      <c r="J81" s="808"/>
      <c r="K81" s="808"/>
      <c r="L81" s="808"/>
      <c r="M81" s="808"/>
      <c r="N81" s="808"/>
      <c r="Z81" s="621"/>
      <c r="AA81" s="619"/>
      <c r="AG81" s="623"/>
      <c r="AK81" s="619"/>
    </row>
    <row r="82" ht="25.2" spans="1:37">
      <c r="A82" s="816" t="s">
        <v>1859</v>
      </c>
      <c r="B82" s="817"/>
      <c r="C82" s="817" t="s">
        <v>1861</v>
      </c>
      <c r="D82" s="817" t="s">
        <v>1862</v>
      </c>
      <c r="E82" s="818" t="s">
        <v>1863</v>
      </c>
      <c r="F82" s="819" t="s">
        <v>1879</v>
      </c>
      <c r="G82" s="817" t="s">
        <v>1682</v>
      </c>
      <c r="H82" s="820" t="s">
        <v>1865</v>
      </c>
      <c r="I82" s="817" t="s">
        <v>1866</v>
      </c>
      <c r="J82" s="928" t="s">
        <v>1532</v>
      </c>
      <c r="K82" s="928" t="s">
        <v>1533</v>
      </c>
      <c r="L82" s="928" t="s">
        <v>1534</v>
      </c>
      <c r="M82" s="928" t="s">
        <v>1535</v>
      </c>
      <c r="N82" s="928" t="s">
        <v>1536</v>
      </c>
      <c r="Z82" s="621"/>
      <c r="AA82" s="619"/>
      <c r="AG82" s="623"/>
      <c r="AK82" s="619"/>
    </row>
    <row r="83" ht="39.6" spans="1:37">
      <c r="A83" s="816" t="s">
        <v>1886</v>
      </c>
      <c r="B83" s="827" t="str">
        <f>估价对象房地状况!G15</f>
        <v>估价对象位于XX开发区，园区建设成熟度XX，产业集聚程度XX</v>
      </c>
      <c r="C83" s="687"/>
      <c r="D83" s="822">
        <f t="shared" ref="D83:D90" si="23">SUMIF($J$82:$N$82,C83,J83:N83)</f>
        <v>0</v>
      </c>
      <c r="E83" s="823">
        <f>ROUND(SUM(D83:D90),4)</f>
        <v>0</v>
      </c>
      <c r="F83" s="824" t="str">
        <f>IF(E2="工业",SUMIF(L1:L12,G2,N1:N12),"——")</f>
        <v>——</v>
      </c>
      <c r="G83" s="825"/>
      <c r="H83" s="826" t="str">
        <f t="shared" ref="H83:H90" si="24">IFERROR(ROUNDDOWN($F$83*I83/2,4),"——")</f>
        <v>——</v>
      </c>
      <c r="I83" s="929">
        <v>0.26</v>
      </c>
      <c r="J83" s="930">
        <f t="shared" ref="J83:J90" si="25">K83+$G83</f>
        <v>0</v>
      </c>
      <c r="K83" s="930">
        <f t="shared" ref="K83:K90" si="26">$L83+$G83</f>
        <v>0</v>
      </c>
      <c r="L83" s="930">
        <v>0</v>
      </c>
      <c r="M83" s="930">
        <f t="shared" ref="M83:N90" si="27">L83-$G83</f>
        <v>0</v>
      </c>
      <c r="N83" s="930">
        <f t="shared" si="27"/>
        <v>0</v>
      </c>
      <c r="Z83" s="621"/>
      <c r="AA83" s="619"/>
      <c r="AG83" s="623"/>
      <c r="AK83" s="619"/>
    </row>
    <row r="84" ht="48" spans="1:37">
      <c r="A84" s="816" t="s">
        <v>1868</v>
      </c>
      <c r="B84" s="827" t="str">
        <f>估价对象房地状况!G16</f>
        <v>估价对象周边道路状况、公共交通通达情况、停车便捷程度，综合评价交通便捷度较好</v>
      </c>
      <c r="C84" s="687"/>
      <c r="D84" s="822">
        <f t="shared" si="23"/>
        <v>0</v>
      </c>
      <c r="E84" s="964"/>
      <c r="F84" s="824"/>
      <c r="G84" s="825"/>
      <c r="H84" s="826" t="str">
        <f t="shared" si="24"/>
        <v>——</v>
      </c>
      <c r="I84" s="929">
        <v>0.3</v>
      </c>
      <c r="J84" s="930">
        <f t="shared" si="25"/>
        <v>0</v>
      </c>
      <c r="K84" s="930">
        <f t="shared" si="26"/>
        <v>0</v>
      </c>
      <c r="L84" s="930">
        <v>0</v>
      </c>
      <c r="M84" s="930">
        <f t="shared" si="27"/>
        <v>0</v>
      </c>
      <c r="N84" s="930">
        <f t="shared" si="27"/>
        <v>0</v>
      </c>
      <c r="Z84" s="621"/>
      <c r="AA84" s="619"/>
      <c r="AG84" s="623"/>
      <c r="AK84" s="619"/>
    </row>
    <row r="85" ht="48" spans="1:37">
      <c r="A85" s="829" t="s">
        <v>1869</v>
      </c>
      <c r="B85" s="827">
        <f>估价对象房地状况!G17</f>
        <v>0</v>
      </c>
      <c r="C85" s="687"/>
      <c r="D85" s="822">
        <f t="shared" si="23"/>
        <v>0</v>
      </c>
      <c r="E85" s="964"/>
      <c r="F85" s="824"/>
      <c r="G85" s="825"/>
      <c r="H85" s="826" t="str">
        <f t="shared" si="24"/>
        <v>——</v>
      </c>
      <c r="I85" s="929">
        <v>0.1</v>
      </c>
      <c r="J85" s="930">
        <f t="shared" si="25"/>
        <v>0</v>
      </c>
      <c r="K85" s="930">
        <f t="shared" si="26"/>
        <v>0</v>
      </c>
      <c r="L85" s="930">
        <v>0</v>
      </c>
      <c r="M85" s="930">
        <f t="shared" si="27"/>
        <v>0</v>
      </c>
      <c r="N85" s="930">
        <f t="shared" si="27"/>
        <v>0</v>
      </c>
      <c r="Z85" s="621"/>
      <c r="AA85" s="619"/>
      <c r="AG85" s="623"/>
      <c r="AK85" s="619"/>
    </row>
    <row r="86" ht="13.8" spans="1:37">
      <c r="A86" s="816" t="s">
        <v>1883</v>
      </c>
      <c r="B86" s="827">
        <f>估价对象房地状况!G22</f>
        <v>0</v>
      </c>
      <c r="C86" s="687"/>
      <c r="D86" s="822">
        <f t="shared" si="23"/>
        <v>0</v>
      </c>
      <c r="E86" s="964"/>
      <c r="F86" s="824"/>
      <c r="G86" s="825"/>
      <c r="H86" s="826" t="str">
        <f t="shared" si="24"/>
        <v>——</v>
      </c>
      <c r="I86" s="929">
        <v>0.05</v>
      </c>
      <c r="J86" s="930">
        <f t="shared" si="25"/>
        <v>0</v>
      </c>
      <c r="K86" s="930">
        <f t="shared" si="26"/>
        <v>0</v>
      </c>
      <c r="L86" s="930">
        <v>0</v>
      </c>
      <c r="M86" s="930">
        <f t="shared" si="27"/>
        <v>0</v>
      </c>
      <c r="N86" s="930">
        <f t="shared" si="27"/>
        <v>0</v>
      </c>
      <c r="Z86" s="621"/>
      <c r="AA86" s="619"/>
      <c r="AG86" s="623"/>
      <c r="AK86" s="619"/>
    </row>
    <row r="87" ht="24" spans="1:14">
      <c r="A87" s="816" t="s">
        <v>1875</v>
      </c>
      <c r="B87" s="833" t="str">
        <f>估价对象房地状况!G19</f>
        <v>估价对象所在区域公共配套设施齐备情况</v>
      </c>
      <c r="C87" s="687"/>
      <c r="D87" s="822">
        <f t="shared" si="23"/>
        <v>0</v>
      </c>
      <c r="E87" s="964"/>
      <c r="F87" s="824"/>
      <c r="G87" s="825"/>
      <c r="H87" s="826" t="str">
        <f t="shared" si="24"/>
        <v>——</v>
      </c>
      <c r="I87" s="929">
        <v>0.06</v>
      </c>
      <c r="J87" s="930">
        <f t="shared" si="25"/>
        <v>0</v>
      </c>
      <c r="K87" s="930">
        <f t="shared" si="26"/>
        <v>0</v>
      </c>
      <c r="L87" s="930">
        <v>0</v>
      </c>
      <c r="M87" s="930">
        <f t="shared" si="27"/>
        <v>0</v>
      </c>
      <c r="N87" s="930">
        <f t="shared" si="27"/>
        <v>0</v>
      </c>
    </row>
    <row r="88" ht="24" spans="1:14">
      <c r="A88" s="816" t="s">
        <v>1876</v>
      </c>
      <c r="B88" s="833" t="str">
        <f>估价对象房地状况!G20</f>
        <v>估价对象所在区域基础设施水平</v>
      </c>
      <c r="C88" s="687"/>
      <c r="D88" s="822">
        <f t="shared" si="23"/>
        <v>0</v>
      </c>
      <c r="E88" s="964"/>
      <c r="F88" s="824"/>
      <c r="G88" s="825"/>
      <c r="H88" s="826" t="str">
        <f t="shared" si="24"/>
        <v>——</v>
      </c>
      <c r="I88" s="929">
        <v>0.12</v>
      </c>
      <c r="J88" s="930">
        <f t="shared" si="25"/>
        <v>0</v>
      </c>
      <c r="K88" s="930">
        <f t="shared" si="26"/>
        <v>0</v>
      </c>
      <c r="L88" s="930">
        <v>0</v>
      </c>
      <c r="M88" s="930">
        <f t="shared" si="27"/>
        <v>0</v>
      </c>
      <c r="N88" s="930">
        <f t="shared" si="27"/>
        <v>0</v>
      </c>
    </row>
    <row r="89" ht="36" spans="1:14">
      <c r="A89" s="816" t="s">
        <v>1873</v>
      </c>
      <c r="B89" s="831" t="s">
        <v>1887</v>
      </c>
      <c r="C89" s="687"/>
      <c r="D89" s="822">
        <f t="shared" si="23"/>
        <v>0</v>
      </c>
      <c r="E89" s="964"/>
      <c r="F89" s="824"/>
      <c r="G89" s="825"/>
      <c r="H89" s="826" t="str">
        <f t="shared" si="24"/>
        <v>——</v>
      </c>
      <c r="I89" s="929">
        <v>0.06</v>
      </c>
      <c r="J89" s="930">
        <f t="shared" si="25"/>
        <v>0</v>
      </c>
      <c r="K89" s="930">
        <f t="shared" si="26"/>
        <v>0</v>
      </c>
      <c r="L89" s="930">
        <v>0</v>
      </c>
      <c r="M89" s="930">
        <f t="shared" si="27"/>
        <v>0</v>
      </c>
      <c r="N89" s="930">
        <f t="shared" si="27"/>
        <v>0</v>
      </c>
    </row>
    <row r="90" ht="36.75" spans="1:14">
      <c r="A90" s="834" t="s">
        <v>1888</v>
      </c>
      <c r="B90" s="967" t="str">
        <f>估价对象房地状况!G18</f>
        <v>该园区内是否有污染型企业，绿化情况，卫生条件，整体环境状况判断</v>
      </c>
      <c r="C90" s="687"/>
      <c r="D90" s="822">
        <f t="shared" si="23"/>
        <v>0</v>
      </c>
      <c r="E90" s="966"/>
      <c r="F90" s="824"/>
      <c r="G90" s="825"/>
      <c r="H90" s="826" t="str">
        <f t="shared" si="24"/>
        <v>——</v>
      </c>
      <c r="I90" s="931">
        <v>0.05</v>
      </c>
      <c r="J90" s="930">
        <f t="shared" si="25"/>
        <v>0</v>
      </c>
      <c r="K90" s="930">
        <f t="shared" si="26"/>
        <v>0</v>
      </c>
      <c r="L90" s="930">
        <v>0</v>
      </c>
      <c r="M90" s="930">
        <f t="shared" si="27"/>
        <v>0</v>
      </c>
      <c r="N90" s="930">
        <f t="shared" si="27"/>
        <v>0</v>
      </c>
    </row>
    <row r="91" ht="13.8" spans="1:14">
      <c r="A91" s="968" t="s">
        <v>280</v>
      </c>
      <c r="B91" s="969">
        <f>1+E93</f>
        <v>1</v>
      </c>
      <c r="C91" s="970"/>
      <c r="D91" s="971"/>
      <c r="E91" s="824"/>
      <c r="F91" s="824"/>
      <c r="G91" s="972"/>
      <c r="H91" s="973"/>
      <c r="I91" s="1011"/>
      <c r="J91" s="1012"/>
      <c r="K91" s="1012"/>
      <c r="L91" s="1012"/>
      <c r="M91" s="1012"/>
      <c r="N91" s="1012"/>
    </row>
    <row r="92" ht="25.2" spans="1:14">
      <c r="A92" s="974" t="s">
        <v>1859</v>
      </c>
      <c r="B92" s="975"/>
      <c r="C92" s="975" t="s">
        <v>1861</v>
      </c>
      <c r="D92" s="975" t="s">
        <v>1862</v>
      </c>
      <c r="E92" s="944" t="s">
        <v>1863</v>
      </c>
      <c r="F92" s="976" t="s">
        <v>1879</v>
      </c>
      <c r="G92" s="975" t="s">
        <v>1682</v>
      </c>
      <c r="H92" s="977" t="s">
        <v>1865</v>
      </c>
      <c r="I92" s="975" t="s">
        <v>1866</v>
      </c>
      <c r="J92" s="1013" t="s">
        <v>1532</v>
      </c>
      <c r="K92" s="1013" t="s">
        <v>1533</v>
      </c>
      <c r="L92" s="1013" t="s">
        <v>1534</v>
      </c>
      <c r="M92" s="1013" t="s">
        <v>1535</v>
      </c>
      <c r="N92" s="1013" t="s">
        <v>1536</v>
      </c>
    </row>
    <row r="93" ht="24" spans="1:14">
      <c r="A93" s="829" t="s">
        <v>1889</v>
      </c>
      <c r="B93" s="978"/>
      <c r="C93" s="687"/>
      <c r="D93" s="975">
        <f>SUMIF($J$92:$N$92,C93,J93:N93)</f>
        <v>0</v>
      </c>
      <c r="E93" s="979">
        <f>ROUND(SUM(D93:D101),4)</f>
        <v>0</v>
      </c>
      <c r="F93" s="824" t="str">
        <f>IF(E2="公共服务",SUMIF(L1:L12,G2,N1:N12),"——")</f>
        <v>——</v>
      </c>
      <c r="G93" s="972"/>
      <c r="H93" s="980" t="str">
        <f>IFERROR(ROUNDDOWN($F$93*I93/2,4),"——")</f>
        <v>——</v>
      </c>
      <c r="I93" s="929">
        <v>0.25</v>
      </c>
      <c r="J93" s="748">
        <f t="shared" ref="J93:J101" si="28">K93+$G93</f>
        <v>0</v>
      </c>
      <c r="K93" s="748">
        <f t="shared" ref="K93:K101" si="29">$L93+$G93</f>
        <v>0</v>
      </c>
      <c r="L93" s="748">
        <v>0</v>
      </c>
      <c r="M93" s="748">
        <f t="shared" ref="M93:N101" si="30">L93-$G93</f>
        <v>0</v>
      </c>
      <c r="N93" s="748">
        <f t="shared" si="30"/>
        <v>0</v>
      </c>
    </row>
    <row r="94" ht="48" spans="1:14">
      <c r="A94" s="974" t="s">
        <v>1868</v>
      </c>
      <c r="B94" s="981" t="str">
        <f>估价对象房地状况!C18</f>
        <v>估价对象周边道路状况、公共交通通达情况、停车便捷程度，综合评价交通便捷度较好</v>
      </c>
      <c r="C94" s="687"/>
      <c r="D94" s="975">
        <f t="shared" ref="D94:D101" si="31">SUMIF($J$60:$N$60,C94,J94:N94)</f>
        <v>0</v>
      </c>
      <c r="E94" s="982"/>
      <c r="F94" s="824"/>
      <c r="G94" s="972"/>
      <c r="H94" s="980" t="str">
        <f>IFERROR(ROUNDDOWN($F$93*I94/2,4),"——")</f>
        <v>——</v>
      </c>
      <c r="I94" s="929">
        <v>0.26</v>
      </c>
      <c r="J94" s="748">
        <f t="shared" si="28"/>
        <v>0</v>
      </c>
      <c r="K94" s="748">
        <f t="shared" si="29"/>
        <v>0</v>
      </c>
      <c r="L94" s="748">
        <v>0</v>
      </c>
      <c r="M94" s="748">
        <f t="shared" si="30"/>
        <v>0</v>
      </c>
      <c r="N94" s="748">
        <f t="shared" si="30"/>
        <v>0</v>
      </c>
    </row>
    <row r="95" ht="48" spans="1:14">
      <c r="A95" s="829" t="s">
        <v>1869</v>
      </c>
      <c r="B95" s="981">
        <f>估价对象房地状况!C19</f>
        <v>0</v>
      </c>
      <c r="C95" s="687"/>
      <c r="D95" s="975">
        <f t="shared" si="31"/>
        <v>0</v>
      </c>
      <c r="E95" s="982"/>
      <c r="F95" s="824"/>
      <c r="G95" s="972"/>
      <c r="H95" s="980" t="str">
        <f t="shared" ref="H95:H101" si="32">IFERROR(ROUNDDOWN($F$93*I95/2,4),"——")</f>
        <v>——</v>
      </c>
      <c r="I95" s="929">
        <v>0.11</v>
      </c>
      <c r="J95" s="748">
        <f t="shared" si="28"/>
        <v>0</v>
      </c>
      <c r="K95" s="748">
        <f t="shared" si="29"/>
        <v>0</v>
      </c>
      <c r="L95" s="748">
        <v>0</v>
      </c>
      <c r="M95" s="748">
        <f t="shared" si="30"/>
        <v>0</v>
      </c>
      <c r="N95" s="748">
        <f t="shared" si="30"/>
        <v>0</v>
      </c>
    </row>
    <row r="96" ht="37.2" spans="1:14">
      <c r="A96" s="974" t="s">
        <v>1870</v>
      </c>
      <c r="B96" s="983" t="s">
        <v>1871</v>
      </c>
      <c r="C96" s="687"/>
      <c r="D96" s="975">
        <f t="shared" si="31"/>
        <v>0</v>
      </c>
      <c r="E96" s="982"/>
      <c r="F96" s="824"/>
      <c r="G96" s="972"/>
      <c r="H96" s="980" t="str">
        <f t="shared" si="32"/>
        <v>——</v>
      </c>
      <c r="I96" s="929">
        <v>0.05</v>
      </c>
      <c r="J96" s="748">
        <f t="shared" si="28"/>
        <v>0</v>
      </c>
      <c r="K96" s="748">
        <f t="shared" si="29"/>
        <v>0</v>
      </c>
      <c r="L96" s="748">
        <v>0</v>
      </c>
      <c r="M96" s="748">
        <f t="shared" si="30"/>
        <v>0</v>
      </c>
      <c r="N96" s="748">
        <f t="shared" si="30"/>
        <v>0</v>
      </c>
    </row>
    <row r="97" ht="24" spans="1:14">
      <c r="A97" s="974" t="s">
        <v>1872</v>
      </c>
      <c r="B97" s="981">
        <f>估价对象房地状况!C24</f>
        <v>0</v>
      </c>
      <c r="C97" s="687"/>
      <c r="D97" s="975">
        <f t="shared" si="31"/>
        <v>0</v>
      </c>
      <c r="E97" s="982"/>
      <c r="F97" s="824"/>
      <c r="G97" s="972"/>
      <c r="H97" s="980" t="str">
        <f t="shared" si="32"/>
        <v>——</v>
      </c>
      <c r="I97" s="929">
        <v>0.05</v>
      </c>
      <c r="J97" s="748">
        <f t="shared" si="28"/>
        <v>0</v>
      </c>
      <c r="K97" s="748">
        <f t="shared" si="29"/>
        <v>0</v>
      </c>
      <c r="L97" s="748">
        <v>0</v>
      </c>
      <c r="M97" s="748">
        <f t="shared" si="30"/>
        <v>0</v>
      </c>
      <c r="N97" s="748">
        <f t="shared" si="30"/>
        <v>0</v>
      </c>
    </row>
    <row r="98" ht="36" spans="1:14">
      <c r="A98" s="974" t="s">
        <v>1873</v>
      </c>
      <c r="B98" s="984" t="s">
        <v>1874</v>
      </c>
      <c r="C98" s="687"/>
      <c r="D98" s="975">
        <f t="shared" si="31"/>
        <v>0</v>
      </c>
      <c r="E98" s="982"/>
      <c r="F98" s="824"/>
      <c r="G98" s="972"/>
      <c r="H98" s="980" t="str">
        <f t="shared" si="32"/>
        <v>——</v>
      </c>
      <c r="I98" s="929">
        <v>0.06</v>
      </c>
      <c r="J98" s="748">
        <f t="shared" si="28"/>
        <v>0</v>
      </c>
      <c r="K98" s="748">
        <f t="shared" si="29"/>
        <v>0</v>
      </c>
      <c r="L98" s="748">
        <v>0</v>
      </c>
      <c r="M98" s="748">
        <f t="shared" si="30"/>
        <v>0</v>
      </c>
      <c r="N98" s="748">
        <f t="shared" si="30"/>
        <v>0</v>
      </c>
    </row>
    <row r="99" ht="24" spans="1:14">
      <c r="A99" s="974" t="s">
        <v>1875</v>
      </c>
      <c r="B99" s="981" t="str">
        <f>估价对象房地状况!C21</f>
        <v>估价对象所在区域公共配套设施齐备情况</v>
      </c>
      <c r="C99" s="687"/>
      <c r="D99" s="975">
        <f t="shared" si="31"/>
        <v>0</v>
      </c>
      <c r="E99" s="982"/>
      <c r="F99" s="824"/>
      <c r="G99" s="972"/>
      <c r="H99" s="980" t="str">
        <f t="shared" si="32"/>
        <v>——</v>
      </c>
      <c r="I99" s="929">
        <v>0.06</v>
      </c>
      <c r="J99" s="748">
        <f t="shared" si="28"/>
        <v>0</v>
      </c>
      <c r="K99" s="748">
        <f t="shared" si="29"/>
        <v>0</v>
      </c>
      <c r="L99" s="748">
        <v>0</v>
      </c>
      <c r="M99" s="748">
        <f t="shared" si="30"/>
        <v>0</v>
      </c>
      <c r="N99" s="748">
        <f t="shared" si="30"/>
        <v>0</v>
      </c>
    </row>
    <row r="100" ht="24" spans="1:14">
      <c r="A100" s="974" t="s">
        <v>1876</v>
      </c>
      <c r="B100" s="981" t="str">
        <f>估价对象房地状况!C22</f>
        <v>估价对象所在区域基础设施水平</v>
      </c>
      <c r="C100" s="687"/>
      <c r="D100" s="975">
        <f t="shared" si="31"/>
        <v>0</v>
      </c>
      <c r="E100" s="982"/>
      <c r="F100" s="824"/>
      <c r="G100" s="972"/>
      <c r="H100" s="980" t="str">
        <f t="shared" si="32"/>
        <v>——</v>
      </c>
      <c r="I100" s="929">
        <v>0.09</v>
      </c>
      <c r="J100" s="748">
        <f t="shared" si="28"/>
        <v>0</v>
      </c>
      <c r="K100" s="748">
        <f t="shared" si="29"/>
        <v>0</v>
      </c>
      <c r="L100" s="748">
        <v>0</v>
      </c>
      <c r="M100" s="748">
        <f t="shared" si="30"/>
        <v>0</v>
      </c>
      <c r="N100" s="748">
        <f t="shared" si="30"/>
        <v>0</v>
      </c>
    </row>
    <row r="101" ht="36.75" spans="1:14">
      <c r="A101" s="985" t="s">
        <v>1877</v>
      </c>
      <c r="B101" s="986" t="str">
        <f>估价对象房地状况!C20</f>
        <v>区域自然环境：；人文环境；综合评价环境状况一般</v>
      </c>
      <c r="C101" s="687"/>
      <c r="D101" s="975">
        <f t="shared" si="31"/>
        <v>0</v>
      </c>
      <c r="E101" s="987"/>
      <c r="F101" s="824"/>
      <c r="G101" s="972"/>
      <c r="H101" s="980" t="str">
        <f t="shared" si="32"/>
        <v>——</v>
      </c>
      <c r="I101" s="931">
        <v>0.07</v>
      </c>
      <c r="J101" s="748">
        <f t="shared" si="28"/>
        <v>0</v>
      </c>
      <c r="K101" s="748">
        <f t="shared" si="29"/>
        <v>0</v>
      </c>
      <c r="L101" s="748">
        <v>0</v>
      </c>
      <c r="M101" s="748">
        <f t="shared" si="30"/>
        <v>0</v>
      </c>
      <c r="N101" s="748">
        <f t="shared" si="30"/>
        <v>0</v>
      </c>
    </row>
    <row r="103" spans="1:14">
      <c r="A103" s="988" t="s">
        <v>1890</v>
      </c>
      <c r="B103" s="988"/>
      <c r="C103" s="988"/>
      <c r="D103" s="988"/>
      <c r="E103" s="988"/>
      <c r="F103" s="988"/>
      <c r="G103" s="988"/>
      <c r="H103" s="988"/>
      <c r="I103" s="988"/>
      <c r="J103" s="988"/>
      <c r="K103" s="988"/>
      <c r="L103" s="988"/>
      <c r="M103" s="988"/>
      <c r="N103" s="988"/>
    </row>
    <row r="104" spans="1:14">
      <c r="A104" s="989" t="s">
        <v>1891</v>
      </c>
      <c r="B104" s="989" t="s">
        <v>1892</v>
      </c>
      <c r="C104" s="990" t="s">
        <v>1893</v>
      </c>
      <c r="D104" s="991"/>
      <c r="E104" s="991"/>
      <c r="F104" s="991"/>
      <c r="G104" s="991"/>
      <c r="H104" s="991"/>
      <c r="I104" s="991"/>
      <c r="J104" s="1014"/>
      <c r="K104" s="1015"/>
      <c r="L104" s="1015"/>
      <c r="M104" s="1015"/>
      <c r="N104" s="1015"/>
    </row>
    <row r="105" spans="1:14">
      <c r="A105" s="989"/>
      <c r="B105" s="989"/>
      <c r="C105" s="989" t="s">
        <v>1741</v>
      </c>
      <c r="D105" s="989" t="s">
        <v>1742</v>
      </c>
      <c r="E105" s="989" t="s">
        <v>1743</v>
      </c>
      <c r="F105" s="989" t="s">
        <v>1744</v>
      </c>
      <c r="G105" s="989" t="s">
        <v>1745</v>
      </c>
      <c r="H105" s="989" t="s">
        <v>1746</v>
      </c>
      <c r="I105" s="989" t="s">
        <v>1747</v>
      </c>
      <c r="J105" s="989" t="s">
        <v>1748</v>
      </c>
      <c r="K105" s="989" t="s">
        <v>1749</v>
      </c>
      <c r="L105" s="989" t="s">
        <v>1750</v>
      </c>
      <c r="M105" s="989" t="s">
        <v>1751</v>
      </c>
      <c r="N105" s="989" t="s">
        <v>1752</v>
      </c>
    </row>
    <row r="106" spans="1:14">
      <c r="A106" s="992" t="s">
        <v>1894</v>
      </c>
      <c r="B106" s="989">
        <v>1</v>
      </c>
      <c r="C106" s="989">
        <v>1.5206</v>
      </c>
      <c r="D106" s="989">
        <v>1.5206</v>
      </c>
      <c r="E106" s="989">
        <v>1.5019</v>
      </c>
      <c r="F106" s="989">
        <v>1.5019</v>
      </c>
      <c r="G106" s="989">
        <v>1.5019</v>
      </c>
      <c r="H106" s="989">
        <v>1.5019</v>
      </c>
      <c r="I106" s="989">
        <v>1.5019</v>
      </c>
      <c r="J106" s="989">
        <v>1.5418</v>
      </c>
      <c r="K106" s="989">
        <v>1.5418</v>
      </c>
      <c r="L106" s="989">
        <v>1.5418</v>
      </c>
      <c r="M106" s="989">
        <v>1.5418</v>
      </c>
      <c r="N106" s="989">
        <v>1.5418</v>
      </c>
    </row>
    <row r="107" spans="1:14">
      <c r="A107" s="993"/>
      <c r="B107" s="989">
        <v>2</v>
      </c>
      <c r="C107" s="989">
        <v>1.2072</v>
      </c>
      <c r="D107" s="989">
        <v>1.2072</v>
      </c>
      <c r="E107" s="989">
        <v>1.1838</v>
      </c>
      <c r="F107" s="989">
        <v>1.1838</v>
      </c>
      <c r="G107" s="989">
        <v>1.1838</v>
      </c>
      <c r="H107" s="989">
        <v>1.1838</v>
      </c>
      <c r="I107" s="989">
        <v>1.1838</v>
      </c>
      <c r="J107" s="989">
        <v>1.1884</v>
      </c>
      <c r="K107" s="989">
        <v>1.1884</v>
      </c>
      <c r="L107" s="989">
        <v>1.1884</v>
      </c>
      <c r="M107" s="989">
        <v>1.1884</v>
      </c>
      <c r="N107" s="989">
        <v>1.1884</v>
      </c>
    </row>
    <row r="108" spans="1:14">
      <c r="A108" s="993"/>
      <c r="B108" s="989">
        <v>3</v>
      </c>
      <c r="C108" s="989">
        <v>1.0431</v>
      </c>
      <c r="D108" s="989">
        <v>1.0431</v>
      </c>
      <c r="E108" s="989">
        <v>1.0005</v>
      </c>
      <c r="F108" s="989">
        <v>1.0005</v>
      </c>
      <c r="G108" s="989">
        <v>1.0005</v>
      </c>
      <c r="H108" s="989">
        <v>1.0005</v>
      </c>
      <c r="I108" s="989">
        <v>1.0005</v>
      </c>
      <c r="J108" s="989">
        <v>0.9694</v>
      </c>
      <c r="K108" s="989">
        <v>0.9694</v>
      </c>
      <c r="L108" s="989">
        <v>0.9694</v>
      </c>
      <c r="M108" s="989">
        <v>0.9694</v>
      </c>
      <c r="N108" s="989">
        <v>0.9694</v>
      </c>
    </row>
    <row r="109" spans="1:14">
      <c r="A109" s="993"/>
      <c r="B109" s="989">
        <v>4</v>
      </c>
      <c r="C109" s="989">
        <v>0.9439</v>
      </c>
      <c r="D109" s="989">
        <v>0.9439</v>
      </c>
      <c r="E109" s="989">
        <v>0.8824</v>
      </c>
      <c r="F109" s="989">
        <v>0.8824</v>
      </c>
      <c r="G109" s="989">
        <v>0.8824</v>
      </c>
      <c r="H109" s="989">
        <v>0.8824</v>
      </c>
      <c r="I109" s="989">
        <v>0.8824</v>
      </c>
      <c r="J109" s="989">
        <v>0.823</v>
      </c>
      <c r="K109" s="989">
        <v>0.823</v>
      </c>
      <c r="L109" s="989">
        <v>0.823</v>
      </c>
      <c r="M109" s="989">
        <v>0.823</v>
      </c>
      <c r="N109" s="989">
        <v>0.823</v>
      </c>
    </row>
    <row r="110" spans="1:14">
      <c r="A110" s="993"/>
      <c r="B110" s="989">
        <v>5</v>
      </c>
      <c r="C110" s="989">
        <v>0.8996</v>
      </c>
      <c r="D110" s="989">
        <v>0.8996</v>
      </c>
      <c r="E110" s="989">
        <v>0.848</v>
      </c>
      <c r="F110" s="989">
        <v>0.848</v>
      </c>
      <c r="G110" s="989">
        <v>0.848</v>
      </c>
      <c r="H110" s="989">
        <v>0.848</v>
      </c>
      <c r="I110" s="989">
        <v>0.848</v>
      </c>
      <c r="J110" s="989">
        <v>0.7498</v>
      </c>
      <c r="K110" s="989">
        <v>0.7498</v>
      </c>
      <c r="L110" s="989">
        <v>0.7498</v>
      </c>
      <c r="M110" s="989">
        <v>0.7498</v>
      </c>
      <c r="N110" s="989">
        <v>0.7498</v>
      </c>
    </row>
    <row r="111" spans="1:14">
      <c r="A111" s="993"/>
      <c r="B111" s="989" t="s">
        <v>1757</v>
      </c>
      <c r="C111" s="994">
        <f>$I$3</f>
        <v>0</v>
      </c>
      <c r="D111" s="994">
        <f t="shared" ref="D111:N111" si="33">$I$3</f>
        <v>0</v>
      </c>
      <c r="E111" s="994">
        <f t="shared" si="33"/>
        <v>0</v>
      </c>
      <c r="F111" s="994">
        <f t="shared" si="33"/>
        <v>0</v>
      </c>
      <c r="G111" s="994">
        <f t="shared" si="33"/>
        <v>0</v>
      </c>
      <c r="H111" s="994">
        <f t="shared" si="33"/>
        <v>0</v>
      </c>
      <c r="I111" s="994">
        <f t="shared" si="33"/>
        <v>0</v>
      </c>
      <c r="J111" s="994">
        <f t="shared" si="33"/>
        <v>0</v>
      </c>
      <c r="K111" s="994">
        <f t="shared" si="33"/>
        <v>0</v>
      </c>
      <c r="L111" s="994">
        <f t="shared" si="33"/>
        <v>0</v>
      </c>
      <c r="M111" s="994">
        <f t="shared" si="33"/>
        <v>0</v>
      </c>
      <c r="N111" s="994">
        <f t="shared" si="33"/>
        <v>0</v>
      </c>
    </row>
    <row r="112" spans="1:14">
      <c r="A112" s="995"/>
      <c r="B112" s="989">
        <v>6</v>
      </c>
      <c r="C112" s="977">
        <f>(-0.5556*(C111^2)-0.2719*C111+8944)*(10^(-4))</f>
        <v>0.8944</v>
      </c>
      <c r="D112" s="977">
        <f>(-0.5556*(D111^2)-0.2719*D111+8944)*(10^(-4))</f>
        <v>0.8944</v>
      </c>
      <c r="E112" s="977">
        <f>(-0.7912*(E111^2)-11.3794*E111+8482)*(10^(-4))</f>
        <v>0.8482</v>
      </c>
      <c r="F112" s="977">
        <f t="shared" ref="F112:I112" si="34">(-0.7912*(F111^2)-11.3794*F111+8482)*(10^(-4))</f>
        <v>0.8482</v>
      </c>
      <c r="G112" s="977">
        <f t="shared" si="34"/>
        <v>0.8482</v>
      </c>
      <c r="H112" s="977">
        <f t="shared" si="34"/>
        <v>0.8482</v>
      </c>
      <c r="I112" s="977">
        <f t="shared" si="34"/>
        <v>0.8482</v>
      </c>
      <c r="J112" s="977">
        <f>(-0.989*(J111^2)-63.78*J111+7771)*(10^(-4))</f>
        <v>0.7771</v>
      </c>
      <c r="K112" s="977">
        <f t="shared" ref="K112:N112" si="35">(-0.989*(K111^2)-63.78*K111+7771)*(10^(-4))</f>
        <v>0.7771</v>
      </c>
      <c r="L112" s="977">
        <f t="shared" si="35"/>
        <v>0.7771</v>
      </c>
      <c r="M112" s="977">
        <f t="shared" si="35"/>
        <v>0.7771</v>
      </c>
      <c r="N112" s="977">
        <f t="shared" si="35"/>
        <v>0.7771</v>
      </c>
    </row>
    <row r="113" spans="1:14">
      <c r="A113" s="996" t="s">
        <v>1895</v>
      </c>
      <c r="B113" s="996"/>
      <c r="C113" s="996"/>
      <c r="D113" s="996"/>
      <c r="E113" s="996"/>
      <c r="F113" s="996"/>
      <c r="G113" s="996"/>
      <c r="H113" s="996"/>
      <c r="I113" s="996"/>
      <c r="J113" s="996"/>
      <c r="K113" s="996"/>
      <c r="L113" s="996"/>
      <c r="M113" s="996"/>
      <c r="N113" s="996"/>
    </row>
    <row r="114" spans="1:14">
      <c r="A114" s="997"/>
      <c r="B114" s="997"/>
      <c r="C114" s="997"/>
      <c r="D114" s="997"/>
      <c r="E114" s="997"/>
      <c r="F114" s="997"/>
      <c r="G114" s="997"/>
      <c r="H114" s="997"/>
      <c r="I114" s="997"/>
      <c r="J114" s="997"/>
      <c r="K114" s="914"/>
      <c r="L114" s="997"/>
      <c r="M114" s="997"/>
      <c r="N114" s="997"/>
    </row>
    <row r="115" ht="13.95" spans="1:14">
      <c r="A115" s="997"/>
      <c r="B115" s="997"/>
      <c r="C115" s="997"/>
      <c r="D115" s="997"/>
      <c r="E115" s="997"/>
      <c r="F115" s="997"/>
      <c r="G115" s="997"/>
      <c r="H115" s="997"/>
      <c r="I115" s="997"/>
      <c r="J115" s="997"/>
      <c r="K115" s="914"/>
      <c r="L115" s="997"/>
      <c r="M115" s="997"/>
      <c r="N115" s="997"/>
    </row>
    <row r="116" ht="25.95" spans="1:14">
      <c r="A116" s="998" t="s">
        <v>1896</v>
      </c>
      <c r="B116" s="999">
        <f>G3</f>
        <v>3.15</v>
      </c>
      <c r="C116" s="1000" t="s">
        <v>1897</v>
      </c>
      <c r="D116" s="1001">
        <f>SUMPRODUCT((A118:A122=F116)*(B117:M117=H116)*B118:M122)</f>
        <v>0.8968</v>
      </c>
      <c r="E116" s="627" t="s">
        <v>1715</v>
      </c>
      <c r="F116" s="1002" t="str">
        <f>E2</f>
        <v>办公</v>
      </c>
      <c r="G116" s="627" t="s">
        <v>1716</v>
      </c>
      <c r="H116" s="1002" t="str">
        <f>G2</f>
        <v>五级</v>
      </c>
      <c r="I116" s="627"/>
      <c r="J116" s="1016"/>
      <c r="K116" s="1016"/>
      <c r="L116" s="1016"/>
      <c r="M116" s="1016"/>
      <c r="N116" s="997"/>
    </row>
    <row r="117" spans="1:14">
      <c r="A117" s="1003"/>
      <c r="B117" s="1004" t="s">
        <v>1898</v>
      </c>
      <c r="C117" s="1004" t="s">
        <v>1899</v>
      </c>
      <c r="D117" s="1004" t="s">
        <v>1900</v>
      </c>
      <c r="E117" s="1005" t="s">
        <v>1901</v>
      </c>
      <c r="F117" s="1005" t="s">
        <v>1902</v>
      </c>
      <c r="G117" s="1005" t="s">
        <v>1903</v>
      </c>
      <c r="H117" s="1006" t="s">
        <v>1904</v>
      </c>
      <c r="I117" s="1006" t="s">
        <v>1905</v>
      </c>
      <c r="J117" s="1017" t="s">
        <v>1906</v>
      </c>
      <c r="K117" s="1017" t="s">
        <v>1907</v>
      </c>
      <c r="L117" s="1017" t="s">
        <v>1908</v>
      </c>
      <c r="M117" s="1018" t="s">
        <v>1909</v>
      </c>
      <c r="N117" s="997"/>
    </row>
    <row r="118" spans="1:14">
      <c r="A118" s="1007" t="s">
        <v>1828</v>
      </c>
      <c r="B118" s="977">
        <f>ROUND(0.9968-0.011*B116,4)</f>
        <v>0.9622</v>
      </c>
      <c r="C118" s="977">
        <f>B118</f>
        <v>0.9622</v>
      </c>
      <c r="D118" s="977">
        <f>ROUND(0.949-0.014*B116,4)</f>
        <v>0.9049</v>
      </c>
      <c r="E118" s="977">
        <f>D118</f>
        <v>0.9049</v>
      </c>
      <c r="F118" s="977">
        <f>E118</f>
        <v>0.9049</v>
      </c>
      <c r="G118" s="977">
        <f>F118</f>
        <v>0.9049</v>
      </c>
      <c r="H118" s="977">
        <f>G118</f>
        <v>0.9049</v>
      </c>
      <c r="I118" s="977">
        <f>ROUND(0.8486-0.018*B116,4)</f>
        <v>0.7919</v>
      </c>
      <c r="J118" s="977">
        <f t="shared" ref="J118:M122" si="36">I118</f>
        <v>0.7919</v>
      </c>
      <c r="K118" s="977">
        <f t="shared" si="36"/>
        <v>0.7919</v>
      </c>
      <c r="L118" s="977">
        <f t="shared" si="36"/>
        <v>0.7919</v>
      </c>
      <c r="M118" s="1019">
        <f t="shared" si="36"/>
        <v>0.7919</v>
      </c>
      <c r="N118" s="997"/>
    </row>
    <row r="119" spans="1:14">
      <c r="A119" s="1007" t="s">
        <v>1829</v>
      </c>
      <c r="B119" s="977">
        <f>ROUND(0.993-0.0112*B116,4)</f>
        <v>0.9577</v>
      </c>
      <c r="C119" s="977">
        <f>B119</f>
        <v>0.9577</v>
      </c>
      <c r="D119" s="977">
        <f>ROUND(0.9415-0.0142*B116,4)</f>
        <v>0.8968</v>
      </c>
      <c r="E119" s="977">
        <f t="shared" ref="E119:H120" si="37">D119</f>
        <v>0.8968</v>
      </c>
      <c r="F119" s="977">
        <f t="shared" si="37"/>
        <v>0.8968</v>
      </c>
      <c r="G119" s="977">
        <f t="shared" si="37"/>
        <v>0.8968</v>
      </c>
      <c r="H119" s="977">
        <f t="shared" si="37"/>
        <v>0.8968</v>
      </c>
      <c r="I119" s="977">
        <f>ROUND(0.838-0.0182*B116,4)</f>
        <v>0.7807</v>
      </c>
      <c r="J119" s="977">
        <f t="shared" si="36"/>
        <v>0.7807</v>
      </c>
      <c r="K119" s="977">
        <f t="shared" si="36"/>
        <v>0.7807</v>
      </c>
      <c r="L119" s="977">
        <f t="shared" si="36"/>
        <v>0.7807</v>
      </c>
      <c r="M119" s="1019">
        <f t="shared" si="36"/>
        <v>0.7807</v>
      </c>
      <c r="N119" s="997"/>
    </row>
    <row r="120" spans="1:14">
      <c r="A120" s="1007" t="s">
        <v>1830</v>
      </c>
      <c r="B120" s="977">
        <f>ROUND(0.9448-0.0115*B116,4)</f>
        <v>0.9086</v>
      </c>
      <c r="C120" s="977">
        <f>B120</f>
        <v>0.9086</v>
      </c>
      <c r="D120" s="977">
        <f>ROUND(0.937-0.0145*B116,4)</f>
        <v>0.8913</v>
      </c>
      <c r="E120" s="977">
        <f t="shared" si="37"/>
        <v>0.8913</v>
      </c>
      <c r="F120" s="977">
        <f t="shared" si="37"/>
        <v>0.8913</v>
      </c>
      <c r="G120" s="977">
        <f t="shared" si="37"/>
        <v>0.8913</v>
      </c>
      <c r="H120" s="977">
        <f t="shared" si="37"/>
        <v>0.8913</v>
      </c>
      <c r="I120" s="977">
        <f>ROUND(0.7965-0.0185*B116,4)</f>
        <v>0.7382</v>
      </c>
      <c r="J120" s="977">
        <f t="shared" si="36"/>
        <v>0.7382</v>
      </c>
      <c r="K120" s="977">
        <f t="shared" si="36"/>
        <v>0.7382</v>
      </c>
      <c r="L120" s="977">
        <f t="shared" si="36"/>
        <v>0.7382</v>
      </c>
      <c r="M120" s="1019">
        <f t="shared" si="36"/>
        <v>0.7382</v>
      </c>
      <c r="N120" s="997"/>
    </row>
    <row r="121" ht="13.95" spans="1:14">
      <c r="A121" s="1008" t="s">
        <v>1831</v>
      </c>
      <c r="B121" s="1009">
        <f>ROUND(0.7836-0.012*B116,4)</f>
        <v>0.7458</v>
      </c>
      <c r="C121" s="1009">
        <f>B121</f>
        <v>0.7458</v>
      </c>
      <c r="D121" s="1009">
        <f>ROUND(0.753-0.015*B116,4)</f>
        <v>0.7058</v>
      </c>
      <c r="E121" s="1009">
        <f>D121</f>
        <v>0.7058</v>
      </c>
      <c r="F121" s="1009">
        <f>E121</f>
        <v>0.7058</v>
      </c>
      <c r="G121" s="1009">
        <f>ROUND(0.6612-0.018*B116,4)</f>
        <v>0.6045</v>
      </c>
      <c r="H121" s="1009">
        <f>G121</f>
        <v>0.6045</v>
      </c>
      <c r="I121" s="1009">
        <f>ROUND(0.5905-0.019*B116,4)</f>
        <v>0.5307</v>
      </c>
      <c r="J121" s="1009">
        <f t="shared" si="36"/>
        <v>0.5307</v>
      </c>
      <c r="K121" s="1009">
        <f t="shared" si="36"/>
        <v>0.5307</v>
      </c>
      <c r="L121" s="1009">
        <f t="shared" si="36"/>
        <v>0.5307</v>
      </c>
      <c r="M121" s="1020">
        <f t="shared" si="36"/>
        <v>0.5307</v>
      </c>
      <c r="N121" s="997"/>
    </row>
    <row r="122" spans="1:14">
      <c r="A122" s="1010" t="s">
        <v>280</v>
      </c>
      <c r="B122" s="977">
        <f>ROUND(0.9404-0.0106*B116,4)</f>
        <v>0.907</v>
      </c>
      <c r="C122" s="977">
        <f>B122</f>
        <v>0.907</v>
      </c>
      <c r="D122" s="977">
        <f>ROUND(0.8955-0.0135*B116,4)</f>
        <v>0.853</v>
      </c>
      <c r="E122" s="977">
        <f t="shared" ref="E122:H122" si="38">D122</f>
        <v>0.853</v>
      </c>
      <c r="F122" s="977">
        <f t="shared" si="38"/>
        <v>0.853</v>
      </c>
      <c r="G122" s="977">
        <f t="shared" si="38"/>
        <v>0.853</v>
      </c>
      <c r="H122" s="977">
        <f t="shared" si="38"/>
        <v>0.853</v>
      </c>
      <c r="I122" s="977">
        <f>ROUND(0.7632-0.0166*B116,4)</f>
        <v>0.7109</v>
      </c>
      <c r="J122" s="977">
        <f t="shared" si="36"/>
        <v>0.7109</v>
      </c>
      <c r="K122" s="977">
        <f t="shared" si="36"/>
        <v>0.7109</v>
      </c>
      <c r="L122" s="977">
        <f t="shared" si="36"/>
        <v>0.7109</v>
      </c>
      <c r="M122" s="1019">
        <f t="shared" si="36"/>
        <v>0.7109</v>
      </c>
      <c r="N122" s="99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8"/>
  <sheetViews>
    <sheetView topLeftCell="E1" workbookViewId="0">
      <selection activeCell="R19" sqref="R19"/>
    </sheetView>
  </sheetViews>
  <sheetFormatPr defaultColWidth="10" defaultRowHeight="15.6"/>
  <cols>
    <col min="1" max="1" width="34.4444444444444" style="607" customWidth="1"/>
    <col min="2" max="2" width="22.2222222222222" style="607" customWidth="1"/>
    <col min="3" max="3" width="16.2222222222222" style="607" customWidth="1"/>
    <col min="4" max="7" width="12.7777777777778" style="607" customWidth="1"/>
    <col min="8" max="8" width="22.2222222222222" style="607" customWidth="1"/>
    <col min="9" max="9" width="16.4444444444444" style="607" customWidth="1"/>
    <col min="10" max="10" width="11.7777777777778" style="607" customWidth="1"/>
    <col min="11" max="11" width="16.4444444444444" style="607" customWidth="1"/>
    <col min="12" max="12" width="11" style="607" customWidth="1"/>
    <col min="13" max="13" width="15" style="607" customWidth="1"/>
    <col min="14" max="14" width="13.6666666666667" style="607" customWidth="1"/>
    <col min="15" max="15" width="9.77777777777778" style="607" customWidth="1"/>
    <col min="16" max="16" width="25.6666666666667" style="607" customWidth="1"/>
    <col min="17" max="17" width="22.2222222222222" style="607" customWidth="1"/>
    <col min="18" max="16379" width="10" style="607"/>
    <col min="16380" max="16384" width="10" style="312"/>
  </cols>
  <sheetData>
    <row r="1" s="607" customFormat="1" spans="1:16">
      <c r="A1" s="607" t="s">
        <v>1910</v>
      </c>
      <c r="B1" s="607" t="s">
        <v>1911</v>
      </c>
      <c r="C1" s="607" t="s">
        <v>1912</v>
      </c>
      <c r="D1" s="607" t="s">
        <v>1913</v>
      </c>
      <c r="E1" s="607" t="s">
        <v>1914</v>
      </c>
      <c r="F1" s="607" t="s">
        <v>1915</v>
      </c>
      <c r="G1" s="607" t="s">
        <v>1916</v>
      </c>
      <c r="H1" s="607" t="s">
        <v>1917</v>
      </c>
      <c r="I1" s="607" t="s">
        <v>1918</v>
      </c>
      <c r="J1" s="607" t="s">
        <v>1919</v>
      </c>
      <c r="K1" s="607" t="s">
        <v>1920</v>
      </c>
      <c r="L1" s="607" t="s">
        <v>1921</v>
      </c>
      <c r="M1" s="607" t="s">
        <v>1922</v>
      </c>
      <c r="N1" s="607" t="s">
        <v>1923</v>
      </c>
      <c r="O1" s="607" t="s">
        <v>1924</v>
      </c>
      <c r="P1" s="607" t="s">
        <v>1925</v>
      </c>
    </row>
    <row r="2" s="608" customFormat="1" spans="1:16384">
      <c r="A2" s="608" t="s">
        <v>1926</v>
      </c>
      <c r="B2" s="608" t="s">
        <v>1927</v>
      </c>
      <c r="C2" s="608" t="s">
        <v>1928</v>
      </c>
      <c r="D2" s="608">
        <v>12629.88</v>
      </c>
      <c r="E2" s="608">
        <v>80000</v>
      </c>
      <c r="F2" s="608" t="s">
        <v>1929</v>
      </c>
      <c r="G2" s="608" t="s">
        <v>1930</v>
      </c>
      <c r="H2" s="608" t="s">
        <v>1931</v>
      </c>
      <c r="I2" s="611">
        <v>44798.0004976852</v>
      </c>
      <c r="J2" s="608" t="s">
        <v>1932</v>
      </c>
      <c r="K2" s="608" t="s">
        <v>1933</v>
      </c>
      <c r="L2" s="608">
        <v>166000</v>
      </c>
      <c r="M2" s="608">
        <v>8762.29</v>
      </c>
      <c r="N2" s="608">
        <v>20750</v>
      </c>
      <c r="O2" s="608">
        <v>0</v>
      </c>
      <c r="P2" s="608" t="s">
        <v>1934</v>
      </c>
      <c r="XEZ2" s="615"/>
      <c r="XFA2" s="615"/>
      <c r="XFB2" s="615"/>
      <c r="XFC2" s="615"/>
      <c r="XFD2" s="615"/>
    </row>
    <row r="3" s="607" customFormat="1" spans="1:16">
      <c r="A3" s="607" t="s">
        <v>1935</v>
      </c>
      <c r="B3" s="607" t="s">
        <v>1936</v>
      </c>
      <c r="C3" s="607" t="s">
        <v>1928</v>
      </c>
      <c r="D3" s="607">
        <v>39410.74</v>
      </c>
      <c r="E3" s="607">
        <v>120000</v>
      </c>
      <c r="F3" s="607">
        <v>3.04</v>
      </c>
      <c r="G3" s="607" t="s">
        <v>1937</v>
      </c>
      <c r="H3" s="607" t="s">
        <v>1938</v>
      </c>
      <c r="I3" s="612">
        <v>43287.0004976852</v>
      </c>
      <c r="J3" s="607" t="s">
        <v>1932</v>
      </c>
      <c r="K3" s="607" t="s">
        <v>1939</v>
      </c>
      <c r="L3" s="607">
        <v>318758</v>
      </c>
      <c r="M3" s="607">
        <v>5392.07</v>
      </c>
      <c r="N3" s="607">
        <v>26563</v>
      </c>
      <c r="O3" s="607">
        <v>0</v>
      </c>
      <c r="P3" s="607" t="s">
        <v>1940</v>
      </c>
    </row>
    <row r="4" s="607" customFormat="1" spans="1:16">
      <c r="A4" s="607" t="s">
        <v>1941</v>
      </c>
      <c r="B4" s="607" t="s">
        <v>1942</v>
      </c>
      <c r="C4" s="607" t="s">
        <v>1928</v>
      </c>
      <c r="D4" s="607">
        <v>14089.17</v>
      </c>
      <c r="E4" s="607">
        <v>105000</v>
      </c>
      <c r="F4" s="607">
        <v>7.45</v>
      </c>
      <c r="G4" s="607" t="s">
        <v>1930</v>
      </c>
      <c r="H4" s="607" t="s">
        <v>1931</v>
      </c>
      <c r="I4" s="612">
        <v>43053.0004976852</v>
      </c>
      <c r="J4" s="607" t="s">
        <v>1932</v>
      </c>
      <c r="K4" s="607" t="s">
        <v>1943</v>
      </c>
      <c r="L4" s="607">
        <v>355000</v>
      </c>
      <c r="M4" s="607">
        <v>16797.77</v>
      </c>
      <c r="N4" s="607">
        <v>33810</v>
      </c>
      <c r="O4" s="607">
        <v>40.87</v>
      </c>
      <c r="P4" s="607" t="s">
        <v>1940</v>
      </c>
    </row>
    <row r="5" s="607" customFormat="1" spans="1:16">
      <c r="A5" s="607" t="s">
        <v>1944</v>
      </c>
      <c r="B5" s="607" t="s">
        <v>1945</v>
      </c>
      <c r="C5" s="607" t="s">
        <v>1928</v>
      </c>
      <c r="D5" s="607">
        <v>27295.08</v>
      </c>
      <c r="E5" s="607">
        <v>160000</v>
      </c>
      <c r="F5" s="607">
        <v>5.8</v>
      </c>
      <c r="G5" s="607" t="s">
        <v>1930</v>
      </c>
      <c r="H5" s="607" t="s">
        <v>1938</v>
      </c>
      <c r="I5" s="612">
        <v>42873.0004976852</v>
      </c>
      <c r="J5" s="607" t="s">
        <v>1932</v>
      </c>
      <c r="K5" s="607" t="s">
        <v>1946</v>
      </c>
      <c r="L5" s="607">
        <v>434000</v>
      </c>
      <c r="M5" s="607">
        <v>10600.2</v>
      </c>
      <c r="N5" s="607">
        <v>27125</v>
      </c>
      <c r="O5" s="607">
        <v>0.46</v>
      </c>
      <c r="P5" s="607" t="s">
        <v>1934</v>
      </c>
    </row>
    <row r="6" s="607" customFormat="1" spans="1:16">
      <c r="A6" s="607" t="s">
        <v>1947</v>
      </c>
      <c r="B6" s="607" t="s">
        <v>1948</v>
      </c>
      <c r="C6" s="607" t="s">
        <v>1928</v>
      </c>
      <c r="D6" s="607">
        <v>14788.3</v>
      </c>
      <c r="E6" s="607">
        <v>59153</v>
      </c>
      <c r="F6" s="607">
        <v>4</v>
      </c>
      <c r="G6" s="607" t="s">
        <v>1930</v>
      </c>
      <c r="H6" s="607" t="s">
        <v>1931</v>
      </c>
      <c r="I6" s="612">
        <v>42298.0004976852</v>
      </c>
      <c r="J6" s="607" t="s">
        <v>1932</v>
      </c>
      <c r="K6" s="607" t="s">
        <v>1949</v>
      </c>
      <c r="L6" s="607">
        <v>176000</v>
      </c>
      <c r="M6" s="607">
        <v>7934.2</v>
      </c>
      <c r="N6" s="607">
        <v>29753</v>
      </c>
      <c r="O6" s="607">
        <v>146.15</v>
      </c>
      <c r="P6" s="607" t="s">
        <v>1940</v>
      </c>
    </row>
    <row r="7" s="607" customFormat="1" spans="1:16">
      <c r="A7" s="607" t="s">
        <v>1950</v>
      </c>
      <c r="B7" s="607" t="s">
        <v>1951</v>
      </c>
      <c r="C7" s="607" t="s">
        <v>1928</v>
      </c>
      <c r="D7" s="607">
        <v>29500</v>
      </c>
      <c r="E7" s="607">
        <v>118000</v>
      </c>
      <c r="F7" s="607">
        <v>4</v>
      </c>
      <c r="G7" s="607" t="s">
        <v>1930</v>
      </c>
      <c r="H7" s="607" t="s">
        <v>1931</v>
      </c>
      <c r="I7" s="612">
        <v>42298.0004976852</v>
      </c>
      <c r="J7" s="607" t="s">
        <v>1932</v>
      </c>
      <c r="K7" s="607" t="s">
        <v>1949</v>
      </c>
      <c r="L7" s="607">
        <v>342000</v>
      </c>
      <c r="M7" s="607">
        <v>7728.81</v>
      </c>
      <c r="N7" s="607">
        <v>28983</v>
      </c>
      <c r="O7" s="607">
        <v>140.85</v>
      </c>
      <c r="P7" s="607" t="s">
        <v>1940</v>
      </c>
    </row>
    <row r="8" s="607" customFormat="1" spans="1:16">
      <c r="A8" s="607" t="s">
        <v>1952</v>
      </c>
      <c r="B8" s="607" t="s">
        <v>1953</v>
      </c>
      <c r="C8" s="607" t="s">
        <v>1928</v>
      </c>
      <c r="D8" s="607">
        <v>15089.35</v>
      </c>
      <c r="E8" s="607">
        <v>60357</v>
      </c>
      <c r="F8" s="607">
        <v>4</v>
      </c>
      <c r="G8" s="607" t="s">
        <v>1930</v>
      </c>
      <c r="H8" s="607" t="s">
        <v>1931</v>
      </c>
      <c r="I8" s="612">
        <v>42297.0004976852</v>
      </c>
      <c r="J8" s="607" t="s">
        <v>1932</v>
      </c>
      <c r="K8" s="607" t="s">
        <v>1954</v>
      </c>
      <c r="L8" s="607">
        <v>110000</v>
      </c>
      <c r="M8" s="607">
        <v>4859.94</v>
      </c>
      <c r="N8" s="607">
        <v>18225</v>
      </c>
      <c r="O8" s="607">
        <v>54.93</v>
      </c>
      <c r="P8" s="607" t="s">
        <v>1940</v>
      </c>
    </row>
    <row r="9" s="607" customFormat="1" spans="1:16">
      <c r="A9" s="607" t="s">
        <v>1955</v>
      </c>
      <c r="B9" s="607" t="s">
        <v>1956</v>
      </c>
      <c r="C9" s="607" t="s">
        <v>1928</v>
      </c>
      <c r="D9" s="607">
        <v>27500</v>
      </c>
      <c r="E9" s="607">
        <v>110000</v>
      </c>
      <c r="F9" s="607">
        <v>4</v>
      </c>
      <c r="G9" s="607" t="s">
        <v>1930</v>
      </c>
      <c r="H9" s="607" t="s">
        <v>1931</v>
      </c>
      <c r="I9" s="612">
        <v>42200.0004976852</v>
      </c>
      <c r="J9" s="607" t="s">
        <v>1932</v>
      </c>
      <c r="K9" s="607" t="s">
        <v>1957</v>
      </c>
      <c r="L9" s="607">
        <v>176000</v>
      </c>
      <c r="M9" s="607">
        <v>4266.67</v>
      </c>
      <c r="N9" s="607">
        <v>16000</v>
      </c>
      <c r="O9" s="607">
        <v>36.43</v>
      </c>
      <c r="P9" s="607" t="s">
        <v>1958</v>
      </c>
    </row>
    <row r="10" s="607" customFormat="1" spans="1:16">
      <c r="A10" s="607" t="s">
        <v>1959</v>
      </c>
      <c r="B10" s="607" t="s">
        <v>1960</v>
      </c>
      <c r="C10" s="607" t="s">
        <v>1928</v>
      </c>
      <c r="D10" s="607">
        <v>35708.8</v>
      </c>
      <c r="E10" s="607">
        <v>336000</v>
      </c>
      <c r="F10" s="607">
        <v>9.4</v>
      </c>
      <c r="G10" s="607" t="s">
        <v>1930</v>
      </c>
      <c r="H10" s="607" t="s">
        <v>1961</v>
      </c>
      <c r="I10" s="612">
        <v>42121.0004976852</v>
      </c>
      <c r="J10" s="607" t="s">
        <v>1932</v>
      </c>
      <c r="K10" s="607" t="s">
        <v>1962</v>
      </c>
      <c r="L10" s="607">
        <v>504000</v>
      </c>
      <c r="M10" s="607">
        <v>9409.45</v>
      </c>
      <c r="N10" s="607">
        <v>15000</v>
      </c>
      <c r="O10" s="607">
        <v>0</v>
      </c>
      <c r="P10" s="607" t="s">
        <v>1958</v>
      </c>
    </row>
    <row r="11" s="607" customFormat="1" spans="1:16">
      <c r="A11" s="607" t="s">
        <v>1963</v>
      </c>
      <c r="B11" s="607" t="s">
        <v>1964</v>
      </c>
      <c r="C11" s="607" t="s">
        <v>1928</v>
      </c>
      <c r="D11" s="607">
        <v>35418.84</v>
      </c>
      <c r="E11" s="607">
        <v>141675</v>
      </c>
      <c r="F11" s="607">
        <v>4</v>
      </c>
      <c r="G11" s="607" t="s">
        <v>1937</v>
      </c>
      <c r="H11" s="607" t="s">
        <v>1961</v>
      </c>
      <c r="I11" s="612">
        <v>42044.0004976852</v>
      </c>
      <c r="J11" s="607" t="s">
        <v>1932</v>
      </c>
      <c r="K11" s="607" t="s">
        <v>1965</v>
      </c>
      <c r="L11" s="607">
        <v>255015</v>
      </c>
      <c r="M11" s="607">
        <v>4799.99</v>
      </c>
      <c r="N11" s="607">
        <v>18000</v>
      </c>
      <c r="O11" s="607">
        <v>0</v>
      </c>
      <c r="P11" s="607" t="s">
        <v>1958</v>
      </c>
    </row>
    <row r="12" s="607" customFormat="1" spans="1:16">
      <c r="A12" s="607" t="s">
        <v>1966</v>
      </c>
      <c r="B12" s="607" t="s">
        <v>1967</v>
      </c>
      <c r="C12" s="607" t="s">
        <v>1928</v>
      </c>
      <c r="D12" s="607">
        <v>19979.49</v>
      </c>
      <c r="E12" s="607">
        <v>120000</v>
      </c>
      <c r="F12" s="607">
        <v>6</v>
      </c>
      <c r="G12" s="607" t="s">
        <v>1930</v>
      </c>
      <c r="H12" s="607" t="s">
        <v>1938</v>
      </c>
      <c r="I12" s="612">
        <v>42020.0004976852</v>
      </c>
      <c r="J12" s="607" t="s">
        <v>1932</v>
      </c>
      <c r="K12" s="607" t="s">
        <v>1968</v>
      </c>
      <c r="L12" s="607">
        <v>251000</v>
      </c>
      <c r="M12" s="607">
        <v>8375.26</v>
      </c>
      <c r="N12" s="607">
        <v>20917</v>
      </c>
      <c r="O12" s="607">
        <v>39.44</v>
      </c>
      <c r="P12" s="607" t="s">
        <v>1958</v>
      </c>
    </row>
    <row r="13" s="607" customFormat="1" spans="1:16">
      <c r="A13" s="607" t="s">
        <v>1969</v>
      </c>
      <c r="B13" s="607" t="s">
        <v>1970</v>
      </c>
      <c r="C13" s="607" t="s">
        <v>1928</v>
      </c>
      <c r="D13" s="607">
        <v>20070.2</v>
      </c>
      <c r="E13" s="607">
        <v>45275</v>
      </c>
      <c r="F13" s="607">
        <v>2.26</v>
      </c>
      <c r="G13" s="607" t="s">
        <v>1930</v>
      </c>
      <c r="H13" s="607" t="s">
        <v>1971</v>
      </c>
      <c r="I13" s="612">
        <v>42003.0004976852</v>
      </c>
      <c r="J13" s="607" t="s">
        <v>1932</v>
      </c>
      <c r="K13" s="607" t="s">
        <v>1972</v>
      </c>
      <c r="L13" s="607">
        <v>55000</v>
      </c>
      <c r="M13" s="607">
        <v>1826.92</v>
      </c>
      <c r="N13" s="607">
        <v>12148</v>
      </c>
      <c r="O13" s="607">
        <v>0</v>
      </c>
      <c r="P13" s="607" t="s">
        <v>1958</v>
      </c>
    </row>
    <row r="14" s="607" customFormat="1" spans="1:16">
      <c r="A14" s="607" t="s">
        <v>1973</v>
      </c>
      <c r="B14" s="607" t="s">
        <v>1974</v>
      </c>
      <c r="C14" s="607" t="s">
        <v>1928</v>
      </c>
      <c r="D14" s="607">
        <v>21137.72</v>
      </c>
      <c r="E14" s="607">
        <v>84551</v>
      </c>
      <c r="F14" s="607">
        <v>4</v>
      </c>
      <c r="G14" s="607" t="s">
        <v>1930</v>
      </c>
      <c r="H14" s="607" t="s">
        <v>1961</v>
      </c>
      <c r="I14" s="612">
        <v>41933.0004976852</v>
      </c>
      <c r="J14" s="607" t="s">
        <v>1932</v>
      </c>
      <c r="K14" s="607" t="s">
        <v>1975</v>
      </c>
      <c r="L14" s="607">
        <v>85000</v>
      </c>
      <c r="M14" s="607">
        <v>2680.83</v>
      </c>
      <c r="N14" s="607">
        <v>10053</v>
      </c>
      <c r="O14" s="607">
        <v>0</v>
      </c>
      <c r="P14" s="607" t="s">
        <v>1958</v>
      </c>
    </row>
    <row r="15" s="607" customFormat="1" spans="1:16">
      <c r="A15" s="607" t="s">
        <v>1976</v>
      </c>
      <c r="B15" s="607" t="s">
        <v>1977</v>
      </c>
      <c r="C15" s="607" t="s">
        <v>1928</v>
      </c>
      <c r="D15" s="607">
        <v>54711.27</v>
      </c>
      <c r="E15" s="607">
        <v>164134</v>
      </c>
      <c r="F15" s="607">
        <v>3</v>
      </c>
      <c r="G15" s="607" t="s">
        <v>1930</v>
      </c>
      <c r="H15" s="607" t="s">
        <v>1978</v>
      </c>
      <c r="I15" s="612">
        <v>41925.0004976852</v>
      </c>
      <c r="J15" s="607" t="s">
        <v>1932</v>
      </c>
      <c r="K15" s="607" t="s">
        <v>1979</v>
      </c>
      <c r="L15" s="607">
        <v>258000</v>
      </c>
      <c r="M15" s="607">
        <v>3143.78</v>
      </c>
      <c r="N15" s="607">
        <v>15719</v>
      </c>
      <c r="O15" s="607">
        <v>56.36</v>
      </c>
      <c r="P15" s="607" t="s">
        <v>1958</v>
      </c>
    </row>
    <row r="16" s="607" customFormat="1" spans="1:16">
      <c r="A16" s="607" t="s">
        <v>1980</v>
      </c>
      <c r="B16" s="607" t="s">
        <v>1981</v>
      </c>
      <c r="C16" s="607" t="s">
        <v>1928</v>
      </c>
      <c r="D16" s="607">
        <v>4435.86</v>
      </c>
      <c r="E16" s="607">
        <v>10000</v>
      </c>
      <c r="F16" s="607">
        <v>2.25</v>
      </c>
      <c r="G16" s="607" t="s">
        <v>1930</v>
      </c>
      <c r="H16" s="607" t="s">
        <v>1982</v>
      </c>
      <c r="I16" s="612">
        <v>41886.0004976852</v>
      </c>
      <c r="J16" s="607" t="s">
        <v>1932</v>
      </c>
      <c r="K16" s="607" t="s">
        <v>1983</v>
      </c>
      <c r="L16" s="607">
        <v>15350</v>
      </c>
      <c r="M16" s="607">
        <v>2306.96</v>
      </c>
      <c r="N16" s="607">
        <v>15350</v>
      </c>
      <c r="O16" s="607">
        <v>0</v>
      </c>
      <c r="P16" s="607" t="s">
        <v>1958</v>
      </c>
    </row>
    <row r="18" s="607" customFormat="1" spans="1:16">
      <c r="A18" s="607" t="s">
        <v>1910</v>
      </c>
      <c r="B18" s="607" t="s">
        <v>1911</v>
      </c>
      <c r="C18" s="607" t="s">
        <v>1912</v>
      </c>
      <c r="D18" s="607" t="s">
        <v>1913</v>
      </c>
      <c r="E18" s="607" t="s">
        <v>1914</v>
      </c>
      <c r="F18" s="607" t="s">
        <v>1915</v>
      </c>
      <c r="G18" s="607" t="s">
        <v>1916</v>
      </c>
      <c r="H18" s="607" t="s">
        <v>1917</v>
      </c>
      <c r="I18" s="607" t="s">
        <v>1918</v>
      </c>
      <c r="J18" s="607" t="s">
        <v>1919</v>
      </c>
      <c r="K18" s="607" t="s">
        <v>1920</v>
      </c>
      <c r="L18" s="607" t="s">
        <v>1921</v>
      </c>
      <c r="M18" s="607" t="s">
        <v>1922</v>
      </c>
      <c r="N18" s="607" t="s">
        <v>1923</v>
      </c>
      <c r="O18" s="607" t="s">
        <v>1924</v>
      </c>
      <c r="P18" s="607" t="s">
        <v>1925</v>
      </c>
    </row>
    <row r="19" s="607" customFormat="1" spans="1:16">
      <c r="A19" s="607" t="s">
        <v>1984</v>
      </c>
      <c r="B19" s="607" t="s">
        <v>1985</v>
      </c>
      <c r="C19" s="607" t="s">
        <v>1928</v>
      </c>
      <c r="D19" s="607">
        <v>64012.4</v>
      </c>
      <c r="E19" s="607">
        <v>192037.19</v>
      </c>
      <c r="F19" s="607">
        <v>3</v>
      </c>
      <c r="G19" s="607" t="s">
        <v>1930</v>
      </c>
      <c r="H19" s="607" t="s">
        <v>1986</v>
      </c>
      <c r="I19" s="612">
        <v>44931.0004976852</v>
      </c>
      <c r="J19" s="607" t="s">
        <v>1932</v>
      </c>
      <c r="K19" s="607" t="s">
        <v>1987</v>
      </c>
      <c r="L19" s="607">
        <v>177000</v>
      </c>
      <c r="M19" s="607">
        <v>1843.39</v>
      </c>
      <c r="N19" s="607">
        <v>9217</v>
      </c>
      <c r="O19" s="607">
        <v>0</v>
      </c>
      <c r="P19" s="607" t="s">
        <v>1988</v>
      </c>
    </row>
    <row r="20" s="608" customFormat="1" spans="1:16384">
      <c r="A20" s="608" t="s">
        <v>1989</v>
      </c>
      <c r="B20" s="608" t="s">
        <v>1990</v>
      </c>
      <c r="C20" s="608" t="s">
        <v>1928</v>
      </c>
      <c r="D20" s="608">
        <v>12136.3</v>
      </c>
      <c r="E20" s="608">
        <v>42477</v>
      </c>
      <c r="F20" s="608">
        <v>3.5</v>
      </c>
      <c r="G20" s="608" t="s">
        <v>1930</v>
      </c>
      <c r="H20" s="608" t="s">
        <v>1931</v>
      </c>
      <c r="I20" s="611">
        <v>44495.0004976852</v>
      </c>
      <c r="J20" s="608" t="s">
        <v>1932</v>
      </c>
      <c r="K20" s="608" t="s">
        <v>1991</v>
      </c>
      <c r="L20" s="608">
        <v>71000</v>
      </c>
      <c r="M20" s="608">
        <v>3900.15</v>
      </c>
      <c r="N20" s="608">
        <v>16715</v>
      </c>
      <c r="O20" s="608">
        <v>0</v>
      </c>
      <c r="P20" s="608" t="s">
        <v>1992</v>
      </c>
      <c r="XEZ20" s="615"/>
      <c r="XFA20" s="615"/>
      <c r="XFB20" s="615"/>
      <c r="XFC20" s="615"/>
      <c r="XFD20" s="615"/>
    </row>
    <row r="21" s="608" customFormat="1" spans="1:16384">
      <c r="A21" s="608" t="s">
        <v>1993</v>
      </c>
      <c r="B21" s="608" t="s">
        <v>1994</v>
      </c>
      <c r="C21" s="608" t="s">
        <v>1928</v>
      </c>
      <c r="D21" s="608">
        <v>28676.63</v>
      </c>
      <c r="E21" s="608">
        <v>114706.51</v>
      </c>
      <c r="F21" s="608" t="s">
        <v>1995</v>
      </c>
      <c r="G21" s="608" t="s">
        <v>1930</v>
      </c>
      <c r="H21" s="608" t="s">
        <v>1996</v>
      </c>
      <c r="I21" s="611">
        <v>44179.0004976852</v>
      </c>
      <c r="J21" s="608" t="s">
        <v>1932</v>
      </c>
      <c r="K21" s="608" t="s">
        <v>1997</v>
      </c>
      <c r="L21" s="608">
        <v>175500</v>
      </c>
      <c r="M21" s="608">
        <v>4079.98</v>
      </c>
      <c r="N21" s="608">
        <v>15300</v>
      </c>
      <c r="O21" s="608">
        <v>0</v>
      </c>
      <c r="P21" s="608" t="s">
        <v>1940</v>
      </c>
      <c r="XEZ21" s="615"/>
      <c r="XFA21" s="615"/>
      <c r="XFB21" s="615"/>
      <c r="XFC21" s="615"/>
      <c r="XFD21" s="615"/>
    </row>
    <row r="22" s="607" customFormat="1" spans="1:16">
      <c r="A22" s="607" t="s">
        <v>1998</v>
      </c>
      <c r="B22" s="607" t="s">
        <v>1999</v>
      </c>
      <c r="C22" s="607" t="s">
        <v>1928</v>
      </c>
      <c r="D22" s="607">
        <v>30159.25</v>
      </c>
      <c r="E22" s="607">
        <v>138421</v>
      </c>
      <c r="F22" s="607" t="s">
        <v>2000</v>
      </c>
      <c r="G22" s="607" t="s">
        <v>1930</v>
      </c>
      <c r="H22" s="607" t="s">
        <v>1931</v>
      </c>
      <c r="I22" s="612">
        <v>43811.0004976852</v>
      </c>
      <c r="J22" s="607" t="s">
        <v>1932</v>
      </c>
      <c r="K22" s="607" t="s">
        <v>2001</v>
      </c>
      <c r="L22" s="607">
        <v>230100</v>
      </c>
      <c r="M22" s="607">
        <v>5086.33</v>
      </c>
      <c r="N22" s="607">
        <v>16623</v>
      </c>
      <c r="O22" s="607">
        <v>0</v>
      </c>
      <c r="P22" s="607" t="s">
        <v>1940</v>
      </c>
    </row>
    <row r="23" s="607" customFormat="1" spans="1:16">
      <c r="A23" s="607" t="s">
        <v>2002</v>
      </c>
      <c r="B23" s="607" t="s">
        <v>2003</v>
      </c>
      <c r="C23" s="607" t="s">
        <v>1928</v>
      </c>
      <c r="D23" s="607">
        <v>35629.12</v>
      </c>
      <c r="E23" s="607">
        <v>100429</v>
      </c>
      <c r="F23" s="607" t="s">
        <v>2004</v>
      </c>
      <c r="G23" s="607" t="s">
        <v>1930</v>
      </c>
      <c r="H23" s="607" t="s">
        <v>2005</v>
      </c>
      <c r="I23" s="612">
        <v>43811.0004976852</v>
      </c>
      <c r="J23" s="607" t="s">
        <v>1932</v>
      </c>
      <c r="K23" s="607" t="s">
        <v>2001</v>
      </c>
      <c r="L23" s="607">
        <v>166700</v>
      </c>
      <c r="M23" s="607">
        <v>3119.17</v>
      </c>
      <c r="N23" s="607">
        <v>16599</v>
      </c>
      <c r="O23" s="607">
        <v>0</v>
      </c>
      <c r="P23" s="607" t="s">
        <v>1940</v>
      </c>
    </row>
    <row r="24" s="607" customFormat="1" spans="1:16">
      <c r="A24" s="607" t="s">
        <v>2006</v>
      </c>
      <c r="B24" s="607" t="s">
        <v>2007</v>
      </c>
      <c r="C24" s="607" t="s">
        <v>1928</v>
      </c>
      <c r="D24" s="607">
        <v>59747.77</v>
      </c>
      <c r="E24" s="607">
        <v>89622</v>
      </c>
      <c r="F24" s="607">
        <v>1.5</v>
      </c>
      <c r="G24" s="607" t="s">
        <v>1930</v>
      </c>
      <c r="H24" s="607" t="s">
        <v>1986</v>
      </c>
      <c r="I24" s="612">
        <v>43109.0004976852</v>
      </c>
      <c r="J24" s="607" t="s">
        <v>1932</v>
      </c>
      <c r="K24" s="607" t="s">
        <v>2008</v>
      </c>
      <c r="L24" s="607">
        <v>146800</v>
      </c>
      <c r="M24" s="607">
        <v>1638</v>
      </c>
      <c r="N24" s="607">
        <v>16380</v>
      </c>
      <c r="O24" s="607">
        <v>0</v>
      </c>
      <c r="P24" s="607" t="s">
        <v>2009</v>
      </c>
    </row>
    <row r="25" s="607" customFormat="1" spans="1:16">
      <c r="A25" s="607" t="s">
        <v>2010</v>
      </c>
      <c r="B25" s="607" t="s">
        <v>2011</v>
      </c>
      <c r="C25" s="607" t="s">
        <v>1928</v>
      </c>
      <c r="D25" s="607">
        <v>31420.65</v>
      </c>
      <c r="E25" s="607">
        <v>65983</v>
      </c>
      <c r="F25" s="607">
        <v>2.1</v>
      </c>
      <c r="G25" s="607" t="s">
        <v>1930</v>
      </c>
      <c r="H25" s="607" t="s">
        <v>1986</v>
      </c>
      <c r="I25" s="612">
        <v>43109.0004976852</v>
      </c>
      <c r="J25" s="607" t="s">
        <v>1932</v>
      </c>
      <c r="K25" s="607" t="s">
        <v>2012</v>
      </c>
      <c r="L25" s="607">
        <v>108100</v>
      </c>
      <c r="M25" s="607">
        <v>2293.61</v>
      </c>
      <c r="N25" s="607">
        <v>16383</v>
      </c>
      <c r="O25" s="607">
        <v>0</v>
      </c>
      <c r="P25" s="607" t="s">
        <v>2009</v>
      </c>
    </row>
    <row r="26" s="607" customFormat="1" spans="1:16">
      <c r="A26" s="607" t="s">
        <v>2013</v>
      </c>
      <c r="B26" s="607" t="s">
        <v>2014</v>
      </c>
      <c r="C26" s="607" t="s">
        <v>1928</v>
      </c>
      <c r="D26" s="607">
        <v>16863.94</v>
      </c>
      <c r="E26" s="607">
        <v>87923.61</v>
      </c>
      <c r="F26" s="607">
        <v>5.21</v>
      </c>
      <c r="G26" s="607" t="s">
        <v>1930</v>
      </c>
      <c r="H26" s="607" t="s">
        <v>1931</v>
      </c>
      <c r="I26" s="612">
        <v>43053.0004976852</v>
      </c>
      <c r="J26" s="607" t="s">
        <v>1932</v>
      </c>
      <c r="K26" s="607" t="s">
        <v>2015</v>
      </c>
      <c r="L26" s="607">
        <v>211000</v>
      </c>
      <c r="M26" s="607">
        <v>8341.27</v>
      </c>
      <c r="N26" s="607">
        <v>23998</v>
      </c>
      <c r="O26" s="607">
        <v>0</v>
      </c>
      <c r="P26" s="607" t="s">
        <v>1940</v>
      </c>
    </row>
    <row r="27" s="607" customFormat="1" spans="1:16">
      <c r="A27" s="607" t="s">
        <v>2016</v>
      </c>
      <c r="B27" s="607" t="s">
        <v>2017</v>
      </c>
      <c r="C27" s="607" t="s">
        <v>1928</v>
      </c>
      <c r="D27" s="607">
        <v>69848.44</v>
      </c>
      <c r="E27" s="607">
        <v>146863</v>
      </c>
      <c r="F27" s="607">
        <v>2.1</v>
      </c>
      <c r="G27" s="607" t="s">
        <v>1930</v>
      </c>
      <c r="H27" s="607" t="s">
        <v>1986</v>
      </c>
      <c r="I27" s="612">
        <v>42711.0004976852</v>
      </c>
      <c r="J27" s="607" t="s">
        <v>1932</v>
      </c>
      <c r="K27" s="607" t="s">
        <v>2018</v>
      </c>
      <c r="L27" s="607">
        <v>220000</v>
      </c>
      <c r="M27" s="607">
        <v>2099.78</v>
      </c>
      <c r="N27" s="607">
        <v>14980</v>
      </c>
      <c r="O27" s="607">
        <v>0</v>
      </c>
      <c r="P27" s="607" t="s">
        <v>2009</v>
      </c>
    </row>
    <row r="28" s="607" customFormat="1" spans="1:16">
      <c r="A28" s="607" t="s">
        <v>2019</v>
      </c>
      <c r="B28" s="607" t="s">
        <v>2020</v>
      </c>
      <c r="C28" s="607" t="s">
        <v>1928</v>
      </c>
      <c r="D28" s="607">
        <v>66079.68</v>
      </c>
      <c r="E28" s="607">
        <v>111429</v>
      </c>
      <c r="F28" s="607">
        <v>1.69</v>
      </c>
      <c r="G28" s="607" t="s">
        <v>1930</v>
      </c>
      <c r="H28" s="607" t="s">
        <v>1986</v>
      </c>
      <c r="I28" s="612">
        <v>42711.0004976852</v>
      </c>
      <c r="J28" s="607" t="s">
        <v>1932</v>
      </c>
      <c r="K28" s="607" t="s">
        <v>2012</v>
      </c>
      <c r="L28" s="607">
        <v>135000</v>
      </c>
      <c r="M28" s="607">
        <v>1361.99</v>
      </c>
      <c r="N28" s="607">
        <v>12115</v>
      </c>
      <c r="O28" s="607">
        <v>0</v>
      </c>
      <c r="P28" s="607" t="s">
        <v>2009</v>
      </c>
    </row>
    <row r="29" s="607" customFormat="1" spans="1:16">
      <c r="A29" s="607" t="s">
        <v>2021</v>
      </c>
      <c r="B29" s="607" t="s">
        <v>2022</v>
      </c>
      <c r="C29" s="607" t="s">
        <v>1928</v>
      </c>
      <c r="D29" s="607">
        <v>35244.94</v>
      </c>
      <c r="E29" s="607">
        <v>123357</v>
      </c>
      <c r="F29" s="607">
        <v>3.5</v>
      </c>
      <c r="G29" s="607" t="s">
        <v>1930</v>
      </c>
      <c r="H29" s="607" t="s">
        <v>1931</v>
      </c>
      <c r="I29" s="612">
        <v>42331.0004976852</v>
      </c>
      <c r="J29" s="607" t="s">
        <v>1932</v>
      </c>
      <c r="K29" s="607" t="s">
        <v>2023</v>
      </c>
      <c r="L29" s="607">
        <v>354000</v>
      </c>
      <c r="M29" s="607">
        <v>6696</v>
      </c>
      <c r="N29" s="607">
        <v>28697</v>
      </c>
      <c r="O29" s="607">
        <v>121.25</v>
      </c>
      <c r="P29" s="607" t="s">
        <v>1940</v>
      </c>
    </row>
    <row r="30" s="607" customFormat="1" spans="1:16">
      <c r="A30" s="607" t="s">
        <v>2024</v>
      </c>
      <c r="B30" s="607" t="s">
        <v>2025</v>
      </c>
      <c r="C30" s="607" t="s">
        <v>1928</v>
      </c>
      <c r="D30" s="607">
        <v>27377.24</v>
      </c>
      <c r="E30" s="607">
        <v>62968</v>
      </c>
      <c r="F30" s="607">
        <v>2.3</v>
      </c>
      <c r="G30" s="607" t="s">
        <v>1930</v>
      </c>
      <c r="H30" s="607" t="s">
        <v>1986</v>
      </c>
      <c r="I30" s="612">
        <v>42304.0004976852</v>
      </c>
      <c r="J30" s="607" t="s">
        <v>1932</v>
      </c>
      <c r="K30" s="607" t="s">
        <v>2018</v>
      </c>
      <c r="L30" s="607">
        <v>65000</v>
      </c>
      <c r="M30" s="607">
        <v>1582.82</v>
      </c>
      <c r="N30" s="607">
        <v>10323</v>
      </c>
      <c r="O30" s="607">
        <v>0</v>
      </c>
      <c r="P30" s="607" t="s">
        <v>2009</v>
      </c>
    </row>
    <row r="31" s="607" customFormat="1" spans="1:16">
      <c r="A31" s="607" t="s">
        <v>2026</v>
      </c>
      <c r="B31" s="607" t="s">
        <v>2027</v>
      </c>
      <c r="C31" s="607" t="s">
        <v>1928</v>
      </c>
      <c r="D31" s="607">
        <v>23342.84</v>
      </c>
      <c r="E31" s="607">
        <v>91000</v>
      </c>
      <c r="F31" s="607">
        <v>3.9</v>
      </c>
      <c r="G31" s="607" t="s">
        <v>1930</v>
      </c>
      <c r="H31" s="607" t="s">
        <v>1961</v>
      </c>
      <c r="I31" s="612">
        <v>41871.0004976852</v>
      </c>
      <c r="J31" s="607" t="s">
        <v>1932</v>
      </c>
      <c r="K31" s="607" t="s">
        <v>2028</v>
      </c>
      <c r="L31" s="607">
        <v>101000</v>
      </c>
      <c r="M31" s="607">
        <v>2884.54</v>
      </c>
      <c r="N31" s="607">
        <v>11099</v>
      </c>
      <c r="O31" s="607">
        <v>1</v>
      </c>
      <c r="P31" s="607" t="s">
        <v>1958</v>
      </c>
    </row>
    <row r="32" s="607" customFormat="1" spans="1:16">
      <c r="A32" s="607" t="s">
        <v>2029</v>
      </c>
      <c r="B32" s="607" t="s">
        <v>2030</v>
      </c>
      <c r="C32" s="607" t="s">
        <v>1928</v>
      </c>
      <c r="D32" s="607">
        <v>28450.28</v>
      </c>
      <c r="E32" s="607">
        <v>80000</v>
      </c>
      <c r="F32" s="607">
        <v>2.81</v>
      </c>
      <c r="G32" s="607" t="s">
        <v>1930</v>
      </c>
      <c r="H32" s="607" t="s">
        <v>2031</v>
      </c>
      <c r="I32" s="612">
        <v>41568.0004976852</v>
      </c>
      <c r="J32" s="607" t="s">
        <v>1932</v>
      </c>
      <c r="K32" s="607" t="s">
        <v>2032</v>
      </c>
      <c r="L32" s="607">
        <v>32200</v>
      </c>
      <c r="M32" s="607">
        <v>754.53</v>
      </c>
      <c r="N32" s="607">
        <v>4025</v>
      </c>
      <c r="O32" s="607">
        <v>101.25</v>
      </c>
      <c r="P32" s="607" t="s">
        <v>1958</v>
      </c>
    </row>
    <row r="33" s="607" customFormat="1" spans="1:16">
      <c r="A33" s="607" t="s">
        <v>2033</v>
      </c>
      <c r="B33" s="607" t="s">
        <v>2034</v>
      </c>
      <c r="C33" s="607" t="s">
        <v>1928</v>
      </c>
      <c r="D33" s="607">
        <v>21071.04</v>
      </c>
      <c r="E33" s="607">
        <v>105355</v>
      </c>
      <c r="F33" s="607">
        <v>5</v>
      </c>
      <c r="G33" s="607" t="s">
        <v>1937</v>
      </c>
      <c r="H33" s="607" t="s">
        <v>1961</v>
      </c>
      <c r="I33" s="612">
        <v>41452.0004976852</v>
      </c>
      <c r="J33" s="607" t="s">
        <v>1932</v>
      </c>
      <c r="K33" s="607" t="s">
        <v>2035</v>
      </c>
      <c r="L33" s="607">
        <v>143000</v>
      </c>
      <c r="M33" s="607">
        <v>4524.38</v>
      </c>
      <c r="N33" s="607">
        <v>13573</v>
      </c>
      <c r="O33" s="607">
        <v>0</v>
      </c>
      <c r="P33" s="607" t="s">
        <v>1958</v>
      </c>
    </row>
    <row r="36" s="607" customFormat="1" spans="1:16">
      <c r="A36" s="607" t="s">
        <v>1910</v>
      </c>
      <c r="B36" s="607" t="s">
        <v>1911</v>
      </c>
      <c r="C36" s="607" t="s">
        <v>1912</v>
      </c>
      <c r="D36" s="607" t="s">
        <v>1913</v>
      </c>
      <c r="E36" s="607" t="s">
        <v>1914</v>
      </c>
      <c r="F36" s="607" t="s">
        <v>1915</v>
      </c>
      <c r="G36" s="607" t="s">
        <v>1916</v>
      </c>
      <c r="H36" s="607" t="s">
        <v>1917</v>
      </c>
      <c r="I36" s="607" t="s">
        <v>1918</v>
      </c>
      <c r="J36" s="607" t="s">
        <v>1919</v>
      </c>
      <c r="K36" s="607" t="s">
        <v>1920</v>
      </c>
      <c r="L36" s="607" t="s">
        <v>1921</v>
      </c>
      <c r="M36" s="607" t="s">
        <v>1922</v>
      </c>
      <c r="N36" s="607" t="s">
        <v>1923</v>
      </c>
      <c r="O36" s="607" t="s">
        <v>1924</v>
      </c>
      <c r="P36" s="607" t="s">
        <v>1925</v>
      </c>
    </row>
    <row r="37" s="608" customFormat="1" spans="1:16384">
      <c r="A37" s="608" t="s">
        <v>2036</v>
      </c>
      <c r="B37" s="608" t="s">
        <v>2037</v>
      </c>
      <c r="C37" s="608" t="s">
        <v>1928</v>
      </c>
      <c r="D37" s="608">
        <v>62796.8</v>
      </c>
      <c r="E37" s="608">
        <v>275500</v>
      </c>
      <c r="F37" s="608">
        <v>4.39</v>
      </c>
      <c r="G37" s="608" t="s">
        <v>1930</v>
      </c>
      <c r="H37" s="608" t="s">
        <v>1931</v>
      </c>
      <c r="I37" s="611">
        <v>44980.0004976852</v>
      </c>
      <c r="J37" s="608" t="s">
        <v>1932</v>
      </c>
      <c r="K37" s="608" t="s">
        <v>2038</v>
      </c>
      <c r="L37" s="608">
        <v>635800</v>
      </c>
      <c r="M37" s="608">
        <v>6749.81</v>
      </c>
      <c r="N37" s="608">
        <v>23078</v>
      </c>
      <c r="O37" s="608">
        <v>0</v>
      </c>
      <c r="P37" s="608" t="s">
        <v>1934</v>
      </c>
      <c r="XEZ37" s="615"/>
      <c r="XFA37" s="615"/>
      <c r="XFB37" s="615"/>
      <c r="XFC37" s="615"/>
      <c r="XFD37" s="615"/>
    </row>
    <row r="38" s="608" customFormat="1" spans="1:16384">
      <c r="A38" s="608" t="s">
        <v>2039</v>
      </c>
      <c r="B38" s="608" t="s">
        <v>2040</v>
      </c>
      <c r="C38" s="608" t="s">
        <v>1928</v>
      </c>
      <c r="D38" s="608">
        <v>7289.19</v>
      </c>
      <c r="E38" s="608">
        <v>21867.57</v>
      </c>
      <c r="F38" s="608" t="s">
        <v>2041</v>
      </c>
      <c r="G38" s="608" t="s">
        <v>1930</v>
      </c>
      <c r="H38" s="608" t="s">
        <v>2042</v>
      </c>
      <c r="I38" s="611">
        <v>43923.0004976852</v>
      </c>
      <c r="J38" s="608" t="s">
        <v>1932</v>
      </c>
      <c r="K38" s="608" t="s">
        <v>2043</v>
      </c>
      <c r="L38" s="608">
        <v>35200</v>
      </c>
      <c r="M38" s="608">
        <v>3219.38</v>
      </c>
      <c r="N38" s="608">
        <v>16097</v>
      </c>
      <c r="O38" s="608">
        <v>0</v>
      </c>
      <c r="P38" s="608" t="s">
        <v>1940</v>
      </c>
      <c r="XEZ38" s="615"/>
      <c r="XFA38" s="615"/>
      <c r="XFB38" s="615"/>
      <c r="XFC38" s="615"/>
      <c r="XFD38" s="615"/>
    </row>
    <row r="39" s="607" customFormat="1" spans="1:16">
      <c r="A39" s="607" t="s">
        <v>2044</v>
      </c>
      <c r="B39" s="607" t="s">
        <v>2045</v>
      </c>
      <c r="C39" s="607" t="s">
        <v>1928</v>
      </c>
      <c r="D39" s="607">
        <v>138746.3</v>
      </c>
      <c r="E39" s="607">
        <v>486596</v>
      </c>
      <c r="F39" s="607">
        <v>3.51</v>
      </c>
      <c r="G39" s="607" t="s">
        <v>1930</v>
      </c>
      <c r="H39" s="607" t="s">
        <v>2005</v>
      </c>
      <c r="I39" s="612">
        <v>43409.0004976852</v>
      </c>
      <c r="J39" s="607" t="s">
        <v>1932</v>
      </c>
      <c r="K39" s="607" t="s">
        <v>2046</v>
      </c>
      <c r="L39" s="607">
        <v>866300</v>
      </c>
      <c r="M39" s="607">
        <v>4162.51</v>
      </c>
      <c r="N39" s="607">
        <v>17803</v>
      </c>
      <c r="O39" s="607">
        <v>0</v>
      </c>
      <c r="P39" s="607" t="s">
        <v>1940</v>
      </c>
    </row>
    <row r="40" s="607" customFormat="1" spans="1:16">
      <c r="A40" s="607" t="s">
        <v>2047</v>
      </c>
      <c r="B40" s="607" t="s">
        <v>2048</v>
      </c>
      <c r="C40" s="607" t="s">
        <v>1928</v>
      </c>
      <c r="D40" s="607">
        <v>92055.95</v>
      </c>
      <c r="E40" s="607">
        <v>92056</v>
      </c>
      <c r="F40" s="607">
        <v>1</v>
      </c>
      <c r="G40" s="607" t="s">
        <v>1937</v>
      </c>
      <c r="H40" s="607" t="s">
        <v>1931</v>
      </c>
      <c r="I40" s="612">
        <v>42836.0004976852</v>
      </c>
      <c r="J40" s="607" t="s">
        <v>1932</v>
      </c>
      <c r="K40" s="607" t="s">
        <v>2049</v>
      </c>
      <c r="L40" s="607">
        <v>285373.6</v>
      </c>
      <c r="M40" s="607">
        <v>2066.67</v>
      </c>
      <c r="N40" s="607">
        <v>31000</v>
      </c>
      <c r="O40" s="607">
        <v>0</v>
      </c>
      <c r="P40" s="607" t="s">
        <v>1931</v>
      </c>
    </row>
    <row r="41" s="607" customFormat="1" spans="1:16">
      <c r="A41" s="607" t="s">
        <v>2050</v>
      </c>
      <c r="B41" s="607" t="s">
        <v>2051</v>
      </c>
      <c r="C41" s="607" t="s">
        <v>1928</v>
      </c>
      <c r="D41" s="607">
        <v>39744.12</v>
      </c>
      <c r="E41" s="607">
        <v>119232</v>
      </c>
      <c r="F41" s="607">
        <v>3</v>
      </c>
      <c r="G41" s="607" t="s">
        <v>1930</v>
      </c>
      <c r="H41" s="607" t="s">
        <v>1996</v>
      </c>
      <c r="I41" s="612">
        <v>42839.0004976852</v>
      </c>
      <c r="J41" s="607" t="s">
        <v>1932</v>
      </c>
      <c r="K41" s="607" t="s">
        <v>2052</v>
      </c>
      <c r="L41" s="607">
        <v>292000</v>
      </c>
      <c r="M41" s="607">
        <v>4898</v>
      </c>
      <c r="N41" s="607">
        <v>24490</v>
      </c>
      <c r="O41" s="607">
        <v>28.63</v>
      </c>
      <c r="P41" s="607" t="s">
        <v>2053</v>
      </c>
    </row>
    <row r="42" s="607" customFormat="1" spans="1:16">
      <c r="A42" s="607" t="s">
        <v>2054</v>
      </c>
      <c r="B42" s="607" t="s">
        <v>2055</v>
      </c>
      <c r="C42" s="607" t="s">
        <v>1928</v>
      </c>
      <c r="D42" s="607">
        <v>46165.91</v>
      </c>
      <c r="E42" s="607">
        <v>92332</v>
      </c>
      <c r="F42" s="607">
        <v>2</v>
      </c>
      <c r="G42" s="607" t="s">
        <v>1930</v>
      </c>
      <c r="H42" s="607" t="s">
        <v>1938</v>
      </c>
      <c r="I42" s="612">
        <v>42824.0004976852</v>
      </c>
      <c r="J42" s="607" t="s">
        <v>1932</v>
      </c>
      <c r="K42" s="607" t="s">
        <v>2056</v>
      </c>
      <c r="L42" s="607">
        <v>225000</v>
      </c>
      <c r="M42" s="607">
        <v>3249.15</v>
      </c>
      <c r="N42" s="607">
        <v>24369</v>
      </c>
      <c r="O42" s="607">
        <v>27.84</v>
      </c>
      <c r="P42" s="607" t="s">
        <v>1940</v>
      </c>
    </row>
    <row r="43" s="607" customFormat="1" spans="1:16">
      <c r="A43" s="607" t="s">
        <v>2057</v>
      </c>
      <c r="B43" s="607" t="s">
        <v>2058</v>
      </c>
      <c r="C43" s="607" t="s">
        <v>1928</v>
      </c>
      <c r="D43" s="607">
        <v>38100</v>
      </c>
      <c r="E43" s="607">
        <v>76200</v>
      </c>
      <c r="F43" s="607">
        <v>2</v>
      </c>
      <c r="G43" s="607" t="s">
        <v>1930</v>
      </c>
      <c r="H43" s="607" t="s">
        <v>1938</v>
      </c>
      <c r="I43" s="612">
        <v>42824.0004976852</v>
      </c>
      <c r="J43" s="607" t="s">
        <v>1932</v>
      </c>
      <c r="K43" s="607" t="s">
        <v>2059</v>
      </c>
      <c r="L43" s="607">
        <v>204000</v>
      </c>
      <c r="M43" s="607">
        <v>3569.55</v>
      </c>
      <c r="N43" s="607">
        <v>26772</v>
      </c>
      <c r="O43" s="607">
        <v>40.69</v>
      </c>
      <c r="P43" s="607" t="s">
        <v>1940</v>
      </c>
    </row>
    <row r="44" s="607" customFormat="1" spans="1:16">
      <c r="A44" s="607" t="s">
        <v>2060</v>
      </c>
      <c r="B44" s="607" t="s">
        <v>2061</v>
      </c>
      <c r="C44" s="607" t="s">
        <v>1928</v>
      </c>
      <c r="D44" s="607">
        <v>18313.7</v>
      </c>
      <c r="E44" s="607">
        <v>119400</v>
      </c>
      <c r="F44" s="607">
        <v>6.52</v>
      </c>
      <c r="G44" s="607" t="s">
        <v>1937</v>
      </c>
      <c r="H44" s="607" t="s">
        <v>1931</v>
      </c>
      <c r="I44" s="612">
        <v>42395.0004976852</v>
      </c>
      <c r="J44" s="607" t="s">
        <v>1932</v>
      </c>
      <c r="K44" s="607" t="s">
        <v>2062</v>
      </c>
      <c r="L44" s="607">
        <v>415000</v>
      </c>
      <c r="M44" s="607">
        <v>15107.09</v>
      </c>
      <c r="N44" s="607">
        <v>34757</v>
      </c>
      <c r="O44" s="607">
        <v>0</v>
      </c>
      <c r="P44" s="607" t="s">
        <v>1940</v>
      </c>
    </row>
    <row r="45" s="607" customFormat="1" spans="1:16">
      <c r="A45" s="607" t="s">
        <v>2063</v>
      </c>
      <c r="B45" s="607" t="s">
        <v>2064</v>
      </c>
      <c r="C45" s="607" t="s">
        <v>1928</v>
      </c>
      <c r="D45" s="607">
        <v>166012.3</v>
      </c>
      <c r="E45" s="607">
        <v>332025</v>
      </c>
      <c r="F45" s="607">
        <v>2</v>
      </c>
      <c r="G45" s="607" t="s">
        <v>1930</v>
      </c>
      <c r="H45" s="607" t="s">
        <v>1996</v>
      </c>
      <c r="I45" s="612">
        <v>42258.0004976852</v>
      </c>
      <c r="J45" s="607" t="s">
        <v>1932</v>
      </c>
      <c r="K45" s="607" t="s">
        <v>2065</v>
      </c>
      <c r="L45" s="607">
        <v>240045</v>
      </c>
      <c r="M45" s="607">
        <v>963.96</v>
      </c>
      <c r="N45" s="607">
        <v>7230</v>
      </c>
      <c r="O45" s="607">
        <v>0</v>
      </c>
      <c r="P45" s="607" t="s">
        <v>1940</v>
      </c>
    </row>
    <row r="46" s="607" customFormat="1" spans="1:16">
      <c r="A46" s="607" t="s">
        <v>2066</v>
      </c>
      <c r="B46" s="607" t="s">
        <v>2067</v>
      </c>
      <c r="C46" s="607" t="s">
        <v>1928</v>
      </c>
      <c r="D46" s="607">
        <v>9542.53</v>
      </c>
      <c r="E46" s="607">
        <v>36580</v>
      </c>
      <c r="F46" s="607">
        <v>3.83</v>
      </c>
      <c r="G46" s="607" t="s">
        <v>1930</v>
      </c>
      <c r="H46" s="607" t="s">
        <v>2068</v>
      </c>
      <c r="I46" s="612">
        <v>42045.0004976852</v>
      </c>
      <c r="J46" s="607" t="s">
        <v>1932</v>
      </c>
      <c r="K46" s="607" t="s">
        <v>2069</v>
      </c>
      <c r="L46" s="607">
        <v>169500</v>
      </c>
      <c r="M46" s="607">
        <v>11841.72</v>
      </c>
      <c r="N46" s="607">
        <v>46337</v>
      </c>
      <c r="O46" s="607">
        <v>41.25</v>
      </c>
      <c r="P46" s="607" t="s">
        <v>1958</v>
      </c>
    </row>
    <row r="47" s="607" customFormat="1" spans="1:16">
      <c r="A47" s="607" t="s">
        <v>2070</v>
      </c>
      <c r="B47" s="607" t="s">
        <v>2071</v>
      </c>
      <c r="C47" s="607" t="s">
        <v>1928</v>
      </c>
      <c r="D47" s="607">
        <v>16000</v>
      </c>
      <c r="E47" s="607">
        <v>80000</v>
      </c>
      <c r="F47" s="607">
        <v>5</v>
      </c>
      <c r="G47" s="607" t="s">
        <v>1937</v>
      </c>
      <c r="H47" s="607" t="s">
        <v>1938</v>
      </c>
      <c r="I47" s="612">
        <v>40409.0004976852</v>
      </c>
      <c r="J47" s="607" t="s">
        <v>1932</v>
      </c>
      <c r="K47" s="607" t="s">
        <v>2072</v>
      </c>
      <c r="L47" s="607">
        <v>63600</v>
      </c>
      <c r="M47" s="607">
        <v>2650</v>
      </c>
      <c r="N47" s="607">
        <v>7950</v>
      </c>
      <c r="O47" s="607">
        <v>12.57</v>
      </c>
      <c r="P47" s="607" t="s">
        <v>2073</v>
      </c>
    </row>
    <row r="48" s="607" customFormat="1" spans="1:16">
      <c r="A48" s="607" t="s">
        <v>2074</v>
      </c>
      <c r="B48" s="607" t="s">
        <v>2075</v>
      </c>
      <c r="C48" s="607" t="s">
        <v>1928</v>
      </c>
      <c r="D48" s="607">
        <v>13229.37</v>
      </c>
      <c r="E48" s="607">
        <v>37000</v>
      </c>
      <c r="F48" s="607">
        <v>2.8</v>
      </c>
      <c r="G48" s="607" t="s">
        <v>1930</v>
      </c>
      <c r="H48" s="607" t="s">
        <v>2076</v>
      </c>
      <c r="I48" s="612">
        <v>38861.0004976852</v>
      </c>
      <c r="J48" s="607" t="s">
        <v>1932</v>
      </c>
      <c r="K48" s="607" t="s">
        <v>2077</v>
      </c>
      <c r="L48" s="607">
        <v>10168.1</v>
      </c>
      <c r="M48" s="607">
        <v>512.4</v>
      </c>
      <c r="N48" s="607">
        <v>2748</v>
      </c>
      <c r="O48" s="607">
        <v>0</v>
      </c>
      <c r="P48" s="607" t="s">
        <v>2078</v>
      </c>
    </row>
    <row r="49" s="607" customFormat="1" spans="1:16">
      <c r="A49" s="607" t="s">
        <v>2079</v>
      </c>
      <c r="B49" s="607" t="s">
        <v>2080</v>
      </c>
      <c r="C49" s="607" t="s">
        <v>1928</v>
      </c>
      <c r="D49" s="607">
        <v>47284.8</v>
      </c>
      <c r="E49" s="607">
        <v>139186</v>
      </c>
      <c r="F49" s="607" t="s">
        <v>2081</v>
      </c>
      <c r="G49" s="607" t="s">
        <v>1930</v>
      </c>
      <c r="H49" s="607" t="s">
        <v>2082</v>
      </c>
      <c r="I49" s="612">
        <v>39783.0004976852</v>
      </c>
      <c r="J49" s="607" t="s">
        <v>1932</v>
      </c>
      <c r="K49" s="607" t="s">
        <v>2083</v>
      </c>
      <c r="L49" s="607">
        <v>85917.96</v>
      </c>
      <c r="M49" s="607">
        <v>1211.35</v>
      </c>
      <c r="N49" s="607">
        <v>6173</v>
      </c>
      <c r="O49" s="607">
        <v>0</v>
      </c>
      <c r="P49" s="607" t="s">
        <v>1958</v>
      </c>
    </row>
    <row r="50" s="607" customFormat="1" spans="1:16">
      <c r="A50" s="607" t="s">
        <v>2084</v>
      </c>
      <c r="B50" s="607" t="s">
        <v>2085</v>
      </c>
      <c r="C50" s="607" t="s">
        <v>1928</v>
      </c>
      <c r="D50" s="607">
        <v>8727.67</v>
      </c>
      <c r="E50" s="607">
        <v>30555</v>
      </c>
      <c r="F50" s="607">
        <v>3.5</v>
      </c>
      <c r="G50" s="607" t="s">
        <v>1930</v>
      </c>
      <c r="H50" s="607" t="s">
        <v>2076</v>
      </c>
      <c r="I50" s="612">
        <v>39034.0004976852</v>
      </c>
      <c r="J50" s="607" t="s">
        <v>1932</v>
      </c>
      <c r="K50" s="607" t="s">
        <v>2086</v>
      </c>
      <c r="L50" s="607">
        <v>9059.56</v>
      </c>
      <c r="M50" s="607">
        <v>692.02</v>
      </c>
      <c r="N50" s="607">
        <v>2965</v>
      </c>
      <c r="O50" s="607">
        <v>0</v>
      </c>
      <c r="P50" s="607" t="s">
        <v>2078</v>
      </c>
    </row>
    <row r="51" s="607" customFormat="1" spans="1:16">
      <c r="A51" s="607" t="s">
        <v>2087</v>
      </c>
      <c r="B51" s="607" t="s">
        <v>2088</v>
      </c>
      <c r="C51" s="607" t="s">
        <v>1928</v>
      </c>
      <c r="D51" s="607">
        <v>4514</v>
      </c>
      <c r="E51" s="607">
        <v>33746</v>
      </c>
      <c r="F51" s="607">
        <v>7.48</v>
      </c>
      <c r="G51" s="607" t="s">
        <v>1930</v>
      </c>
      <c r="H51" s="607" t="s">
        <v>2089</v>
      </c>
      <c r="I51" s="612">
        <v>37831.0004976852</v>
      </c>
      <c r="J51" s="607" t="s">
        <v>1932</v>
      </c>
      <c r="K51" s="607" t="s">
        <v>2090</v>
      </c>
      <c r="L51" s="607">
        <v>12781.9</v>
      </c>
      <c r="M51" s="607">
        <v>1887.74</v>
      </c>
      <c r="N51" s="607">
        <v>3788</v>
      </c>
      <c r="O51" s="607">
        <v>0</v>
      </c>
      <c r="P51" s="607" t="s">
        <v>2091</v>
      </c>
    </row>
    <row r="52" s="607" customFormat="1"/>
    <row r="53" s="609" customFormat="1" spans="1:18">
      <c r="A53" s="609" t="s">
        <v>1910</v>
      </c>
      <c r="B53" s="609" t="s">
        <v>1911</v>
      </c>
      <c r="C53" s="609" t="s">
        <v>1912</v>
      </c>
      <c r="D53" s="609" t="s">
        <v>1913</v>
      </c>
      <c r="E53" s="609" t="s">
        <v>1914</v>
      </c>
      <c r="F53" s="609" t="s">
        <v>1915</v>
      </c>
      <c r="G53" s="609" t="s">
        <v>1916</v>
      </c>
      <c r="H53" s="609" t="s">
        <v>1917</v>
      </c>
      <c r="I53" s="609" t="s">
        <v>2092</v>
      </c>
      <c r="J53" s="609" t="s">
        <v>2093</v>
      </c>
      <c r="K53" s="609" t="s">
        <v>1918</v>
      </c>
      <c r="L53" s="609" t="s">
        <v>1919</v>
      </c>
      <c r="M53" s="609" t="s">
        <v>1920</v>
      </c>
      <c r="N53" s="609" t="s">
        <v>1921</v>
      </c>
      <c r="O53" s="609" t="s">
        <v>1922</v>
      </c>
      <c r="P53" s="609" t="s">
        <v>1923</v>
      </c>
      <c r="Q53" s="609" t="s">
        <v>1924</v>
      </c>
      <c r="R53" s="609" t="s">
        <v>1925</v>
      </c>
    </row>
    <row r="54" s="609" customFormat="1" spans="1:18">
      <c r="A54" s="609" t="s">
        <v>2094</v>
      </c>
      <c r="B54" s="609" t="s">
        <v>2095</v>
      </c>
      <c r="C54" s="609" t="s">
        <v>2096</v>
      </c>
      <c r="D54" s="609">
        <v>26060.08</v>
      </c>
      <c r="E54" s="609">
        <v>60278</v>
      </c>
      <c r="F54" s="609" t="s">
        <v>2097</v>
      </c>
      <c r="G54" s="609" t="s">
        <v>1930</v>
      </c>
      <c r="H54" s="609" t="s">
        <v>2098</v>
      </c>
      <c r="I54" s="609" t="s">
        <v>2099</v>
      </c>
      <c r="J54" s="609" t="s">
        <v>2100</v>
      </c>
      <c r="K54" s="613">
        <v>44965.0004976852</v>
      </c>
      <c r="L54" s="609" t="s">
        <v>1932</v>
      </c>
      <c r="M54" s="609" t="s">
        <v>2101</v>
      </c>
      <c r="N54" s="609">
        <v>259900</v>
      </c>
      <c r="O54" s="609">
        <v>6648.74</v>
      </c>
      <c r="P54" s="609">
        <v>43117</v>
      </c>
      <c r="Q54" s="609">
        <v>15</v>
      </c>
      <c r="R54" s="609" t="s">
        <v>2102</v>
      </c>
    </row>
    <row r="55" s="609" customFormat="1" spans="1:18">
      <c r="A55" s="609" t="s">
        <v>2103</v>
      </c>
      <c r="B55" s="609" t="s">
        <v>2104</v>
      </c>
      <c r="C55" s="609" t="s">
        <v>2096</v>
      </c>
      <c r="D55" s="609">
        <v>82958.13</v>
      </c>
      <c r="E55" s="609">
        <v>99550</v>
      </c>
      <c r="F55" s="609">
        <v>1.2</v>
      </c>
      <c r="G55" s="609" t="s">
        <v>1930</v>
      </c>
      <c r="H55" s="609" t="s">
        <v>2105</v>
      </c>
      <c r="I55" s="609" t="s">
        <v>2106</v>
      </c>
      <c r="J55" s="609" t="s">
        <v>2107</v>
      </c>
      <c r="K55" s="613">
        <v>44826.0004976852</v>
      </c>
      <c r="L55" s="609" t="s">
        <v>1932</v>
      </c>
      <c r="M55" s="609" t="s">
        <v>2108</v>
      </c>
      <c r="N55" s="609">
        <v>227000</v>
      </c>
      <c r="O55" s="609">
        <v>1824.21</v>
      </c>
      <c r="P55" s="609">
        <v>22803</v>
      </c>
      <c r="Q55" s="609">
        <v>0</v>
      </c>
      <c r="R55" s="609" t="s">
        <v>2109</v>
      </c>
    </row>
    <row r="56" s="609" customFormat="1" spans="1:18">
      <c r="A56" s="609" t="s">
        <v>2110</v>
      </c>
      <c r="B56" s="609" t="s">
        <v>2111</v>
      </c>
      <c r="C56" s="609" t="s">
        <v>2096</v>
      </c>
      <c r="D56" s="609">
        <v>44618.19</v>
      </c>
      <c r="E56" s="609">
        <v>93514</v>
      </c>
      <c r="F56" s="609" t="s">
        <v>2112</v>
      </c>
      <c r="G56" s="609" t="s">
        <v>1930</v>
      </c>
      <c r="H56" s="609" t="s">
        <v>2113</v>
      </c>
      <c r="I56" s="609" t="s">
        <v>2114</v>
      </c>
      <c r="J56" s="609" t="s">
        <v>2115</v>
      </c>
      <c r="K56" s="613">
        <v>44713.0004976852</v>
      </c>
      <c r="L56" s="609" t="s">
        <v>1932</v>
      </c>
      <c r="M56" s="609" t="s">
        <v>2116</v>
      </c>
      <c r="N56" s="609">
        <v>400000</v>
      </c>
      <c r="O56" s="609">
        <v>5976.64</v>
      </c>
      <c r="P56" s="609">
        <v>42774</v>
      </c>
      <c r="Q56" s="609">
        <v>1.52</v>
      </c>
      <c r="R56" s="609" t="s">
        <v>2117</v>
      </c>
    </row>
    <row r="57" s="610" customFormat="1" spans="1:16384">
      <c r="A57" s="610" t="s">
        <v>2118</v>
      </c>
      <c r="B57" s="610" t="s">
        <v>2119</v>
      </c>
      <c r="C57" s="610" t="s">
        <v>2096</v>
      </c>
      <c r="D57" s="610">
        <v>29035</v>
      </c>
      <c r="E57" s="610">
        <v>72588</v>
      </c>
      <c r="F57" s="610" t="s">
        <v>2120</v>
      </c>
      <c r="G57" s="610" t="s">
        <v>1930</v>
      </c>
      <c r="H57" s="610" t="s">
        <v>2121</v>
      </c>
      <c r="I57" s="610" t="s">
        <v>2114</v>
      </c>
      <c r="J57" s="610" t="s">
        <v>2122</v>
      </c>
      <c r="K57" s="614">
        <v>44712.0004976852</v>
      </c>
      <c r="L57" s="610" t="s">
        <v>1932</v>
      </c>
      <c r="M57" s="610" t="s">
        <v>2123</v>
      </c>
      <c r="N57" s="610">
        <v>266000</v>
      </c>
      <c r="O57" s="610">
        <v>6107.57</v>
      </c>
      <c r="P57" s="610">
        <v>36645</v>
      </c>
      <c r="Q57" s="610">
        <v>0</v>
      </c>
      <c r="R57" s="610" t="s">
        <v>2124</v>
      </c>
      <c r="S57" s="608"/>
      <c r="T57" s="608"/>
      <c r="U57" s="608"/>
      <c r="V57" s="608"/>
      <c r="W57" s="608"/>
      <c r="X57" s="608"/>
      <c r="Y57" s="608"/>
      <c r="Z57" s="608"/>
      <c r="AA57" s="608"/>
      <c r="AB57" s="608"/>
      <c r="AC57" s="608"/>
      <c r="AD57" s="608"/>
      <c r="AE57" s="608"/>
      <c r="AF57" s="608"/>
      <c r="AG57" s="608"/>
      <c r="AH57" s="608"/>
      <c r="AI57" s="608"/>
      <c r="AJ57" s="608"/>
      <c r="AK57" s="608"/>
      <c r="AL57" s="608"/>
      <c r="AM57" s="608"/>
      <c r="AN57" s="608"/>
      <c r="AO57" s="608"/>
      <c r="AP57" s="608"/>
      <c r="AQ57" s="608"/>
      <c r="AR57" s="608"/>
      <c r="AS57" s="608"/>
      <c r="AT57" s="608"/>
      <c r="AU57" s="608"/>
      <c r="AV57" s="608"/>
      <c r="AW57" s="608"/>
      <c r="AX57" s="608"/>
      <c r="AY57" s="608"/>
      <c r="AZ57" s="608"/>
      <c r="BA57" s="608"/>
      <c r="BB57" s="608"/>
      <c r="BC57" s="608"/>
      <c r="BD57" s="608"/>
      <c r="BE57" s="608"/>
      <c r="BF57" s="608"/>
      <c r="BG57" s="608"/>
      <c r="BH57" s="608"/>
      <c r="BI57" s="608"/>
      <c r="BJ57" s="608"/>
      <c r="BK57" s="608"/>
      <c r="BL57" s="608"/>
      <c r="BM57" s="608"/>
      <c r="BN57" s="608"/>
      <c r="BO57" s="608"/>
      <c r="BP57" s="608"/>
      <c r="BQ57" s="608"/>
      <c r="BR57" s="608"/>
      <c r="BS57" s="608"/>
      <c r="BT57" s="608"/>
      <c r="BU57" s="608"/>
      <c r="BV57" s="608"/>
      <c r="BW57" s="608"/>
      <c r="BX57" s="608"/>
      <c r="BY57" s="608"/>
      <c r="BZ57" s="608"/>
      <c r="CA57" s="608"/>
      <c r="CB57" s="608"/>
      <c r="CC57" s="608"/>
      <c r="CD57" s="608"/>
      <c r="CE57" s="608"/>
      <c r="CF57" s="608"/>
      <c r="CG57" s="608"/>
      <c r="CH57" s="608"/>
      <c r="CI57" s="608"/>
      <c r="CJ57" s="608"/>
      <c r="CK57" s="608"/>
      <c r="CL57" s="608"/>
      <c r="CM57" s="608"/>
      <c r="CN57" s="608"/>
      <c r="CO57" s="608"/>
      <c r="CP57" s="608"/>
      <c r="CQ57" s="608"/>
      <c r="CR57" s="608"/>
      <c r="CS57" s="608"/>
      <c r="CT57" s="608"/>
      <c r="CU57" s="608"/>
      <c r="CV57" s="608"/>
      <c r="CW57" s="608"/>
      <c r="CX57" s="608"/>
      <c r="CY57" s="608"/>
      <c r="CZ57" s="608"/>
      <c r="DA57" s="608"/>
      <c r="DB57" s="608"/>
      <c r="DC57" s="608"/>
      <c r="DD57" s="608"/>
      <c r="DE57" s="608"/>
      <c r="DF57" s="608"/>
      <c r="DG57" s="608"/>
      <c r="DH57" s="608"/>
      <c r="DI57" s="608"/>
      <c r="DJ57" s="608"/>
      <c r="DK57" s="608"/>
      <c r="DL57" s="608"/>
      <c r="DM57" s="608"/>
      <c r="DN57" s="608"/>
      <c r="DO57" s="608"/>
      <c r="DP57" s="608"/>
      <c r="DQ57" s="608"/>
      <c r="DR57" s="608"/>
      <c r="DS57" s="608"/>
      <c r="DT57" s="608"/>
      <c r="DU57" s="608"/>
      <c r="DV57" s="608"/>
      <c r="DW57" s="608"/>
      <c r="DX57" s="608"/>
      <c r="DY57" s="608"/>
      <c r="DZ57" s="608"/>
      <c r="EA57" s="608"/>
      <c r="EB57" s="608"/>
      <c r="EC57" s="608"/>
      <c r="ED57" s="608"/>
      <c r="EE57" s="608"/>
      <c r="EF57" s="608"/>
      <c r="EG57" s="608"/>
      <c r="EH57" s="608"/>
      <c r="EI57" s="608"/>
      <c r="EJ57" s="608"/>
      <c r="EK57" s="608"/>
      <c r="EL57" s="608"/>
      <c r="EM57" s="608"/>
      <c r="EN57" s="608"/>
      <c r="EO57" s="608"/>
      <c r="EP57" s="608"/>
      <c r="EQ57" s="608"/>
      <c r="ER57" s="608"/>
      <c r="ES57" s="608"/>
      <c r="ET57" s="608"/>
      <c r="EU57" s="608"/>
      <c r="EV57" s="608"/>
      <c r="EW57" s="608"/>
      <c r="EX57" s="608"/>
      <c r="EY57" s="608"/>
      <c r="EZ57" s="608"/>
      <c r="FA57" s="608"/>
      <c r="FB57" s="608"/>
      <c r="FC57" s="608"/>
      <c r="FD57" s="608"/>
      <c r="FE57" s="608"/>
      <c r="FF57" s="608"/>
      <c r="FG57" s="608"/>
      <c r="FH57" s="608"/>
      <c r="FI57" s="608"/>
      <c r="FJ57" s="608"/>
      <c r="FK57" s="608"/>
      <c r="FL57" s="608"/>
      <c r="FM57" s="608"/>
      <c r="FN57" s="608"/>
      <c r="FO57" s="608"/>
      <c r="FP57" s="608"/>
      <c r="FQ57" s="608"/>
      <c r="FR57" s="608"/>
      <c r="FS57" s="608"/>
      <c r="FT57" s="608"/>
      <c r="FU57" s="608"/>
      <c r="FV57" s="608"/>
      <c r="FW57" s="608"/>
      <c r="FX57" s="608"/>
      <c r="FY57" s="608"/>
      <c r="FZ57" s="608"/>
      <c r="GA57" s="608"/>
      <c r="GB57" s="608"/>
      <c r="GC57" s="608"/>
      <c r="GD57" s="608"/>
      <c r="GE57" s="608"/>
      <c r="GF57" s="608"/>
      <c r="GG57" s="608"/>
      <c r="GH57" s="608"/>
      <c r="GI57" s="608"/>
      <c r="GJ57" s="608"/>
      <c r="GK57" s="608"/>
      <c r="GL57" s="608"/>
      <c r="GM57" s="608"/>
      <c r="GN57" s="608"/>
      <c r="GO57" s="608"/>
      <c r="GP57" s="608"/>
      <c r="GQ57" s="608"/>
      <c r="GR57" s="608"/>
      <c r="GS57" s="608"/>
      <c r="GT57" s="608"/>
      <c r="GU57" s="608"/>
      <c r="GV57" s="608"/>
      <c r="GW57" s="608"/>
      <c r="GX57" s="608"/>
      <c r="GY57" s="608"/>
      <c r="GZ57" s="608"/>
      <c r="HA57" s="608"/>
      <c r="HB57" s="608"/>
      <c r="HC57" s="608"/>
      <c r="HD57" s="608"/>
      <c r="HE57" s="608"/>
      <c r="HF57" s="608"/>
      <c r="HG57" s="608"/>
      <c r="HH57" s="608"/>
      <c r="HI57" s="608"/>
      <c r="HJ57" s="608"/>
      <c r="HK57" s="608"/>
      <c r="HL57" s="608"/>
      <c r="HM57" s="608"/>
      <c r="HN57" s="608"/>
      <c r="HO57" s="608"/>
      <c r="HP57" s="608"/>
      <c r="HQ57" s="608"/>
      <c r="HR57" s="608"/>
      <c r="HS57" s="608"/>
      <c r="HT57" s="608"/>
      <c r="HU57" s="608"/>
      <c r="HV57" s="608"/>
      <c r="HW57" s="608"/>
      <c r="HX57" s="608"/>
      <c r="HY57" s="608"/>
      <c r="HZ57" s="608"/>
      <c r="IA57" s="608"/>
      <c r="IB57" s="608"/>
      <c r="IC57" s="608"/>
      <c r="ID57" s="608"/>
      <c r="IE57" s="608"/>
      <c r="IF57" s="608"/>
      <c r="IG57" s="608"/>
      <c r="IH57" s="608"/>
      <c r="II57" s="608"/>
      <c r="IJ57" s="608"/>
      <c r="IK57" s="608"/>
      <c r="IL57" s="608"/>
      <c r="IM57" s="608"/>
      <c r="IN57" s="608"/>
      <c r="IO57" s="608"/>
      <c r="IP57" s="608"/>
      <c r="IQ57" s="608"/>
      <c r="IR57" s="608"/>
      <c r="IS57" s="608"/>
      <c r="IT57" s="608"/>
      <c r="IU57" s="608"/>
      <c r="IV57" s="608"/>
      <c r="IW57" s="608"/>
      <c r="IX57" s="608"/>
      <c r="IY57" s="608"/>
      <c r="IZ57" s="608"/>
      <c r="JA57" s="608"/>
      <c r="JB57" s="608"/>
      <c r="JC57" s="608"/>
      <c r="JD57" s="608"/>
      <c r="JE57" s="608"/>
      <c r="JF57" s="608"/>
      <c r="JG57" s="608"/>
      <c r="JH57" s="608"/>
      <c r="JI57" s="608"/>
      <c r="JJ57" s="608"/>
      <c r="JK57" s="608"/>
      <c r="JL57" s="608"/>
      <c r="JM57" s="608"/>
      <c r="JN57" s="608"/>
      <c r="JO57" s="608"/>
      <c r="JP57" s="608"/>
      <c r="JQ57" s="608"/>
      <c r="JR57" s="608"/>
      <c r="JS57" s="608"/>
      <c r="JT57" s="608"/>
      <c r="JU57" s="608"/>
      <c r="JV57" s="608"/>
      <c r="JW57" s="608"/>
      <c r="JX57" s="608"/>
      <c r="JY57" s="608"/>
      <c r="JZ57" s="608"/>
      <c r="KA57" s="608"/>
      <c r="KB57" s="608"/>
      <c r="KC57" s="608"/>
      <c r="KD57" s="608"/>
      <c r="KE57" s="608"/>
      <c r="KF57" s="608"/>
      <c r="KG57" s="608"/>
      <c r="KH57" s="608"/>
      <c r="KI57" s="608"/>
      <c r="KJ57" s="608"/>
      <c r="KK57" s="608"/>
      <c r="KL57" s="608"/>
      <c r="KM57" s="608"/>
      <c r="KN57" s="608"/>
      <c r="KO57" s="608"/>
      <c r="KP57" s="608"/>
      <c r="KQ57" s="608"/>
      <c r="KR57" s="608"/>
      <c r="KS57" s="608"/>
      <c r="KT57" s="608"/>
      <c r="KU57" s="608"/>
      <c r="KV57" s="608"/>
      <c r="KW57" s="608"/>
      <c r="KX57" s="608"/>
      <c r="KY57" s="608"/>
      <c r="KZ57" s="608"/>
      <c r="LA57" s="608"/>
      <c r="LB57" s="608"/>
      <c r="LC57" s="608"/>
      <c r="LD57" s="608"/>
      <c r="LE57" s="608"/>
      <c r="LF57" s="608"/>
      <c r="LG57" s="608"/>
      <c r="LH57" s="608"/>
      <c r="LI57" s="608"/>
      <c r="LJ57" s="608"/>
      <c r="LK57" s="608"/>
      <c r="LL57" s="608"/>
      <c r="LM57" s="608"/>
      <c r="LN57" s="608"/>
      <c r="LO57" s="608"/>
      <c r="LP57" s="608"/>
      <c r="LQ57" s="608"/>
      <c r="LR57" s="608"/>
      <c r="LS57" s="608"/>
      <c r="LT57" s="608"/>
      <c r="LU57" s="608"/>
      <c r="LV57" s="608"/>
      <c r="LW57" s="608"/>
      <c r="LX57" s="608"/>
      <c r="LY57" s="608"/>
      <c r="LZ57" s="608"/>
      <c r="MA57" s="608"/>
      <c r="MB57" s="608"/>
      <c r="MC57" s="608"/>
      <c r="MD57" s="608"/>
      <c r="ME57" s="608"/>
      <c r="MF57" s="608"/>
      <c r="MG57" s="608"/>
      <c r="MH57" s="608"/>
      <c r="MI57" s="608"/>
      <c r="MJ57" s="608"/>
      <c r="MK57" s="608"/>
      <c r="ML57" s="608"/>
      <c r="MM57" s="608"/>
      <c r="MN57" s="608"/>
      <c r="MO57" s="608"/>
      <c r="MP57" s="608"/>
      <c r="MQ57" s="608"/>
      <c r="MR57" s="608"/>
      <c r="MS57" s="608"/>
      <c r="MT57" s="608"/>
      <c r="MU57" s="608"/>
      <c r="MV57" s="608"/>
      <c r="MW57" s="608"/>
      <c r="MX57" s="608"/>
      <c r="MY57" s="608"/>
      <c r="MZ57" s="608"/>
      <c r="NA57" s="608"/>
      <c r="NB57" s="608"/>
      <c r="NC57" s="608"/>
      <c r="ND57" s="608"/>
      <c r="NE57" s="608"/>
      <c r="NF57" s="608"/>
      <c r="NG57" s="608"/>
      <c r="NH57" s="608"/>
      <c r="NI57" s="608"/>
      <c r="NJ57" s="608"/>
      <c r="NK57" s="608"/>
      <c r="NL57" s="608"/>
      <c r="NM57" s="608"/>
      <c r="NN57" s="608"/>
      <c r="NO57" s="608"/>
      <c r="NP57" s="608"/>
      <c r="NQ57" s="608"/>
      <c r="NR57" s="608"/>
      <c r="NS57" s="608"/>
      <c r="NT57" s="608"/>
      <c r="NU57" s="608"/>
      <c r="NV57" s="608"/>
      <c r="NW57" s="608"/>
      <c r="NX57" s="608"/>
      <c r="NY57" s="608"/>
      <c r="NZ57" s="608"/>
      <c r="OA57" s="608"/>
      <c r="OB57" s="608"/>
      <c r="OC57" s="608"/>
      <c r="OD57" s="608"/>
      <c r="OE57" s="608"/>
      <c r="OF57" s="608"/>
      <c r="OG57" s="608"/>
      <c r="OH57" s="608"/>
      <c r="OI57" s="608"/>
      <c r="OJ57" s="608"/>
      <c r="OK57" s="608"/>
      <c r="OL57" s="608"/>
      <c r="OM57" s="608"/>
      <c r="ON57" s="608"/>
      <c r="OO57" s="608"/>
      <c r="OP57" s="608"/>
      <c r="OQ57" s="608"/>
      <c r="OR57" s="608"/>
      <c r="OS57" s="608"/>
      <c r="OT57" s="608"/>
      <c r="OU57" s="608"/>
      <c r="OV57" s="608"/>
      <c r="OW57" s="608"/>
      <c r="OX57" s="608"/>
      <c r="OY57" s="608"/>
      <c r="OZ57" s="608"/>
      <c r="PA57" s="608"/>
      <c r="PB57" s="608"/>
      <c r="PC57" s="608"/>
      <c r="PD57" s="608"/>
      <c r="PE57" s="608"/>
      <c r="PF57" s="608"/>
      <c r="PG57" s="608"/>
      <c r="PH57" s="608"/>
      <c r="PI57" s="608"/>
      <c r="PJ57" s="608"/>
      <c r="PK57" s="608"/>
      <c r="PL57" s="608"/>
      <c r="PM57" s="608"/>
      <c r="PN57" s="608"/>
      <c r="PO57" s="608"/>
      <c r="PP57" s="608"/>
      <c r="PQ57" s="608"/>
      <c r="PR57" s="608"/>
      <c r="PS57" s="608"/>
      <c r="PT57" s="608"/>
      <c r="PU57" s="608"/>
      <c r="PV57" s="608"/>
      <c r="PW57" s="608"/>
      <c r="PX57" s="608"/>
      <c r="PY57" s="608"/>
      <c r="PZ57" s="608"/>
      <c r="QA57" s="608"/>
      <c r="QB57" s="608"/>
      <c r="QC57" s="608"/>
      <c r="QD57" s="608"/>
      <c r="QE57" s="608"/>
      <c r="QF57" s="608"/>
      <c r="QG57" s="608"/>
      <c r="QH57" s="608"/>
      <c r="QI57" s="608"/>
      <c r="QJ57" s="608"/>
      <c r="QK57" s="608"/>
      <c r="QL57" s="608"/>
      <c r="QM57" s="608"/>
      <c r="QN57" s="608"/>
      <c r="QO57" s="608"/>
      <c r="QP57" s="608"/>
      <c r="QQ57" s="608"/>
      <c r="QR57" s="608"/>
      <c r="QS57" s="608"/>
      <c r="QT57" s="608"/>
      <c r="QU57" s="608"/>
      <c r="QV57" s="608"/>
      <c r="QW57" s="608"/>
      <c r="QX57" s="608"/>
      <c r="QY57" s="608"/>
      <c r="QZ57" s="608"/>
      <c r="RA57" s="608"/>
      <c r="RB57" s="608"/>
      <c r="RC57" s="608"/>
      <c r="RD57" s="608"/>
      <c r="RE57" s="608"/>
      <c r="RF57" s="608"/>
      <c r="RG57" s="608"/>
      <c r="RH57" s="608"/>
      <c r="RI57" s="608"/>
      <c r="RJ57" s="608"/>
      <c r="RK57" s="608"/>
      <c r="RL57" s="608"/>
      <c r="RM57" s="608"/>
      <c r="RN57" s="608"/>
      <c r="RO57" s="608"/>
      <c r="RP57" s="608"/>
      <c r="RQ57" s="608"/>
      <c r="RR57" s="608"/>
      <c r="RS57" s="608"/>
      <c r="RT57" s="608"/>
      <c r="RU57" s="608"/>
      <c r="RV57" s="608"/>
      <c r="RW57" s="608"/>
      <c r="RX57" s="608"/>
      <c r="RY57" s="608"/>
      <c r="RZ57" s="608"/>
      <c r="SA57" s="608"/>
      <c r="SB57" s="608"/>
      <c r="SC57" s="608"/>
      <c r="SD57" s="608"/>
      <c r="SE57" s="608"/>
      <c r="SF57" s="608"/>
      <c r="SG57" s="608"/>
      <c r="SH57" s="608"/>
      <c r="SI57" s="608"/>
      <c r="SJ57" s="608"/>
      <c r="SK57" s="608"/>
      <c r="SL57" s="608"/>
      <c r="SM57" s="608"/>
      <c r="SN57" s="608"/>
      <c r="SO57" s="608"/>
      <c r="SP57" s="608"/>
      <c r="SQ57" s="608"/>
      <c r="SR57" s="608"/>
      <c r="SS57" s="608"/>
      <c r="ST57" s="608"/>
      <c r="SU57" s="608"/>
      <c r="SV57" s="608"/>
      <c r="SW57" s="608"/>
      <c r="SX57" s="608"/>
      <c r="SY57" s="608"/>
      <c r="SZ57" s="608"/>
      <c r="TA57" s="608"/>
      <c r="TB57" s="608"/>
      <c r="TC57" s="608"/>
      <c r="TD57" s="608"/>
      <c r="TE57" s="608"/>
      <c r="TF57" s="608"/>
      <c r="TG57" s="608"/>
      <c r="TH57" s="608"/>
      <c r="TI57" s="608"/>
      <c r="TJ57" s="608"/>
      <c r="TK57" s="608"/>
      <c r="TL57" s="608"/>
      <c r="TM57" s="608"/>
      <c r="TN57" s="608"/>
      <c r="TO57" s="608"/>
      <c r="TP57" s="608"/>
      <c r="TQ57" s="608"/>
      <c r="TR57" s="608"/>
      <c r="TS57" s="608"/>
      <c r="TT57" s="608"/>
      <c r="TU57" s="608"/>
      <c r="TV57" s="608"/>
      <c r="TW57" s="608"/>
      <c r="TX57" s="608"/>
      <c r="TY57" s="608"/>
      <c r="TZ57" s="608"/>
      <c r="UA57" s="608"/>
      <c r="UB57" s="608"/>
      <c r="UC57" s="608"/>
      <c r="UD57" s="608"/>
      <c r="UE57" s="608"/>
      <c r="UF57" s="608"/>
      <c r="UG57" s="608"/>
      <c r="UH57" s="608"/>
      <c r="UI57" s="608"/>
      <c r="UJ57" s="608"/>
      <c r="UK57" s="608"/>
      <c r="UL57" s="608"/>
      <c r="UM57" s="608"/>
      <c r="UN57" s="608"/>
      <c r="UO57" s="608"/>
      <c r="UP57" s="608"/>
      <c r="UQ57" s="608"/>
      <c r="UR57" s="608"/>
      <c r="US57" s="608"/>
      <c r="UT57" s="608"/>
      <c r="UU57" s="608"/>
      <c r="UV57" s="608"/>
      <c r="UW57" s="608"/>
      <c r="UX57" s="608"/>
      <c r="UY57" s="608"/>
      <c r="UZ57" s="608"/>
      <c r="VA57" s="608"/>
      <c r="VB57" s="608"/>
      <c r="VC57" s="608"/>
      <c r="VD57" s="608"/>
      <c r="VE57" s="608"/>
      <c r="VF57" s="608"/>
      <c r="VG57" s="608"/>
      <c r="VH57" s="608"/>
      <c r="VI57" s="608"/>
      <c r="VJ57" s="608"/>
      <c r="VK57" s="608"/>
      <c r="VL57" s="608"/>
      <c r="VM57" s="608"/>
      <c r="VN57" s="608"/>
      <c r="VO57" s="608"/>
      <c r="VP57" s="608"/>
      <c r="VQ57" s="608"/>
      <c r="VR57" s="608"/>
      <c r="VS57" s="608"/>
      <c r="VT57" s="608"/>
      <c r="VU57" s="608"/>
      <c r="VV57" s="608"/>
      <c r="VW57" s="608"/>
      <c r="VX57" s="608"/>
      <c r="VY57" s="608"/>
      <c r="VZ57" s="608"/>
      <c r="WA57" s="608"/>
      <c r="WB57" s="608"/>
      <c r="WC57" s="608"/>
      <c r="WD57" s="608"/>
      <c r="WE57" s="608"/>
      <c r="WF57" s="608"/>
      <c r="WG57" s="608"/>
      <c r="WH57" s="608"/>
      <c r="WI57" s="608"/>
      <c r="WJ57" s="608"/>
      <c r="WK57" s="608"/>
      <c r="WL57" s="608"/>
      <c r="WM57" s="608"/>
      <c r="WN57" s="608"/>
      <c r="WO57" s="608"/>
      <c r="WP57" s="608"/>
      <c r="WQ57" s="608"/>
      <c r="WR57" s="608"/>
      <c r="WS57" s="608"/>
      <c r="WT57" s="608"/>
      <c r="WU57" s="608"/>
      <c r="WV57" s="608"/>
      <c r="WW57" s="608"/>
      <c r="WX57" s="608"/>
      <c r="WY57" s="608"/>
      <c r="WZ57" s="608"/>
      <c r="XA57" s="608"/>
      <c r="XB57" s="608"/>
      <c r="XC57" s="608"/>
      <c r="XD57" s="608"/>
      <c r="XE57" s="608"/>
      <c r="XF57" s="608"/>
      <c r="XG57" s="608"/>
      <c r="XH57" s="608"/>
      <c r="XI57" s="608"/>
      <c r="XJ57" s="608"/>
      <c r="XK57" s="608"/>
      <c r="XL57" s="608"/>
      <c r="XM57" s="608"/>
      <c r="XN57" s="608"/>
      <c r="XO57" s="608"/>
      <c r="XP57" s="608"/>
      <c r="XQ57" s="608"/>
      <c r="XR57" s="608"/>
      <c r="XS57" s="608"/>
      <c r="XT57" s="608"/>
      <c r="XU57" s="608"/>
      <c r="XV57" s="608"/>
      <c r="XW57" s="608"/>
      <c r="XX57" s="608"/>
      <c r="XY57" s="608"/>
      <c r="XZ57" s="608"/>
      <c r="YA57" s="608"/>
      <c r="YB57" s="608"/>
      <c r="YC57" s="608"/>
      <c r="YD57" s="608"/>
      <c r="YE57" s="608"/>
      <c r="YF57" s="608"/>
      <c r="YG57" s="608"/>
      <c r="YH57" s="608"/>
      <c r="YI57" s="608"/>
      <c r="YJ57" s="608"/>
      <c r="YK57" s="608"/>
      <c r="YL57" s="608"/>
      <c r="YM57" s="608"/>
      <c r="YN57" s="608"/>
      <c r="YO57" s="608"/>
      <c r="YP57" s="608"/>
      <c r="YQ57" s="608"/>
      <c r="YR57" s="608"/>
      <c r="YS57" s="608"/>
      <c r="YT57" s="608"/>
      <c r="YU57" s="608"/>
      <c r="YV57" s="608"/>
      <c r="YW57" s="608"/>
      <c r="YX57" s="608"/>
      <c r="YY57" s="608"/>
      <c r="YZ57" s="608"/>
      <c r="ZA57" s="608"/>
      <c r="ZB57" s="608"/>
      <c r="ZC57" s="608"/>
      <c r="ZD57" s="608"/>
      <c r="ZE57" s="608"/>
      <c r="ZF57" s="608"/>
      <c r="ZG57" s="608"/>
      <c r="ZH57" s="608"/>
      <c r="ZI57" s="608"/>
      <c r="ZJ57" s="608"/>
      <c r="ZK57" s="608"/>
      <c r="ZL57" s="608"/>
      <c r="ZM57" s="608"/>
      <c r="ZN57" s="608"/>
      <c r="ZO57" s="608"/>
      <c r="ZP57" s="608"/>
      <c r="ZQ57" s="608"/>
      <c r="ZR57" s="608"/>
      <c r="ZS57" s="608"/>
      <c r="ZT57" s="608"/>
      <c r="ZU57" s="608"/>
      <c r="ZV57" s="608"/>
      <c r="ZW57" s="608"/>
      <c r="ZX57" s="608"/>
      <c r="ZY57" s="608"/>
      <c r="ZZ57" s="608"/>
      <c r="AAA57" s="608"/>
      <c r="AAB57" s="608"/>
      <c r="AAC57" s="608"/>
      <c r="AAD57" s="608"/>
      <c r="AAE57" s="608"/>
      <c r="AAF57" s="608"/>
      <c r="AAG57" s="608"/>
      <c r="AAH57" s="608"/>
      <c r="AAI57" s="608"/>
      <c r="AAJ57" s="608"/>
      <c r="AAK57" s="608"/>
      <c r="AAL57" s="608"/>
      <c r="AAM57" s="608"/>
      <c r="AAN57" s="608"/>
      <c r="AAO57" s="608"/>
      <c r="AAP57" s="608"/>
      <c r="AAQ57" s="608"/>
      <c r="AAR57" s="608"/>
      <c r="AAS57" s="608"/>
      <c r="AAT57" s="608"/>
      <c r="AAU57" s="608"/>
      <c r="AAV57" s="608"/>
      <c r="AAW57" s="608"/>
      <c r="AAX57" s="608"/>
      <c r="AAY57" s="608"/>
      <c r="AAZ57" s="608"/>
      <c r="ABA57" s="608"/>
      <c r="ABB57" s="608"/>
      <c r="ABC57" s="608"/>
      <c r="ABD57" s="608"/>
      <c r="ABE57" s="608"/>
      <c r="ABF57" s="608"/>
      <c r="ABG57" s="608"/>
      <c r="ABH57" s="608"/>
      <c r="ABI57" s="608"/>
      <c r="ABJ57" s="608"/>
      <c r="ABK57" s="608"/>
      <c r="ABL57" s="608"/>
      <c r="ABM57" s="608"/>
      <c r="ABN57" s="608"/>
      <c r="ABO57" s="608"/>
      <c r="ABP57" s="608"/>
      <c r="ABQ57" s="608"/>
      <c r="ABR57" s="608"/>
      <c r="ABS57" s="608"/>
      <c r="ABT57" s="608"/>
      <c r="ABU57" s="608"/>
      <c r="ABV57" s="608"/>
      <c r="ABW57" s="608"/>
      <c r="ABX57" s="608"/>
      <c r="ABY57" s="608"/>
      <c r="ABZ57" s="608"/>
      <c r="ACA57" s="608"/>
      <c r="ACB57" s="608"/>
      <c r="ACC57" s="608"/>
      <c r="ACD57" s="608"/>
      <c r="ACE57" s="608"/>
      <c r="ACF57" s="608"/>
      <c r="ACG57" s="608"/>
      <c r="ACH57" s="608"/>
      <c r="ACI57" s="608"/>
      <c r="ACJ57" s="608"/>
      <c r="ACK57" s="608"/>
      <c r="ACL57" s="608"/>
      <c r="ACM57" s="608"/>
      <c r="ACN57" s="608"/>
      <c r="ACO57" s="608"/>
      <c r="ACP57" s="608"/>
      <c r="ACQ57" s="608"/>
      <c r="ACR57" s="608"/>
      <c r="ACS57" s="608"/>
      <c r="ACT57" s="608"/>
      <c r="ACU57" s="608"/>
      <c r="ACV57" s="608"/>
      <c r="ACW57" s="608"/>
      <c r="ACX57" s="608"/>
      <c r="ACY57" s="608"/>
      <c r="ACZ57" s="608"/>
      <c r="ADA57" s="608"/>
      <c r="ADB57" s="608"/>
      <c r="ADC57" s="608"/>
      <c r="ADD57" s="608"/>
      <c r="ADE57" s="608"/>
      <c r="ADF57" s="608"/>
      <c r="ADG57" s="608"/>
      <c r="ADH57" s="608"/>
      <c r="ADI57" s="608"/>
      <c r="ADJ57" s="608"/>
      <c r="ADK57" s="608"/>
      <c r="ADL57" s="608"/>
      <c r="ADM57" s="608"/>
      <c r="ADN57" s="608"/>
      <c r="ADO57" s="608"/>
      <c r="ADP57" s="608"/>
      <c r="ADQ57" s="608"/>
      <c r="ADR57" s="608"/>
      <c r="ADS57" s="608"/>
      <c r="ADT57" s="608"/>
      <c r="ADU57" s="608"/>
      <c r="ADV57" s="608"/>
      <c r="ADW57" s="608"/>
      <c r="ADX57" s="608"/>
      <c r="ADY57" s="608"/>
      <c r="ADZ57" s="608"/>
      <c r="AEA57" s="608"/>
      <c r="AEB57" s="608"/>
      <c r="AEC57" s="608"/>
      <c r="AED57" s="608"/>
      <c r="AEE57" s="608"/>
      <c r="AEF57" s="608"/>
      <c r="AEG57" s="608"/>
      <c r="AEH57" s="608"/>
      <c r="AEI57" s="608"/>
      <c r="AEJ57" s="608"/>
      <c r="AEK57" s="608"/>
      <c r="AEL57" s="608"/>
      <c r="AEM57" s="608"/>
      <c r="AEN57" s="608"/>
      <c r="AEO57" s="608"/>
      <c r="AEP57" s="608"/>
      <c r="AEQ57" s="608"/>
      <c r="AER57" s="608"/>
      <c r="AES57" s="608"/>
      <c r="AET57" s="608"/>
      <c r="AEU57" s="608"/>
      <c r="AEV57" s="608"/>
      <c r="AEW57" s="608"/>
      <c r="AEX57" s="608"/>
      <c r="AEY57" s="608"/>
      <c r="AEZ57" s="608"/>
      <c r="AFA57" s="608"/>
      <c r="AFB57" s="608"/>
      <c r="AFC57" s="608"/>
      <c r="AFD57" s="608"/>
      <c r="AFE57" s="608"/>
      <c r="AFF57" s="608"/>
      <c r="AFG57" s="608"/>
      <c r="AFH57" s="608"/>
      <c r="AFI57" s="608"/>
      <c r="AFJ57" s="608"/>
      <c r="AFK57" s="608"/>
      <c r="AFL57" s="608"/>
      <c r="AFM57" s="608"/>
      <c r="AFN57" s="608"/>
      <c r="AFO57" s="608"/>
      <c r="AFP57" s="608"/>
      <c r="AFQ57" s="608"/>
      <c r="AFR57" s="608"/>
      <c r="AFS57" s="608"/>
      <c r="AFT57" s="608"/>
      <c r="AFU57" s="608"/>
      <c r="AFV57" s="608"/>
      <c r="AFW57" s="608"/>
      <c r="AFX57" s="608"/>
      <c r="AFY57" s="608"/>
      <c r="AFZ57" s="608"/>
      <c r="AGA57" s="608"/>
      <c r="AGB57" s="608"/>
      <c r="AGC57" s="608"/>
      <c r="AGD57" s="608"/>
      <c r="AGE57" s="608"/>
      <c r="AGF57" s="608"/>
      <c r="AGG57" s="608"/>
      <c r="AGH57" s="608"/>
      <c r="AGI57" s="608"/>
      <c r="AGJ57" s="608"/>
      <c r="AGK57" s="608"/>
      <c r="AGL57" s="608"/>
      <c r="AGM57" s="608"/>
      <c r="AGN57" s="608"/>
      <c r="AGO57" s="608"/>
      <c r="AGP57" s="608"/>
      <c r="AGQ57" s="608"/>
      <c r="AGR57" s="608"/>
      <c r="AGS57" s="608"/>
      <c r="AGT57" s="608"/>
      <c r="AGU57" s="608"/>
      <c r="AGV57" s="608"/>
      <c r="AGW57" s="608"/>
      <c r="AGX57" s="608"/>
      <c r="AGY57" s="608"/>
      <c r="AGZ57" s="608"/>
      <c r="AHA57" s="608"/>
      <c r="AHB57" s="608"/>
      <c r="AHC57" s="608"/>
      <c r="AHD57" s="608"/>
      <c r="AHE57" s="608"/>
      <c r="AHF57" s="608"/>
      <c r="AHG57" s="608"/>
      <c r="AHH57" s="608"/>
      <c r="AHI57" s="608"/>
      <c r="AHJ57" s="608"/>
      <c r="AHK57" s="608"/>
      <c r="AHL57" s="608"/>
      <c r="AHM57" s="608"/>
      <c r="AHN57" s="608"/>
      <c r="AHO57" s="608"/>
      <c r="AHP57" s="608"/>
      <c r="AHQ57" s="608"/>
      <c r="AHR57" s="608"/>
      <c r="AHS57" s="608"/>
      <c r="AHT57" s="608"/>
      <c r="AHU57" s="608"/>
      <c r="AHV57" s="608"/>
      <c r="AHW57" s="608"/>
      <c r="AHX57" s="608"/>
      <c r="AHY57" s="608"/>
      <c r="AHZ57" s="608"/>
      <c r="AIA57" s="608"/>
      <c r="AIB57" s="608"/>
      <c r="AIC57" s="608"/>
      <c r="AID57" s="608"/>
      <c r="AIE57" s="608"/>
      <c r="AIF57" s="608"/>
      <c r="AIG57" s="608"/>
      <c r="AIH57" s="608"/>
      <c r="AII57" s="608"/>
      <c r="AIJ57" s="608"/>
      <c r="AIK57" s="608"/>
      <c r="AIL57" s="608"/>
      <c r="AIM57" s="608"/>
      <c r="AIN57" s="608"/>
      <c r="AIO57" s="608"/>
      <c r="AIP57" s="608"/>
      <c r="AIQ57" s="608"/>
      <c r="AIR57" s="608"/>
      <c r="AIS57" s="608"/>
      <c r="AIT57" s="608"/>
      <c r="AIU57" s="608"/>
      <c r="AIV57" s="608"/>
      <c r="AIW57" s="608"/>
      <c r="AIX57" s="608"/>
      <c r="AIY57" s="608"/>
      <c r="AIZ57" s="608"/>
      <c r="AJA57" s="608"/>
      <c r="AJB57" s="608"/>
      <c r="AJC57" s="608"/>
      <c r="AJD57" s="608"/>
      <c r="AJE57" s="608"/>
      <c r="AJF57" s="608"/>
      <c r="AJG57" s="608"/>
      <c r="AJH57" s="608"/>
      <c r="AJI57" s="608"/>
      <c r="AJJ57" s="608"/>
      <c r="AJK57" s="608"/>
      <c r="AJL57" s="608"/>
      <c r="AJM57" s="608"/>
      <c r="AJN57" s="608"/>
      <c r="AJO57" s="608"/>
      <c r="AJP57" s="608"/>
      <c r="AJQ57" s="608"/>
      <c r="AJR57" s="608"/>
      <c r="AJS57" s="608"/>
      <c r="AJT57" s="608"/>
      <c r="AJU57" s="608"/>
      <c r="AJV57" s="608"/>
      <c r="AJW57" s="608"/>
      <c r="AJX57" s="608"/>
      <c r="AJY57" s="608"/>
      <c r="AJZ57" s="608"/>
      <c r="AKA57" s="608"/>
      <c r="AKB57" s="608"/>
      <c r="AKC57" s="608"/>
      <c r="AKD57" s="608"/>
      <c r="AKE57" s="608"/>
      <c r="AKF57" s="608"/>
      <c r="AKG57" s="608"/>
      <c r="AKH57" s="608"/>
      <c r="AKI57" s="608"/>
      <c r="AKJ57" s="608"/>
      <c r="AKK57" s="608"/>
      <c r="AKL57" s="608"/>
      <c r="AKM57" s="608"/>
      <c r="AKN57" s="608"/>
      <c r="AKO57" s="608"/>
      <c r="AKP57" s="608"/>
      <c r="AKQ57" s="608"/>
      <c r="AKR57" s="608"/>
      <c r="AKS57" s="608"/>
      <c r="AKT57" s="608"/>
      <c r="AKU57" s="608"/>
      <c r="AKV57" s="608"/>
      <c r="AKW57" s="608"/>
      <c r="AKX57" s="608"/>
      <c r="AKY57" s="608"/>
      <c r="AKZ57" s="608"/>
      <c r="ALA57" s="608"/>
      <c r="ALB57" s="608"/>
      <c r="ALC57" s="608"/>
      <c r="ALD57" s="608"/>
      <c r="ALE57" s="608"/>
      <c r="ALF57" s="608"/>
      <c r="ALG57" s="608"/>
      <c r="ALH57" s="608"/>
      <c r="ALI57" s="608"/>
      <c r="ALJ57" s="608"/>
      <c r="ALK57" s="608"/>
      <c r="ALL57" s="608"/>
      <c r="ALM57" s="608"/>
      <c r="ALN57" s="608"/>
      <c r="ALO57" s="608"/>
      <c r="ALP57" s="608"/>
      <c r="ALQ57" s="608"/>
      <c r="ALR57" s="608"/>
      <c r="ALS57" s="608"/>
      <c r="ALT57" s="608"/>
      <c r="ALU57" s="608"/>
      <c r="ALV57" s="608"/>
      <c r="ALW57" s="608"/>
      <c r="ALX57" s="608"/>
      <c r="ALY57" s="608"/>
      <c r="ALZ57" s="608"/>
      <c r="AMA57" s="608"/>
      <c r="AMB57" s="608"/>
      <c r="AMC57" s="608"/>
      <c r="AMD57" s="608"/>
      <c r="AME57" s="608"/>
      <c r="AMF57" s="608"/>
      <c r="AMG57" s="608"/>
      <c r="AMH57" s="608"/>
      <c r="AMI57" s="608"/>
      <c r="AMJ57" s="608"/>
      <c r="AMK57" s="608"/>
      <c r="AML57" s="608"/>
      <c r="AMM57" s="608"/>
      <c r="AMN57" s="608"/>
      <c r="AMO57" s="608"/>
      <c r="AMP57" s="608"/>
      <c r="AMQ57" s="608"/>
      <c r="AMR57" s="608"/>
      <c r="AMS57" s="608"/>
      <c r="AMT57" s="608"/>
      <c r="AMU57" s="608"/>
      <c r="AMV57" s="608"/>
      <c r="AMW57" s="608"/>
      <c r="AMX57" s="608"/>
      <c r="AMY57" s="608"/>
      <c r="AMZ57" s="608"/>
      <c r="ANA57" s="608"/>
      <c r="ANB57" s="608"/>
      <c r="ANC57" s="608"/>
      <c r="AND57" s="608"/>
      <c r="ANE57" s="608"/>
      <c r="ANF57" s="608"/>
      <c r="ANG57" s="608"/>
      <c r="ANH57" s="608"/>
      <c r="ANI57" s="608"/>
      <c r="ANJ57" s="608"/>
      <c r="ANK57" s="608"/>
      <c r="ANL57" s="608"/>
      <c r="ANM57" s="608"/>
      <c r="ANN57" s="608"/>
      <c r="ANO57" s="608"/>
      <c r="ANP57" s="608"/>
      <c r="ANQ57" s="608"/>
      <c r="ANR57" s="608"/>
      <c r="ANS57" s="608"/>
      <c r="ANT57" s="608"/>
      <c r="ANU57" s="608"/>
      <c r="ANV57" s="608"/>
      <c r="ANW57" s="608"/>
      <c r="ANX57" s="608"/>
      <c r="ANY57" s="608"/>
      <c r="ANZ57" s="608"/>
      <c r="AOA57" s="608"/>
      <c r="AOB57" s="608"/>
      <c r="AOC57" s="608"/>
      <c r="AOD57" s="608"/>
      <c r="AOE57" s="608"/>
      <c r="AOF57" s="608"/>
      <c r="AOG57" s="608"/>
      <c r="AOH57" s="608"/>
      <c r="AOI57" s="608"/>
      <c r="AOJ57" s="608"/>
      <c r="AOK57" s="608"/>
      <c r="AOL57" s="608"/>
      <c r="AOM57" s="608"/>
      <c r="AON57" s="608"/>
      <c r="AOO57" s="608"/>
      <c r="AOP57" s="608"/>
      <c r="AOQ57" s="608"/>
      <c r="AOR57" s="608"/>
      <c r="AOS57" s="608"/>
      <c r="AOT57" s="608"/>
      <c r="AOU57" s="608"/>
      <c r="AOV57" s="608"/>
      <c r="AOW57" s="608"/>
      <c r="AOX57" s="608"/>
      <c r="AOY57" s="608"/>
      <c r="AOZ57" s="608"/>
      <c r="APA57" s="608"/>
      <c r="APB57" s="608"/>
      <c r="APC57" s="608"/>
      <c r="APD57" s="608"/>
      <c r="APE57" s="608"/>
      <c r="APF57" s="608"/>
      <c r="APG57" s="608"/>
      <c r="APH57" s="608"/>
      <c r="API57" s="608"/>
      <c r="APJ57" s="608"/>
      <c r="APK57" s="608"/>
      <c r="APL57" s="608"/>
      <c r="APM57" s="608"/>
      <c r="APN57" s="608"/>
      <c r="APO57" s="608"/>
      <c r="APP57" s="608"/>
      <c r="APQ57" s="608"/>
      <c r="APR57" s="608"/>
      <c r="APS57" s="608"/>
      <c r="APT57" s="608"/>
      <c r="APU57" s="608"/>
      <c r="APV57" s="608"/>
      <c r="APW57" s="608"/>
      <c r="APX57" s="608"/>
      <c r="APY57" s="608"/>
      <c r="APZ57" s="608"/>
      <c r="AQA57" s="608"/>
      <c r="AQB57" s="608"/>
      <c r="AQC57" s="608"/>
      <c r="AQD57" s="608"/>
      <c r="AQE57" s="608"/>
      <c r="AQF57" s="608"/>
      <c r="AQG57" s="608"/>
      <c r="AQH57" s="608"/>
      <c r="AQI57" s="608"/>
      <c r="AQJ57" s="608"/>
      <c r="AQK57" s="608"/>
      <c r="AQL57" s="608"/>
      <c r="AQM57" s="608"/>
      <c r="AQN57" s="608"/>
      <c r="AQO57" s="608"/>
      <c r="AQP57" s="608"/>
      <c r="AQQ57" s="608"/>
      <c r="AQR57" s="608"/>
      <c r="AQS57" s="608"/>
      <c r="AQT57" s="608"/>
      <c r="AQU57" s="608"/>
      <c r="AQV57" s="608"/>
      <c r="AQW57" s="608"/>
      <c r="AQX57" s="608"/>
      <c r="AQY57" s="608"/>
      <c r="AQZ57" s="608"/>
      <c r="ARA57" s="608"/>
      <c r="ARB57" s="608"/>
      <c r="ARC57" s="608"/>
      <c r="ARD57" s="608"/>
      <c r="ARE57" s="608"/>
      <c r="ARF57" s="608"/>
      <c r="ARG57" s="608"/>
      <c r="ARH57" s="608"/>
      <c r="ARI57" s="608"/>
      <c r="ARJ57" s="608"/>
      <c r="ARK57" s="608"/>
      <c r="ARL57" s="608"/>
      <c r="ARM57" s="608"/>
      <c r="ARN57" s="608"/>
      <c r="ARO57" s="608"/>
      <c r="ARP57" s="608"/>
      <c r="ARQ57" s="608"/>
      <c r="ARR57" s="608"/>
      <c r="ARS57" s="608"/>
      <c r="ART57" s="608"/>
      <c r="ARU57" s="608"/>
      <c r="ARV57" s="608"/>
      <c r="ARW57" s="608"/>
      <c r="ARX57" s="608"/>
      <c r="ARY57" s="608"/>
      <c r="ARZ57" s="608"/>
      <c r="ASA57" s="608"/>
      <c r="ASB57" s="608"/>
      <c r="ASC57" s="608"/>
      <c r="ASD57" s="608"/>
      <c r="ASE57" s="608"/>
      <c r="ASF57" s="608"/>
      <c r="ASG57" s="608"/>
      <c r="ASH57" s="608"/>
      <c r="ASI57" s="608"/>
      <c r="ASJ57" s="608"/>
      <c r="ASK57" s="608"/>
      <c r="ASL57" s="608"/>
      <c r="ASM57" s="608"/>
      <c r="ASN57" s="608"/>
      <c r="ASO57" s="608"/>
      <c r="ASP57" s="608"/>
      <c r="ASQ57" s="608"/>
      <c r="ASR57" s="608"/>
      <c r="ASS57" s="608"/>
      <c r="AST57" s="608"/>
      <c r="ASU57" s="608"/>
      <c r="ASV57" s="608"/>
      <c r="ASW57" s="608"/>
      <c r="ASX57" s="608"/>
      <c r="ASY57" s="608"/>
      <c r="ASZ57" s="608"/>
      <c r="ATA57" s="608"/>
      <c r="ATB57" s="608"/>
      <c r="ATC57" s="608"/>
      <c r="ATD57" s="608"/>
      <c r="ATE57" s="608"/>
      <c r="ATF57" s="608"/>
      <c r="ATG57" s="608"/>
      <c r="ATH57" s="608"/>
      <c r="ATI57" s="608"/>
      <c r="ATJ57" s="608"/>
      <c r="ATK57" s="608"/>
      <c r="ATL57" s="608"/>
      <c r="ATM57" s="608"/>
      <c r="ATN57" s="608"/>
      <c r="ATO57" s="608"/>
      <c r="ATP57" s="608"/>
      <c r="ATQ57" s="608"/>
      <c r="ATR57" s="608"/>
      <c r="ATS57" s="608"/>
      <c r="ATT57" s="608"/>
      <c r="ATU57" s="608"/>
      <c r="ATV57" s="608"/>
      <c r="ATW57" s="608"/>
      <c r="ATX57" s="608"/>
      <c r="ATY57" s="608"/>
      <c r="ATZ57" s="608"/>
      <c r="AUA57" s="608"/>
      <c r="AUB57" s="608"/>
      <c r="AUC57" s="608"/>
      <c r="AUD57" s="608"/>
      <c r="AUE57" s="608"/>
      <c r="AUF57" s="608"/>
      <c r="AUG57" s="608"/>
      <c r="AUH57" s="608"/>
      <c r="AUI57" s="608"/>
      <c r="AUJ57" s="608"/>
      <c r="AUK57" s="608"/>
      <c r="AUL57" s="608"/>
      <c r="AUM57" s="608"/>
      <c r="AUN57" s="608"/>
      <c r="AUO57" s="608"/>
      <c r="AUP57" s="608"/>
      <c r="AUQ57" s="608"/>
      <c r="AUR57" s="608"/>
      <c r="AUS57" s="608"/>
      <c r="AUT57" s="608"/>
      <c r="AUU57" s="608"/>
      <c r="AUV57" s="608"/>
      <c r="AUW57" s="608"/>
      <c r="AUX57" s="608"/>
      <c r="AUY57" s="608"/>
      <c r="AUZ57" s="608"/>
      <c r="AVA57" s="608"/>
      <c r="AVB57" s="608"/>
      <c r="AVC57" s="608"/>
      <c r="AVD57" s="608"/>
      <c r="AVE57" s="608"/>
      <c r="AVF57" s="608"/>
      <c r="AVG57" s="608"/>
      <c r="AVH57" s="608"/>
      <c r="AVI57" s="608"/>
      <c r="AVJ57" s="608"/>
      <c r="AVK57" s="608"/>
      <c r="AVL57" s="608"/>
      <c r="AVM57" s="608"/>
      <c r="AVN57" s="608"/>
      <c r="AVO57" s="608"/>
      <c r="AVP57" s="608"/>
      <c r="AVQ57" s="608"/>
      <c r="AVR57" s="608"/>
      <c r="AVS57" s="608"/>
      <c r="AVT57" s="608"/>
      <c r="AVU57" s="608"/>
      <c r="AVV57" s="608"/>
      <c r="AVW57" s="608"/>
      <c r="AVX57" s="608"/>
      <c r="AVY57" s="608"/>
      <c r="AVZ57" s="608"/>
      <c r="AWA57" s="608"/>
      <c r="AWB57" s="608"/>
      <c r="AWC57" s="608"/>
      <c r="AWD57" s="608"/>
      <c r="AWE57" s="608"/>
      <c r="AWF57" s="608"/>
      <c r="AWG57" s="608"/>
      <c r="AWH57" s="608"/>
      <c r="AWI57" s="608"/>
      <c r="AWJ57" s="608"/>
      <c r="AWK57" s="608"/>
      <c r="AWL57" s="608"/>
      <c r="AWM57" s="608"/>
      <c r="AWN57" s="608"/>
      <c r="AWO57" s="608"/>
      <c r="AWP57" s="608"/>
      <c r="AWQ57" s="608"/>
      <c r="AWR57" s="608"/>
      <c r="AWS57" s="608"/>
      <c r="AWT57" s="608"/>
      <c r="AWU57" s="608"/>
      <c r="AWV57" s="608"/>
      <c r="AWW57" s="608"/>
      <c r="AWX57" s="608"/>
      <c r="AWY57" s="608"/>
      <c r="AWZ57" s="608"/>
      <c r="AXA57" s="608"/>
      <c r="AXB57" s="608"/>
      <c r="AXC57" s="608"/>
      <c r="AXD57" s="608"/>
      <c r="AXE57" s="608"/>
      <c r="AXF57" s="608"/>
      <c r="AXG57" s="608"/>
      <c r="AXH57" s="608"/>
      <c r="AXI57" s="608"/>
      <c r="AXJ57" s="608"/>
      <c r="AXK57" s="608"/>
      <c r="AXL57" s="608"/>
      <c r="AXM57" s="608"/>
      <c r="AXN57" s="608"/>
      <c r="AXO57" s="608"/>
      <c r="AXP57" s="608"/>
      <c r="AXQ57" s="608"/>
      <c r="AXR57" s="608"/>
      <c r="AXS57" s="608"/>
      <c r="AXT57" s="608"/>
      <c r="AXU57" s="608"/>
      <c r="AXV57" s="608"/>
      <c r="AXW57" s="608"/>
      <c r="AXX57" s="608"/>
      <c r="AXY57" s="608"/>
      <c r="AXZ57" s="608"/>
      <c r="AYA57" s="608"/>
      <c r="AYB57" s="608"/>
      <c r="AYC57" s="608"/>
      <c r="AYD57" s="608"/>
      <c r="AYE57" s="608"/>
      <c r="AYF57" s="608"/>
      <c r="AYG57" s="608"/>
      <c r="AYH57" s="608"/>
      <c r="AYI57" s="608"/>
      <c r="AYJ57" s="608"/>
      <c r="AYK57" s="608"/>
      <c r="AYL57" s="608"/>
      <c r="AYM57" s="608"/>
      <c r="AYN57" s="608"/>
      <c r="AYO57" s="608"/>
      <c r="AYP57" s="608"/>
      <c r="AYQ57" s="608"/>
      <c r="AYR57" s="608"/>
      <c r="AYS57" s="608"/>
      <c r="AYT57" s="608"/>
      <c r="AYU57" s="608"/>
      <c r="AYV57" s="608"/>
      <c r="AYW57" s="608"/>
      <c r="AYX57" s="608"/>
      <c r="AYY57" s="608"/>
      <c r="AYZ57" s="608"/>
      <c r="AZA57" s="608"/>
      <c r="AZB57" s="608"/>
      <c r="AZC57" s="608"/>
      <c r="AZD57" s="608"/>
      <c r="AZE57" s="608"/>
      <c r="AZF57" s="608"/>
      <c r="AZG57" s="608"/>
      <c r="AZH57" s="608"/>
      <c r="AZI57" s="608"/>
      <c r="AZJ57" s="608"/>
      <c r="AZK57" s="608"/>
      <c r="AZL57" s="608"/>
      <c r="AZM57" s="608"/>
      <c r="AZN57" s="608"/>
      <c r="AZO57" s="608"/>
      <c r="AZP57" s="608"/>
      <c r="AZQ57" s="608"/>
      <c r="AZR57" s="608"/>
      <c r="AZS57" s="608"/>
      <c r="AZT57" s="608"/>
      <c r="AZU57" s="608"/>
      <c r="AZV57" s="608"/>
      <c r="AZW57" s="608"/>
      <c r="AZX57" s="608"/>
      <c r="AZY57" s="608"/>
      <c r="AZZ57" s="608"/>
      <c r="BAA57" s="608"/>
      <c r="BAB57" s="608"/>
      <c r="BAC57" s="608"/>
      <c r="BAD57" s="608"/>
      <c r="BAE57" s="608"/>
      <c r="BAF57" s="608"/>
      <c r="BAG57" s="608"/>
      <c r="BAH57" s="608"/>
      <c r="BAI57" s="608"/>
      <c r="BAJ57" s="608"/>
      <c r="BAK57" s="608"/>
      <c r="BAL57" s="608"/>
      <c r="BAM57" s="608"/>
      <c r="BAN57" s="608"/>
      <c r="BAO57" s="608"/>
      <c r="BAP57" s="608"/>
      <c r="BAQ57" s="608"/>
      <c r="BAR57" s="608"/>
      <c r="BAS57" s="608"/>
      <c r="BAT57" s="608"/>
      <c r="BAU57" s="608"/>
      <c r="BAV57" s="608"/>
      <c r="BAW57" s="608"/>
      <c r="BAX57" s="608"/>
      <c r="BAY57" s="608"/>
      <c r="BAZ57" s="608"/>
      <c r="BBA57" s="608"/>
      <c r="BBB57" s="608"/>
      <c r="BBC57" s="608"/>
      <c r="BBD57" s="608"/>
      <c r="BBE57" s="608"/>
      <c r="BBF57" s="608"/>
      <c r="BBG57" s="608"/>
      <c r="BBH57" s="608"/>
      <c r="BBI57" s="608"/>
      <c r="BBJ57" s="608"/>
      <c r="BBK57" s="608"/>
      <c r="BBL57" s="608"/>
      <c r="BBM57" s="608"/>
      <c r="BBN57" s="608"/>
      <c r="BBO57" s="608"/>
      <c r="BBP57" s="608"/>
      <c r="BBQ57" s="608"/>
      <c r="BBR57" s="608"/>
      <c r="BBS57" s="608"/>
      <c r="BBT57" s="608"/>
      <c r="BBU57" s="608"/>
      <c r="BBV57" s="608"/>
      <c r="BBW57" s="608"/>
      <c r="BBX57" s="608"/>
      <c r="BBY57" s="608"/>
      <c r="BBZ57" s="608"/>
      <c r="BCA57" s="608"/>
      <c r="BCB57" s="608"/>
      <c r="BCC57" s="608"/>
      <c r="BCD57" s="608"/>
      <c r="BCE57" s="608"/>
      <c r="BCF57" s="608"/>
      <c r="BCG57" s="608"/>
      <c r="BCH57" s="608"/>
      <c r="BCI57" s="608"/>
      <c r="BCJ57" s="608"/>
      <c r="BCK57" s="608"/>
      <c r="BCL57" s="608"/>
      <c r="BCM57" s="608"/>
      <c r="BCN57" s="608"/>
      <c r="BCO57" s="608"/>
      <c r="BCP57" s="608"/>
      <c r="BCQ57" s="608"/>
      <c r="BCR57" s="608"/>
      <c r="BCS57" s="608"/>
      <c r="BCT57" s="608"/>
      <c r="BCU57" s="608"/>
      <c r="BCV57" s="608"/>
      <c r="BCW57" s="608"/>
      <c r="BCX57" s="608"/>
      <c r="BCY57" s="608"/>
      <c r="BCZ57" s="608"/>
      <c r="BDA57" s="608"/>
      <c r="BDB57" s="608"/>
      <c r="BDC57" s="608"/>
      <c r="BDD57" s="608"/>
      <c r="BDE57" s="608"/>
      <c r="BDF57" s="608"/>
      <c r="BDG57" s="608"/>
      <c r="BDH57" s="608"/>
      <c r="BDI57" s="608"/>
      <c r="BDJ57" s="608"/>
      <c r="BDK57" s="608"/>
      <c r="BDL57" s="608"/>
      <c r="BDM57" s="608"/>
      <c r="BDN57" s="608"/>
      <c r="BDO57" s="608"/>
      <c r="BDP57" s="608"/>
      <c r="BDQ57" s="608"/>
      <c r="BDR57" s="608"/>
      <c r="BDS57" s="608"/>
      <c r="BDT57" s="608"/>
      <c r="BDU57" s="608"/>
      <c r="BDV57" s="608"/>
      <c r="BDW57" s="608"/>
      <c r="BDX57" s="608"/>
      <c r="BDY57" s="608"/>
      <c r="BDZ57" s="608"/>
      <c r="BEA57" s="608"/>
      <c r="BEB57" s="608"/>
      <c r="BEC57" s="608"/>
      <c r="BED57" s="608"/>
      <c r="BEE57" s="608"/>
      <c r="BEF57" s="608"/>
      <c r="BEG57" s="608"/>
      <c r="BEH57" s="608"/>
      <c r="BEI57" s="608"/>
      <c r="BEJ57" s="608"/>
      <c r="BEK57" s="608"/>
      <c r="BEL57" s="608"/>
      <c r="BEM57" s="608"/>
      <c r="BEN57" s="608"/>
      <c r="BEO57" s="608"/>
      <c r="BEP57" s="608"/>
      <c r="BEQ57" s="608"/>
      <c r="BER57" s="608"/>
      <c r="BES57" s="608"/>
      <c r="BET57" s="608"/>
      <c r="BEU57" s="608"/>
      <c r="BEV57" s="608"/>
      <c r="BEW57" s="608"/>
      <c r="BEX57" s="608"/>
      <c r="BEY57" s="608"/>
      <c r="BEZ57" s="608"/>
      <c r="BFA57" s="608"/>
      <c r="BFB57" s="608"/>
      <c r="BFC57" s="608"/>
      <c r="BFD57" s="608"/>
      <c r="BFE57" s="608"/>
      <c r="BFF57" s="608"/>
      <c r="BFG57" s="608"/>
      <c r="BFH57" s="608"/>
      <c r="BFI57" s="608"/>
      <c r="BFJ57" s="608"/>
      <c r="BFK57" s="608"/>
      <c r="BFL57" s="608"/>
      <c r="BFM57" s="608"/>
      <c r="BFN57" s="608"/>
      <c r="BFO57" s="608"/>
      <c r="BFP57" s="608"/>
      <c r="BFQ57" s="608"/>
      <c r="BFR57" s="608"/>
      <c r="BFS57" s="608"/>
      <c r="BFT57" s="608"/>
      <c r="BFU57" s="608"/>
      <c r="BFV57" s="608"/>
      <c r="BFW57" s="608"/>
      <c r="BFX57" s="608"/>
      <c r="BFY57" s="608"/>
      <c r="BFZ57" s="608"/>
      <c r="BGA57" s="608"/>
      <c r="BGB57" s="608"/>
      <c r="BGC57" s="608"/>
      <c r="BGD57" s="608"/>
      <c r="BGE57" s="608"/>
      <c r="BGF57" s="608"/>
      <c r="BGG57" s="608"/>
      <c r="BGH57" s="608"/>
      <c r="BGI57" s="608"/>
      <c r="BGJ57" s="608"/>
      <c r="BGK57" s="608"/>
      <c r="BGL57" s="608"/>
      <c r="BGM57" s="608"/>
      <c r="BGN57" s="608"/>
      <c r="BGO57" s="608"/>
      <c r="BGP57" s="608"/>
      <c r="BGQ57" s="608"/>
      <c r="BGR57" s="608"/>
      <c r="BGS57" s="608"/>
      <c r="BGT57" s="608"/>
      <c r="BGU57" s="608"/>
      <c r="BGV57" s="608"/>
      <c r="BGW57" s="608"/>
      <c r="BGX57" s="608"/>
      <c r="BGY57" s="608"/>
      <c r="BGZ57" s="608"/>
      <c r="BHA57" s="608"/>
      <c r="BHB57" s="608"/>
      <c r="BHC57" s="608"/>
      <c r="BHD57" s="608"/>
      <c r="BHE57" s="608"/>
      <c r="BHF57" s="608"/>
      <c r="BHG57" s="608"/>
      <c r="BHH57" s="608"/>
      <c r="BHI57" s="608"/>
      <c r="BHJ57" s="608"/>
      <c r="BHK57" s="608"/>
      <c r="BHL57" s="608"/>
      <c r="BHM57" s="608"/>
      <c r="BHN57" s="608"/>
      <c r="BHO57" s="608"/>
      <c r="BHP57" s="608"/>
      <c r="BHQ57" s="608"/>
      <c r="BHR57" s="608"/>
      <c r="BHS57" s="608"/>
      <c r="BHT57" s="608"/>
      <c r="BHU57" s="608"/>
      <c r="BHV57" s="608"/>
      <c r="BHW57" s="608"/>
      <c r="BHX57" s="608"/>
      <c r="BHY57" s="608"/>
      <c r="BHZ57" s="608"/>
      <c r="BIA57" s="608"/>
      <c r="BIB57" s="608"/>
      <c r="BIC57" s="608"/>
      <c r="BID57" s="608"/>
      <c r="BIE57" s="608"/>
      <c r="BIF57" s="608"/>
      <c r="BIG57" s="608"/>
      <c r="BIH57" s="608"/>
      <c r="BII57" s="608"/>
      <c r="BIJ57" s="608"/>
      <c r="BIK57" s="608"/>
      <c r="BIL57" s="608"/>
      <c r="BIM57" s="608"/>
      <c r="BIN57" s="608"/>
      <c r="BIO57" s="608"/>
      <c r="BIP57" s="608"/>
      <c r="BIQ57" s="608"/>
      <c r="BIR57" s="608"/>
      <c r="BIS57" s="608"/>
      <c r="BIT57" s="608"/>
      <c r="BIU57" s="608"/>
      <c r="BIV57" s="608"/>
      <c r="BIW57" s="608"/>
      <c r="BIX57" s="608"/>
      <c r="BIY57" s="608"/>
      <c r="BIZ57" s="608"/>
      <c r="BJA57" s="608"/>
      <c r="BJB57" s="608"/>
      <c r="BJC57" s="608"/>
      <c r="BJD57" s="608"/>
      <c r="BJE57" s="608"/>
      <c r="BJF57" s="608"/>
      <c r="BJG57" s="608"/>
      <c r="BJH57" s="608"/>
      <c r="BJI57" s="608"/>
      <c r="BJJ57" s="608"/>
      <c r="BJK57" s="608"/>
      <c r="BJL57" s="608"/>
      <c r="BJM57" s="608"/>
      <c r="BJN57" s="608"/>
      <c r="BJO57" s="608"/>
      <c r="BJP57" s="608"/>
      <c r="BJQ57" s="608"/>
      <c r="BJR57" s="608"/>
      <c r="BJS57" s="608"/>
      <c r="BJT57" s="608"/>
      <c r="BJU57" s="608"/>
      <c r="BJV57" s="608"/>
      <c r="BJW57" s="608"/>
      <c r="BJX57" s="608"/>
      <c r="BJY57" s="608"/>
      <c r="BJZ57" s="608"/>
      <c r="BKA57" s="608"/>
      <c r="BKB57" s="608"/>
      <c r="BKC57" s="608"/>
      <c r="BKD57" s="608"/>
      <c r="BKE57" s="608"/>
      <c r="BKF57" s="608"/>
      <c r="BKG57" s="608"/>
      <c r="BKH57" s="608"/>
      <c r="BKI57" s="608"/>
      <c r="BKJ57" s="608"/>
      <c r="BKK57" s="608"/>
      <c r="BKL57" s="608"/>
      <c r="BKM57" s="608"/>
      <c r="BKN57" s="608"/>
      <c r="BKO57" s="608"/>
      <c r="BKP57" s="608"/>
      <c r="BKQ57" s="608"/>
      <c r="BKR57" s="608"/>
      <c r="BKS57" s="608"/>
      <c r="BKT57" s="608"/>
      <c r="BKU57" s="608"/>
      <c r="BKV57" s="608"/>
      <c r="BKW57" s="608"/>
      <c r="BKX57" s="608"/>
      <c r="BKY57" s="608"/>
      <c r="BKZ57" s="608"/>
      <c r="BLA57" s="608"/>
      <c r="BLB57" s="608"/>
      <c r="BLC57" s="608"/>
      <c r="BLD57" s="608"/>
      <c r="BLE57" s="608"/>
      <c r="BLF57" s="608"/>
      <c r="BLG57" s="608"/>
      <c r="BLH57" s="608"/>
      <c r="BLI57" s="608"/>
      <c r="BLJ57" s="608"/>
      <c r="BLK57" s="608"/>
      <c r="BLL57" s="608"/>
      <c r="BLM57" s="608"/>
      <c r="BLN57" s="608"/>
      <c r="BLO57" s="608"/>
      <c r="BLP57" s="608"/>
      <c r="BLQ57" s="608"/>
      <c r="BLR57" s="608"/>
      <c r="BLS57" s="608"/>
      <c r="BLT57" s="608"/>
      <c r="BLU57" s="608"/>
      <c r="BLV57" s="608"/>
      <c r="BLW57" s="608"/>
      <c r="BLX57" s="608"/>
      <c r="BLY57" s="608"/>
      <c r="BLZ57" s="608"/>
      <c r="BMA57" s="608"/>
      <c r="BMB57" s="608"/>
      <c r="BMC57" s="608"/>
      <c r="BMD57" s="608"/>
      <c r="BME57" s="608"/>
      <c r="BMF57" s="608"/>
      <c r="BMG57" s="608"/>
      <c r="BMH57" s="608"/>
      <c r="BMI57" s="608"/>
      <c r="BMJ57" s="608"/>
      <c r="BMK57" s="608"/>
      <c r="BML57" s="608"/>
      <c r="BMM57" s="608"/>
      <c r="BMN57" s="608"/>
      <c r="BMO57" s="608"/>
      <c r="BMP57" s="608"/>
      <c r="BMQ57" s="608"/>
      <c r="BMR57" s="608"/>
      <c r="BMS57" s="608"/>
      <c r="BMT57" s="608"/>
      <c r="BMU57" s="608"/>
      <c r="BMV57" s="608"/>
      <c r="BMW57" s="608"/>
      <c r="BMX57" s="608"/>
      <c r="BMY57" s="608"/>
      <c r="BMZ57" s="608"/>
      <c r="BNA57" s="608"/>
      <c r="BNB57" s="608"/>
      <c r="BNC57" s="608"/>
      <c r="BND57" s="608"/>
      <c r="BNE57" s="608"/>
      <c r="BNF57" s="608"/>
      <c r="BNG57" s="608"/>
      <c r="BNH57" s="608"/>
      <c r="BNI57" s="608"/>
      <c r="BNJ57" s="608"/>
      <c r="BNK57" s="608"/>
      <c r="BNL57" s="608"/>
      <c r="BNM57" s="608"/>
      <c r="BNN57" s="608"/>
      <c r="BNO57" s="608"/>
      <c r="BNP57" s="608"/>
      <c r="BNQ57" s="608"/>
      <c r="BNR57" s="608"/>
      <c r="BNS57" s="608"/>
      <c r="BNT57" s="608"/>
      <c r="BNU57" s="608"/>
      <c r="BNV57" s="608"/>
      <c r="BNW57" s="608"/>
      <c r="BNX57" s="608"/>
      <c r="BNY57" s="608"/>
      <c r="BNZ57" s="608"/>
      <c r="BOA57" s="608"/>
      <c r="BOB57" s="608"/>
      <c r="BOC57" s="608"/>
      <c r="BOD57" s="608"/>
      <c r="BOE57" s="608"/>
      <c r="BOF57" s="608"/>
      <c r="BOG57" s="608"/>
      <c r="BOH57" s="608"/>
      <c r="BOI57" s="608"/>
      <c r="BOJ57" s="608"/>
      <c r="BOK57" s="608"/>
      <c r="BOL57" s="608"/>
      <c r="BOM57" s="608"/>
      <c r="BON57" s="608"/>
      <c r="BOO57" s="608"/>
      <c r="BOP57" s="608"/>
      <c r="BOQ57" s="608"/>
      <c r="BOR57" s="608"/>
      <c r="BOS57" s="608"/>
      <c r="BOT57" s="608"/>
      <c r="BOU57" s="608"/>
      <c r="BOV57" s="608"/>
      <c r="BOW57" s="608"/>
      <c r="BOX57" s="608"/>
      <c r="BOY57" s="608"/>
      <c r="BOZ57" s="608"/>
      <c r="BPA57" s="608"/>
      <c r="BPB57" s="608"/>
      <c r="BPC57" s="608"/>
      <c r="BPD57" s="608"/>
      <c r="BPE57" s="608"/>
      <c r="BPF57" s="608"/>
      <c r="BPG57" s="608"/>
      <c r="BPH57" s="608"/>
      <c r="BPI57" s="608"/>
      <c r="BPJ57" s="608"/>
      <c r="BPK57" s="608"/>
      <c r="BPL57" s="608"/>
      <c r="BPM57" s="608"/>
      <c r="BPN57" s="608"/>
      <c r="BPO57" s="608"/>
      <c r="BPP57" s="608"/>
      <c r="BPQ57" s="608"/>
      <c r="BPR57" s="608"/>
      <c r="BPS57" s="608"/>
      <c r="BPT57" s="608"/>
      <c r="BPU57" s="608"/>
      <c r="BPV57" s="608"/>
      <c r="BPW57" s="608"/>
      <c r="BPX57" s="608"/>
      <c r="BPY57" s="608"/>
      <c r="BPZ57" s="608"/>
      <c r="BQA57" s="608"/>
      <c r="BQB57" s="608"/>
      <c r="BQC57" s="608"/>
      <c r="BQD57" s="608"/>
      <c r="BQE57" s="608"/>
      <c r="BQF57" s="608"/>
      <c r="BQG57" s="608"/>
      <c r="BQH57" s="608"/>
      <c r="BQI57" s="608"/>
      <c r="BQJ57" s="608"/>
      <c r="BQK57" s="608"/>
      <c r="BQL57" s="608"/>
      <c r="BQM57" s="608"/>
      <c r="BQN57" s="608"/>
      <c r="BQO57" s="608"/>
      <c r="BQP57" s="608"/>
      <c r="BQQ57" s="608"/>
      <c r="BQR57" s="608"/>
      <c r="BQS57" s="608"/>
      <c r="BQT57" s="608"/>
      <c r="BQU57" s="608"/>
      <c r="BQV57" s="608"/>
      <c r="BQW57" s="608"/>
      <c r="BQX57" s="608"/>
      <c r="BQY57" s="608"/>
      <c r="BQZ57" s="608"/>
      <c r="BRA57" s="608"/>
      <c r="BRB57" s="608"/>
      <c r="BRC57" s="608"/>
      <c r="BRD57" s="608"/>
      <c r="BRE57" s="608"/>
      <c r="BRF57" s="608"/>
      <c r="BRG57" s="608"/>
      <c r="BRH57" s="608"/>
      <c r="BRI57" s="608"/>
      <c r="BRJ57" s="608"/>
      <c r="BRK57" s="608"/>
      <c r="BRL57" s="608"/>
      <c r="BRM57" s="608"/>
      <c r="BRN57" s="608"/>
      <c r="BRO57" s="608"/>
      <c r="BRP57" s="608"/>
      <c r="BRQ57" s="608"/>
      <c r="BRR57" s="608"/>
      <c r="BRS57" s="608"/>
      <c r="BRT57" s="608"/>
      <c r="BRU57" s="608"/>
      <c r="BRV57" s="608"/>
      <c r="BRW57" s="608"/>
      <c r="BRX57" s="608"/>
      <c r="BRY57" s="608"/>
      <c r="BRZ57" s="608"/>
      <c r="BSA57" s="608"/>
      <c r="BSB57" s="608"/>
      <c r="BSC57" s="608"/>
      <c r="BSD57" s="608"/>
      <c r="BSE57" s="608"/>
      <c r="BSF57" s="608"/>
      <c r="BSG57" s="608"/>
      <c r="BSH57" s="608"/>
      <c r="BSI57" s="608"/>
      <c r="BSJ57" s="608"/>
      <c r="BSK57" s="608"/>
      <c r="BSL57" s="608"/>
      <c r="BSM57" s="608"/>
      <c r="BSN57" s="608"/>
      <c r="BSO57" s="608"/>
      <c r="BSP57" s="608"/>
      <c r="BSQ57" s="608"/>
      <c r="BSR57" s="608"/>
      <c r="BSS57" s="608"/>
      <c r="BST57" s="608"/>
      <c r="BSU57" s="608"/>
      <c r="BSV57" s="608"/>
      <c r="BSW57" s="608"/>
      <c r="BSX57" s="608"/>
      <c r="BSY57" s="608"/>
      <c r="BSZ57" s="608"/>
      <c r="BTA57" s="608"/>
      <c r="BTB57" s="608"/>
      <c r="BTC57" s="608"/>
      <c r="BTD57" s="608"/>
      <c r="BTE57" s="608"/>
      <c r="BTF57" s="608"/>
      <c r="BTG57" s="608"/>
      <c r="BTH57" s="608"/>
      <c r="BTI57" s="608"/>
      <c r="BTJ57" s="608"/>
      <c r="BTK57" s="608"/>
      <c r="BTL57" s="608"/>
      <c r="BTM57" s="608"/>
      <c r="BTN57" s="608"/>
      <c r="BTO57" s="608"/>
      <c r="BTP57" s="608"/>
      <c r="BTQ57" s="608"/>
      <c r="BTR57" s="608"/>
      <c r="BTS57" s="608"/>
      <c r="BTT57" s="608"/>
      <c r="BTU57" s="608"/>
      <c r="BTV57" s="608"/>
      <c r="BTW57" s="608"/>
      <c r="BTX57" s="608"/>
      <c r="BTY57" s="608"/>
      <c r="BTZ57" s="608"/>
      <c r="BUA57" s="608"/>
      <c r="BUB57" s="608"/>
      <c r="BUC57" s="608"/>
      <c r="BUD57" s="608"/>
      <c r="BUE57" s="608"/>
      <c r="BUF57" s="608"/>
      <c r="BUG57" s="608"/>
      <c r="BUH57" s="608"/>
      <c r="BUI57" s="608"/>
      <c r="BUJ57" s="608"/>
      <c r="BUK57" s="608"/>
      <c r="BUL57" s="608"/>
      <c r="BUM57" s="608"/>
      <c r="BUN57" s="608"/>
      <c r="BUO57" s="608"/>
      <c r="BUP57" s="608"/>
      <c r="BUQ57" s="608"/>
      <c r="BUR57" s="608"/>
      <c r="BUS57" s="608"/>
      <c r="BUT57" s="608"/>
      <c r="BUU57" s="608"/>
      <c r="BUV57" s="608"/>
      <c r="BUW57" s="608"/>
      <c r="BUX57" s="608"/>
      <c r="BUY57" s="608"/>
      <c r="BUZ57" s="608"/>
      <c r="BVA57" s="608"/>
      <c r="BVB57" s="608"/>
      <c r="BVC57" s="608"/>
      <c r="BVD57" s="608"/>
      <c r="BVE57" s="608"/>
      <c r="BVF57" s="608"/>
      <c r="BVG57" s="608"/>
      <c r="BVH57" s="608"/>
      <c r="BVI57" s="608"/>
      <c r="BVJ57" s="608"/>
      <c r="BVK57" s="608"/>
      <c r="BVL57" s="608"/>
      <c r="BVM57" s="608"/>
      <c r="BVN57" s="608"/>
      <c r="BVO57" s="608"/>
      <c r="BVP57" s="608"/>
      <c r="BVQ57" s="608"/>
      <c r="BVR57" s="608"/>
      <c r="BVS57" s="608"/>
      <c r="BVT57" s="608"/>
      <c r="BVU57" s="608"/>
      <c r="BVV57" s="608"/>
      <c r="BVW57" s="608"/>
      <c r="BVX57" s="608"/>
      <c r="BVY57" s="608"/>
      <c r="BVZ57" s="608"/>
      <c r="BWA57" s="608"/>
      <c r="BWB57" s="608"/>
      <c r="BWC57" s="608"/>
      <c r="BWD57" s="608"/>
      <c r="BWE57" s="608"/>
      <c r="BWF57" s="608"/>
      <c r="BWG57" s="608"/>
      <c r="BWH57" s="608"/>
      <c r="BWI57" s="608"/>
      <c r="BWJ57" s="608"/>
      <c r="BWK57" s="608"/>
      <c r="BWL57" s="608"/>
      <c r="BWM57" s="608"/>
      <c r="BWN57" s="608"/>
      <c r="BWO57" s="608"/>
      <c r="BWP57" s="608"/>
      <c r="BWQ57" s="608"/>
      <c r="BWR57" s="608"/>
      <c r="BWS57" s="608"/>
      <c r="BWT57" s="608"/>
      <c r="BWU57" s="608"/>
      <c r="BWV57" s="608"/>
      <c r="BWW57" s="608"/>
      <c r="BWX57" s="608"/>
      <c r="BWY57" s="608"/>
      <c r="BWZ57" s="608"/>
      <c r="BXA57" s="608"/>
      <c r="BXB57" s="608"/>
      <c r="BXC57" s="608"/>
      <c r="BXD57" s="608"/>
      <c r="BXE57" s="608"/>
      <c r="BXF57" s="608"/>
      <c r="BXG57" s="608"/>
      <c r="BXH57" s="608"/>
      <c r="BXI57" s="608"/>
      <c r="BXJ57" s="608"/>
      <c r="BXK57" s="608"/>
      <c r="BXL57" s="608"/>
      <c r="BXM57" s="608"/>
      <c r="BXN57" s="608"/>
      <c r="BXO57" s="608"/>
      <c r="BXP57" s="608"/>
      <c r="BXQ57" s="608"/>
      <c r="BXR57" s="608"/>
      <c r="BXS57" s="608"/>
      <c r="BXT57" s="608"/>
      <c r="BXU57" s="608"/>
      <c r="BXV57" s="608"/>
      <c r="BXW57" s="608"/>
      <c r="BXX57" s="608"/>
      <c r="BXY57" s="608"/>
      <c r="BXZ57" s="608"/>
      <c r="BYA57" s="608"/>
      <c r="BYB57" s="608"/>
      <c r="BYC57" s="608"/>
      <c r="BYD57" s="608"/>
      <c r="BYE57" s="608"/>
      <c r="BYF57" s="608"/>
      <c r="BYG57" s="608"/>
      <c r="BYH57" s="608"/>
      <c r="BYI57" s="608"/>
      <c r="BYJ57" s="608"/>
      <c r="BYK57" s="608"/>
      <c r="BYL57" s="608"/>
      <c r="BYM57" s="608"/>
      <c r="BYN57" s="608"/>
      <c r="BYO57" s="608"/>
      <c r="BYP57" s="608"/>
      <c r="BYQ57" s="608"/>
      <c r="BYR57" s="608"/>
      <c r="BYS57" s="608"/>
      <c r="BYT57" s="608"/>
      <c r="BYU57" s="608"/>
      <c r="BYV57" s="608"/>
      <c r="BYW57" s="608"/>
      <c r="BYX57" s="608"/>
      <c r="BYY57" s="608"/>
      <c r="BYZ57" s="608"/>
      <c r="BZA57" s="608"/>
      <c r="BZB57" s="608"/>
      <c r="BZC57" s="608"/>
      <c r="BZD57" s="608"/>
      <c r="BZE57" s="608"/>
      <c r="BZF57" s="608"/>
      <c r="BZG57" s="608"/>
      <c r="BZH57" s="608"/>
      <c r="BZI57" s="608"/>
      <c r="BZJ57" s="608"/>
      <c r="BZK57" s="608"/>
      <c r="BZL57" s="608"/>
      <c r="BZM57" s="608"/>
      <c r="BZN57" s="608"/>
      <c r="BZO57" s="608"/>
      <c r="BZP57" s="608"/>
      <c r="BZQ57" s="608"/>
      <c r="BZR57" s="608"/>
      <c r="BZS57" s="608"/>
      <c r="BZT57" s="608"/>
      <c r="BZU57" s="608"/>
      <c r="BZV57" s="608"/>
      <c r="BZW57" s="608"/>
      <c r="BZX57" s="608"/>
      <c r="BZY57" s="608"/>
      <c r="BZZ57" s="608"/>
      <c r="CAA57" s="608"/>
      <c r="CAB57" s="608"/>
      <c r="CAC57" s="608"/>
      <c r="CAD57" s="608"/>
      <c r="CAE57" s="608"/>
      <c r="CAF57" s="608"/>
      <c r="CAG57" s="608"/>
      <c r="CAH57" s="608"/>
      <c r="CAI57" s="608"/>
      <c r="CAJ57" s="608"/>
      <c r="CAK57" s="608"/>
      <c r="CAL57" s="608"/>
      <c r="CAM57" s="608"/>
      <c r="CAN57" s="608"/>
      <c r="CAO57" s="608"/>
      <c r="CAP57" s="608"/>
      <c r="CAQ57" s="608"/>
      <c r="CAR57" s="608"/>
      <c r="CAS57" s="608"/>
      <c r="CAT57" s="608"/>
      <c r="CAU57" s="608"/>
      <c r="CAV57" s="608"/>
      <c r="CAW57" s="608"/>
      <c r="CAX57" s="608"/>
      <c r="CAY57" s="608"/>
      <c r="CAZ57" s="608"/>
      <c r="CBA57" s="608"/>
      <c r="CBB57" s="608"/>
      <c r="CBC57" s="608"/>
      <c r="CBD57" s="608"/>
      <c r="CBE57" s="608"/>
      <c r="CBF57" s="608"/>
      <c r="CBG57" s="608"/>
      <c r="CBH57" s="608"/>
      <c r="CBI57" s="608"/>
      <c r="CBJ57" s="608"/>
      <c r="CBK57" s="608"/>
      <c r="CBL57" s="608"/>
      <c r="CBM57" s="608"/>
      <c r="CBN57" s="608"/>
      <c r="CBO57" s="608"/>
      <c r="CBP57" s="608"/>
      <c r="CBQ57" s="608"/>
      <c r="CBR57" s="608"/>
      <c r="CBS57" s="608"/>
      <c r="CBT57" s="608"/>
      <c r="CBU57" s="608"/>
      <c r="CBV57" s="608"/>
      <c r="CBW57" s="608"/>
      <c r="CBX57" s="608"/>
      <c r="CBY57" s="608"/>
      <c r="CBZ57" s="608"/>
      <c r="CCA57" s="608"/>
      <c r="CCB57" s="608"/>
      <c r="CCC57" s="608"/>
      <c r="CCD57" s="608"/>
      <c r="CCE57" s="608"/>
      <c r="CCF57" s="608"/>
      <c r="CCG57" s="608"/>
      <c r="CCH57" s="608"/>
      <c r="CCI57" s="608"/>
      <c r="CCJ57" s="608"/>
      <c r="CCK57" s="608"/>
      <c r="CCL57" s="608"/>
      <c r="CCM57" s="608"/>
      <c r="CCN57" s="608"/>
      <c r="CCO57" s="608"/>
      <c r="CCP57" s="608"/>
      <c r="CCQ57" s="608"/>
      <c r="CCR57" s="608"/>
      <c r="CCS57" s="608"/>
      <c r="CCT57" s="608"/>
      <c r="CCU57" s="608"/>
      <c r="CCV57" s="608"/>
      <c r="CCW57" s="608"/>
      <c r="CCX57" s="608"/>
      <c r="CCY57" s="608"/>
      <c r="CCZ57" s="608"/>
      <c r="CDA57" s="608"/>
      <c r="CDB57" s="608"/>
      <c r="CDC57" s="608"/>
      <c r="CDD57" s="608"/>
      <c r="CDE57" s="608"/>
      <c r="CDF57" s="608"/>
      <c r="CDG57" s="608"/>
      <c r="CDH57" s="608"/>
      <c r="CDI57" s="608"/>
      <c r="CDJ57" s="608"/>
      <c r="CDK57" s="608"/>
      <c r="CDL57" s="608"/>
      <c r="CDM57" s="608"/>
      <c r="CDN57" s="608"/>
      <c r="CDO57" s="608"/>
      <c r="CDP57" s="608"/>
      <c r="CDQ57" s="608"/>
      <c r="CDR57" s="608"/>
      <c r="CDS57" s="608"/>
      <c r="CDT57" s="608"/>
      <c r="CDU57" s="608"/>
      <c r="CDV57" s="608"/>
      <c r="CDW57" s="608"/>
      <c r="CDX57" s="608"/>
      <c r="CDY57" s="608"/>
      <c r="CDZ57" s="608"/>
      <c r="CEA57" s="608"/>
      <c r="CEB57" s="608"/>
      <c r="CEC57" s="608"/>
      <c r="CED57" s="608"/>
      <c r="CEE57" s="608"/>
      <c r="CEF57" s="608"/>
      <c r="CEG57" s="608"/>
      <c r="CEH57" s="608"/>
      <c r="CEI57" s="608"/>
      <c r="CEJ57" s="608"/>
      <c r="CEK57" s="608"/>
      <c r="CEL57" s="608"/>
      <c r="CEM57" s="608"/>
      <c r="CEN57" s="608"/>
      <c r="CEO57" s="608"/>
      <c r="CEP57" s="608"/>
      <c r="CEQ57" s="608"/>
      <c r="CER57" s="608"/>
      <c r="CES57" s="608"/>
      <c r="CET57" s="608"/>
      <c r="CEU57" s="608"/>
      <c r="CEV57" s="608"/>
      <c r="CEW57" s="608"/>
      <c r="CEX57" s="608"/>
      <c r="CEY57" s="608"/>
      <c r="CEZ57" s="608"/>
      <c r="CFA57" s="608"/>
      <c r="CFB57" s="608"/>
      <c r="CFC57" s="608"/>
      <c r="CFD57" s="608"/>
      <c r="CFE57" s="608"/>
      <c r="CFF57" s="608"/>
      <c r="CFG57" s="608"/>
      <c r="CFH57" s="608"/>
      <c r="CFI57" s="608"/>
      <c r="CFJ57" s="608"/>
      <c r="CFK57" s="608"/>
      <c r="CFL57" s="608"/>
      <c r="CFM57" s="608"/>
      <c r="CFN57" s="608"/>
      <c r="CFO57" s="608"/>
      <c r="CFP57" s="608"/>
      <c r="CFQ57" s="608"/>
      <c r="CFR57" s="608"/>
      <c r="CFS57" s="608"/>
      <c r="CFT57" s="608"/>
      <c r="CFU57" s="608"/>
      <c r="CFV57" s="608"/>
      <c r="CFW57" s="608"/>
      <c r="CFX57" s="608"/>
      <c r="CFY57" s="608"/>
      <c r="CFZ57" s="608"/>
      <c r="CGA57" s="608"/>
      <c r="CGB57" s="608"/>
      <c r="CGC57" s="608"/>
      <c r="CGD57" s="608"/>
      <c r="CGE57" s="608"/>
      <c r="CGF57" s="608"/>
      <c r="CGG57" s="608"/>
      <c r="CGH57" s="608"/>
      <c r="CGI57" s="608"/>
      <c r="CGJ57" s="608"/>
      <c r="CGK57" s="608"/>
      <c r="CGL57" s="608"/>
      <c r="CGM57" s="608"/>
      <c r="CGN57" s="608"/>
      <c r="CGO57" s="608"/>
      <c r="CGP57" s="608"/>
      <c r="CGQ57" s="608"/>
      <c r="CGR57" s="608"/>
      <c r="CGS57" s="608"/>
      <c r="CGT57" s="608"/>
      <c r="CGU57" s="608"/>
      <c r="CGV57" s="608"/>
      <c r="CGW57" s="608"/>
      <c r="CGX57" s="608"/>
      <c r="CGY57" s="608"/>
      <c r="CGZ57" s="608"/>
      <c r="CHA57" s="608"/>
      <c r="CHB57" s="608"/>
      <c r="CHC57" s="608"/>
      <c r="CHD57" s="608"/>
      <c r="CHE57" s="608"/>
      <c r="CHF57" s="608"/>
      <c r="CHG57" s="608"/>
      <c r="CHH57" s="608"/>
      <c r="CHI57" s="608"/>
      <c r="CHJ57" s="608"/>
      <c r="CHK57" s="608"/>
      <c r="CHL57" s="608"/>
      <c r="CHM57" s="608"/>
      <c r="CHN57" s="608"/>
      <c r="CHO57" s="608"/>
      <c r="CHP57" s="608"/>
      <c r="CHQ57" s="608"/>
      <c r="CHR57" s="608"/>
      <c r="CHS57" s="608"/>
      <c r="CHT57" s="608"/>
      <c r="CHU57" s="608"/>
      <c r="CHV57" s="608"/>
      <c r="CHW57" s="608"/>
      <c r="CHX57" s="608"/>
      <c r="CHY57" s="608"/>
      <c r="CHZ57" s="608"/>
      <c r="CIA57" s="608"/>
      <c r="CIB57" s="608"/>
      <c r="CIC57" s="608"/>
      <c r="CID57" s="608"/>
      <c r="CIE57" s="608"/>
      <c r="CIF57" s="608"/>
      <c r="CIG57" s="608"/>
      <c r="CIH57" s="608"/>
      <c r="CII57" s="608"/>
      <c r="CIJ57" s="608"/>
      <c r="CIK57" s="608"/>
      <c r="CIL57" s="608"/>
      <c r="CIM57" s="608"/>
      <c r="CIN57" s="608"/>
      <c r="CIO57" s="608"/>
      <c r="CIP57" s="608"/>
      <c r="CIQ57" s="608"/>
      <c r="CIR57" s="608"/>
      <c r="CIS57" s="608"/>
      <c r="CIT57" s="608"/>
      <c r="CIU57" s="608"/>
      <c r="CIV57" s="608"/>
      <c r="CIW57" s="608"/>
      <c r="CIX57" s="608"/>
      <c r="CIY57" s="608"/>
      <c r="CIZ57" s="608"/>
      <c r="CJA57" s="608"/>
      <c r="CJB57" s="608"/>
      <c r="CJC57" s="608"/>
      <c r="CJD57" s="608"/>
      <c r="CJE57" s="608"/>
      <c r="CJF57" s="608"/>
      <c r="CJG57" s="608"/>
      <c r="CJH57" s="608"/>
      <c r="CJI57" s="608"/>
      <c r="CJJ57" s="608"/>
      <c r="CJK57" s="608"/>
      <c r="CJL57" s="608"/>
      <c r="CJM57" s="608"/>
      <c r="CJN57" s="608"/>
      <c r="CJO57" s="608"/>
      <c r="CJP57" s="608"/>
      <c r="CJQ57" s="608"/>
      <c r="CJR57" s="608"/>
      <c r="CJS57" s="608"/>
      <c r="CJT57" s="608"/>
      <c r="CJU57" s="608"/>
      <c r="CJV57" s="608"/>
      <c r="CJW57" s="608"/>
      <c r="CJX57" s="608"/>
      <c r="CJY57" s="608"/>
      <c r="CJZ57" s="608"/>
      <c r="CKA57" s="608"/>
      <c r="CKB57" s="608"/>
      <c r="CKC57" s="608"/>
      <c r="CKD57" s="608"/>
      <c r="CKE57" s="608"/>
      <c r="CKF57" s="608"/>
      <c r="CKG57" s="608"/>
      <c r="CKH57" s="608"/>
      <c r="CKI57" s="608"/>
      <c r="CKJ57" s="608"/>
      <c r="CKK57" s="608"/>
      <c r="CKL57" s="608"/>
      <c r="CKM57" s="608"/>
      <c r="CKN57" s="608"/>
      <c r="CKO57" s="608"/>
      <c r="CKP57" s="608"/>
      <c r="CKQ57" s="608"/>
      <c r="CKR57" s="608"/>
      <c r="CKS57" s="608"/>
      <c r="CKT57" s="608"/>
      <c r="CKU57" s="608"/>
      <c r="CKV57" s="608"/>
      <c r="CKW57" s="608"/>
      <c r="CKX57" s="608"/>
      <c r="CKY57" s="608"/>
      <c r="CKZ57" s="608"/>
      <c r="CLA57" s="608"/>
      <c r="CLB57" s="608"/>
      <c r="CLC57" s="608"/>
      <c r="CLD57" s="608"/>
      <c r="CLE57" s="608"/>
      <c r="CLF57" s="608"/>
      <c r="CLG57" s="608"/>
      <c r="CLH57" s="608"/>
      <c r="CLI57" s="608"/>
      <c r="CLJ57" s="608"/>
      <c r="CLK57" s="608"/>
      <c r="CLL57" s="608"/>
      <c r="CLM57" s="608"/>
      <c r="CLN57" s="608"/>
      <c r="CLO57" s="608"/>
      <c r="CLP57" s="608"/>
      <c r="CLQ57" s="608"/>
      <c r="CLR57" s="608"/>
      <c r="CLS57" s="608"/>
      <c r="CLT57" s="608"/>
      <c r="CLU57" s="608"/>
      <c r="CLV57" s="608"/>
      <c r="CLW57" s="608"/>
      <c r="CLX57" s="608"/>
      <c r="CLY57" s="608"/>
      <c r="CLZ57" s="608"/>
      <c r="CMA57" s="608"/>
      <c r="CMB57" s="608"/>
      <c r="CMC57" s="608"/>
      <c r="CMD57" s="608"/>
      <c r="CME57" s="608"/>
      <c r="CMF57" s="608"/>
      <c r="CMG57" s="608"/>
      <c r="CMH57" s="608"/>
      <c r="CMI57" s="608"/>
      <c r="CMJ57" s="608"/>
      <c r="CMK57" s="608"/>
      <c r="CML57" s="608"/>
      <c r="CMM57" s="608"/>
      <c r="CMN57" s="608"/>
      <c r="CMO57" s="608"/>
      <c r="CMP57" s="608"/>
      <c r="CMQ57" s="608"/>
      <c r="CMR57" s="608"/>
      <c r="CMS57" s="608"/>
      <c r="CMT57" s="608"/>
      <c r="CMU57" s="608"/>
      <c r="CMV57" s="608"/>
      <c r="CMW57" s="608"/>
      <c r="CMX57" s="608"/>
      <c r="CMY57" s="608"/>
      <c r="CMZ57" s="608"/>
      <c r="CNA57" s="608"/>
      <c r="CNB57" s="608"/>
      <c r="CNC57" s="608"/>
      <c r="CND57" s="608"/>
      <c r="CNE57" s="608"/>
      <c r="CNF57" s="608"/>
      <c r="CNG57" s="608"/>
      <c r="CNH57" s="608"/>
      <c r="CNI57" s="608"/>
      <c r="CNJ57" s="608"/>
      <c r="CNK57" s="608"/>
      <c r="CNL57" s="608"/>
      <c r="CNM57" s="608"/>
      <c r="CNN57" s="608"/>
      <c r="CNO57" s="608"/>
      <c r="CNP57" s="608"/>
      <c r="CNQ57" s="608"/>
      <c r="CNR57" s="608"/>
      <c r="CNS57" s="608"/>
      <c r="CNT57" s="608"/>
      <c r="CNU57" s="608"/>
      <c r="CNV57" s="608"/>
      <c r="CNW57" s="608"/>
      <c r="CNX57" s="608"/>
      <c r="CNY57" s="608"/>
      <c r="CNZ57" s="608"/>
      <c r="COA57" s="608"/>
      <c r="COB57" s="608"/>
      <c r="COC57" s="608"/>
      <c r="COD57" s="608"/>
      <c r="COE57" s="608"/>
      <c r="COF57" s="608"/>
      <c r="COG57" s="608"/>
      <c r="COH57" s="608"/>
      <c r="COI57" s="608"/>
      <c r="COJ57" s="608"/>
      <c r="COK57" s="608"/>
      <c r="COL57" s="608"/>
      <c r="COM57" s="608"/>
      <c r="CON57" s="608"/>
      <c r="COO57" s="608"/>
      <c r="COP57" s="608"/>
      <c r="COQ57" s="608"/>
      <c r="COR57" s="608"/>
      <c r="COS57" s="608"/>
      <c r="COT57" s="608"/>
      <c r="COU57" s="608"/>
      <c r="COV57" s="608"/>
      <c r="COW57" s="608"/>
      <c r="COX57" s="608"/>
      <c r="COY57" s="608"/>
      <c r="COZ57" s="608"/>
      <c r="CPA57" s="608"/>
      <c r="CPB57" s="608"/>
      <c r="CPC57" s="608"/>
      <c r="CPD57" s="608"/>
      <c r="CPE57" s="608"/>
      <c r="CPF57" s="608"/>
      <c r="CPG57" s="608"/>
      <c r="CPH57" s="608"/>
      <c r="CPI57" s="608"/>
      <c r="CPJ57" s="608"/>
      <c r="CPK57" s="608"/>
      <c r="CPL57" s="608"/>
      <c r="CPM57" s="608"/>
      <c r="CPN57" s="608"/>
      <c r="CPO57" s="608"/>
      <c r="CPP57" s="608"/>
      <c r="CPQ57" s="608"/>
      <c r="CPR57" s="608"/>
      <c r="CPS57" s="608"/>
      <c r="CPT57" s="608"/>
      <c r="CPU57" s="608"/>
      <c r="CPV57" s="608"/>
      <c r="CPW57" s="608"/>
      <c r="CPX57" s="608"/>
      <c r="CPY57" s="608"/>
      <c r="CPZ57" s="608"/>
      <c r="CQA57" s="608"/>
      <c r="CQB57" s="608"/>
      <c r="CQC57" s="608"/>
      <c r="CQD57" s="608"/>
      <c r="CQE57" s="608"/>
      <c r="CQF57" s="608"/>
      <c r="CQG57" s="608"/>
      <c r="CQH57" s="608"/>
      <c r="CQI57" s="608"/>
      <c r="CQJ57" s="608"/>
      <c r="CQK57" s="608"/>
      <c r="CQL57" s="608"/>
      <c r="CQM57" s="608"/>
      <c r="CQN57" s="608"/>
      <c r="CQO57" s="608"/>
      <c r="CQP57" s="608"/>
      <c r="CQQ57" s="608"/>
      <c r="CQR57" s="608"/>
      <c r="CQS57" s="608"/>
      <c r="CQT57" s="608"/>
      <c r="CQU57" s="608"/>
      <c r="CQV57" s="608"/>
      <c r="CQW57" s="608"/>
      <c r="CQX57" s="608"/>
      <c r="CQY57" s="608"/>
      <c r="CQZ57" s="608"/>
      <c r="CRA57" s="608"/>
      <c r="CRB57" s="608"/>
      <c r="CRC57" s="608"/>
      <c r="CRD57" s="608"/>
      <c r="CRE57" s="608"/>
      <c r="CRF57" s="608"/>
      <c r="CRG57" s="608"/>
      <c r="CRH57" s="608"/>
      <c r="CRI57" s="608"/>
      <c r="CRJ57" s="608"/>
      <c r="CRK57" s="608"/>
      <c r="CRL57" s="608"/>
      <c r="CRM57" s="608"/>
      <c r="CRN57" s="608"/>
      <c r="CRO57" s="608"/>
      <c r="CRP57" s="608"/>
      <c r="CRQ57" s="608"/>
      <c r="CRR57" s="608"/>
      <c r="CRS57" s="608"/>
      <c r="CRT57" s="608"/>
      <c r="CRU57" s="608"/>
      <c r="CRV57" s="608"/>
      <c r="CRW57" s="608"/>
      <c r="CRX57" s="608"/>
      <c r="CRY57" s="608"/>
      <c r="CRZ57" s="608"/>
      <c r="CSA57" s="608"/>
      <c r="CSB57" s="608"/>
      <c r="CSC57" s="608"/>
      <c r="CSD57" s="608"/>
      <c r="CSE57" s="608"/>
      <c r="CSF57" s="608"/>
      <c r="CSG57" s="608"/>
      <c r="CSH57" s="608"/>
      <c r="CSI57" s="608"/>
      <c r="CSJ57" s="608"/>
      <c r="CSK57" s="608"/>
      <c r="CSL57" s="608"/>
      <c r="CSM57" s="608"/>
      <c r="CSN57" s="608"/>
      <c r="CSO57" s="608"/>
      <c r="CSP57" s="608"/>
      <c r="CSQ57" s="608"/>
      <c r="CSR57" s="608"/>
      <c r="CSS57" s="608"/>
      <c r="CST57" s="608"/>
      <c r="CSU57" s="608"/>
      <c r="CSV57" s="608"/>
      <c r="CSW57" s="608"/>
      <c r="CSX57" s="608"/>
      <c r="CSY57" s="608"/>
      <c r="CSZ57" s="608"/>
      <c r="CTA57" s="608"/>
      <c r="CTB57" s="608"/>
      <c r="CTC57" s="608"/>
      <c r="CTD57" s="608"/>
      <c r="CTE57" s="608"/>
      <c r="CTF57" s="608"/>
      <c r="CTG57" s="608"/>
      <c r="CTH57" s="608"/>
      <c r="CTI57" s="608"/>
      <c r="CTJ57" s="608"/>
      <c r="CTK57" s="608"/>
      <c r="CTL57" s="608"/>
      <c r="CTM57" s="608"/>
      <c r="CTN57" s="608"/>
      <c r="CTO57" s="608"/>
      <c r="CTP57" s="608"/>
      <c r="CTQ57" s="608"/>
      <c r="CTR57" s="608"/>
      <c r="CTS57" s="608"/>
      <c r="CTT57" s="608"/>
      <c r="CTU57" s="608"/>
      <c r="CTV57" s="608"/>
      <c r="CTW57" s="608"/>
      <c r="CTX57" s="608"/>
      <c r="CTY57" s="608"/>
      <c r="CTZ57" s="608"/>
      <c r="CUA57" s="608"/>
      <c r="CUB57" s="608"/>
      <c r="CUC57" s="608"/>
      <c r="CUD57" s="608"/>
      <c r="CUE57" s="608"/>
      <c r="CUF57" s="608"/>
      <c r="CUG57" s="608"/>
      <c r="CUH57" s="608"/>
      <c r="CUI57" s="608"/>
      <c r="CUJ57" s="608"/>
      <c r="CUK57" s="608"/>
      <c r="CUL57" s="608"/>
      <c r="CUM57" s="608"/>
      <c r="CUN57" s="608"/>
      <c r="CUO57" s="608"/>
      <c r="CUP57" s="608"/>
      <c r="CUQ57" s="608"/>
      <c r="CUR57" s="608"/>
      <c r="CUS57" s="608"/>
      <c r="CUT57" s="608"/>
      <c r="CUU57" s="608"/>
      <c r="CUV57" s="608"/>
      <c r="CUW57" s="608"/>
      <c r="CUX57" s="608"/>
      <c r="CUY57" s="608"/>
      <c r="CUZ57" s="608"/>
      <c r="CVA57" s="608"/>
      <c r="CVB57" s="608"/>
      <c r="CVC57" s="608"/>
      <c r="CVD57" s="608"/>
      <c r="CVE57" s="608"/>
      <c r="CVF57" s="608"/>
      <c r="CVG57" s="608"/>
      <c r="CVH57" s="608"/>
      <c r="CVI57" s="608"/>
      <c r="CVJ57" s="608"/>
      <c r="CVK57" s="608"/>
      <c r="CVL57" s="608"/>
      <c r="CVM57" s="608"/>
      <c r="CVN57" s="608"/>
      <c r="CVO57" s="608"/>
      <c r="CVP57" s="608"/>
      <c r="CVQ57" s="608"/>
      <c r="CVR57" s="608"/>
      <c r="CVS57" s="608"/>
      <c r="CVT57" s="608"/>
      <c r="CVU57" s="608"/>
      <c r="CVV57" s="608"/>
      <c r="CVW57" s="608"/>
      <c r="CVX57" s="608"/>
      <c r="CVY57" s="608"/>
      <c r="CVZ57" s="608"/>
      <c r="CWA57" s="608"/>
      <c r="CWB57" s="608"/>
      <c r="CWC57" s="608"/>
      <c r="CWD57" s="608"/>
      <c r="CWE57" s="608"/>
      <c r="CWF57" s="608"/>
      <c r="CWG57" s="608"/>
      <c r="CWH57" s="608"/>
      <c r="CWI57" s="608"/>
      <c r="CWJ57" s="608"/>
      <c r="CWK57" s="608"/>
      <c r="CWL57" s="608"/>
      <c r="CWM57" s="608"/>
      <c r="CWN57" s="608"/>
      <c r="CWO57" s="608"/>
      <c r="CWP57" s="608"/>
      <c r="CWQ57" s="608"/>
      <c r="CWR57" s="608"/>
      <c r="CWS57" s="608"/>
      <c r="CWT57" s="608"/>
      <c r="CWU57" s="608"/>
      <c r="CWV57" s="608"/>
      <c r="CWW57" s="608"/>
      <c r="CWX57" s="608"/>
      <c r="CWY57" s="608"/>
      <c r="CWZ57" s="608"/>
      <c r="CXA57" s="608"/>
      <c r="CXB57" s="608"/>
      <c r="CXC57" s="608"/>
      <c r="CXD57" s="608"/>
      <c r="CXE57" s="608"/>
      <c r="CXF57" s="608"/>
      <c r="CXG57" s="608"/>
      <c r="CXH57" s="608"/>
      <c r="CXI57" s="608"/>
      <c r="CXJ57" s="608"/>
      <c r="CXK57" s="608"/>
      <c r="CXL57" s="608"/>
      <c r="CXM57" s="608"/>
      <c r="CXN57" s="608"/>
      <c r="CXO57" s="608"/>
      <c r="CXP57" s="608"/>
      <c r="CXQ57" s="608"/>
      <c r="CXR57" s="608"/>
      <c r="CXS57" s="608"/>
      <c r="CXT57" s="608"/>
      <c r="CXU57" s="608"/>
      <c r="CXV57" s="608"/>
      <c r="CXW57" s="608"/>
      <c r="CXX57" s="608"/>
      <c r="CXY57" s="608"/>
      <c r="CXZ57" s="608"/>
      <c r="CYA57" s="608"/>
      <c r="CYB57" s="608"/>
      <c r="CYC57" s="608"/>
      <c r="CYD57" s="608"/>
      <c r="CYE57" s="608"/>
      <c r="CYF57" s="608"/>
      <c r="CYG57" s="608"/>
      <c r="CYH57" s="608"/>
      <c r="CYI57" s="608"/>
      <c r="CYJ57" s="608"/>
      <c r="CYK57" s="608"/>
      <c r="CYL57" s="608"/>
      <c r="CYM57" s="608"/>
      <c r="CYN57" s="608"/>
      <c r="CYO57" s="608"/>
      <c r="CYP57" s="608"/>
      <c r="CYQ57" s="608"/>
      <c r="CYR57" s="608"/>
      <c r="CYS57" s="608"/>
      <c r="CYT57" s="608"/>
      <c r="CYU57" s="608"/>
      <c r="CYV57" s="608"/>
      <c r="CYW57" s="608"/>
      <c r="CYX57" s="608"/>
      <c r="CYY57" s="608"/>
      <c r="CYZ57" s="608"/>
      <c r="CZA57" s="608"/>
      <c r="CZB57" s="608"/>
      <c r="CZC57" s="608"/>
      <c r="CZD57" s="608"/>
      <c r="CZE57" s="608"/>
      <c r="CZF57" s="608"/>
      <c r="CZG57" s="608"/>
      <c r="CZH57" s="608"/>
      <c r="CZI57" s="608"/>
      <c r="CZJ57" s="608"/>
      <c r="CZK57" s="608"/>
      <c r="CZL57" s="608"/>
      <c r="CZM57" s="608"/>
      <c r="CZN57" s="608"/>
      <c r="CZO57" s="608"/>
      <c r="CZP57" s="608"/>
      <c r="CZQ57" s="608"/>
      <c r="CZR57" s="608"/>
      <c r="CZS57" s="608"/>
      <c r="CZT57" s="608"/>
      <c r="CZU57" s="608"/>
      <c r="CZV57" s="608"/>
      <c r="CZW57" s="608"/>
      <c r="CZX57" s="608"/>
      <c r="CZY57" s="608"/>
      <c r="CZZ57" s="608"/>
      <c r="DAA57" s="608"/>
      <c r="DAB57" s="608"/>
      <c r="DAC57" s="608"/>
      <c r="DAD57" s="608"/>
      <c r="DAE57" s="608"/>
      <c r="DAF57" s="608"/>
      <c r="DAG57" s="608"/>
      <c r="DAH57" s="608"/>
      <c r="DAI57" s="608"/>
      <c r="DAJ57" s="608"/>
      <c r="DAK57" s="608"/>
      <c r="DAL57" s="608"/>
      <c r="DAM57" s="608"/>
      <c r="DAN57" s="608"/>
      <c r="DAO57" s="608"/>
      <c r="DAP57" s="608"/>
      <c r="DAQ57" s="608"/>
      <c r="DAR57" s="608"/>
      <c r="DAS57" s="608"/>
      <c r="DAT57" s="608"/>
      <c r="DAU57" s="608"/>
      <c r="DAV57" s="608"/>
      <c r="DAW57" s="608"/>
      <c r="DAX57" s="608"/>
      <c r="DAY57" s="608"/>
      <c r="DAZ57" s="608"/>
      <c r="DBA57" s="608"/>
      <c r="DBB57" s="608"/>
      <c r="DBC57" s="608"/>
      <c r="DBD57" s="608"/>
      <c r="DBE57" s="608"/>
      <c r="DBF57" s="608"/>
      <c r="DBG57" s="608"/>
      <c r="DBH57" s="608"/>
      <c r="DBI57" s="608"/>
      <c r="DBJ57" s="608"/>
      <c r="DBK57" s="608"/>
      <c r="DBL57" s="608"/>
      <c r="DBM57" s="608"/>
      <c r="DBN57" s="608"/>
      <c r="DBO57" s="608"/>
      <c r="DBP57" s="608"/>
      <c r="DBQ57" s="608"/>
      <c r="DBR57" s="608"/>
      <c r="DBS57" s="608"/>
      <c r="DBT57" s="608"/>
      <c r="DBU57" s="608"/>
      <c r="DBV57" s="608"/>
      <c r="DBW57" s="608"/>
      <c r="DBX57" s="608"/>
      <c r="DBY57" s="608"/>
      <c r="DBZ57" s="608"/>
      <c r="DCA57" s="608"/>
      <c r="DCB57" s="608"/>
      <c r="DCC57" s="608"/>
      <c r="DCD57" s="608"/>
      <c r="DCE57" s="608"/>
      <c r="DCF57" s="608"/>
      <c r="DCG57" s="608"/>
      <c r="DCH57" s="608"/>
      <c r="DCI57" s="608"/>
      <c r="DCJ57" s="608"/>
      <c r="DCK57" s="608"/>
      <c r="DCL57" s="608"/>
      <c r="DCM57" s="608"/>
      <c r="DCN57" s="608"/>
      <c r="DCO57" s="608"/>
      <c r="DCP57" s="608"/>
      <c r="DCQ57" s="608"/>
      <c r="DCR57" s="608"/>
      <c r="DCS57" s="608"/>
      <c r="DCT57" s="608"/>
      <c r="DCU57" s="608"/>
      <c r="DCV57" s="608"/>
      <c r="DCW57" s="608"/>
      <c r="DCX57" s="608"/>
      <c r="DCY57" s="608"/>
      <c r="DCZ57" s="608"/>
      <c r="DDA57" s="608"/>
      <c r="DDB57" s="608"/>
      <c r="DDC57" s="608"/>
      <c r="DDD57" s="608"/>
      <c r="DDE57" s="608"/>
      <c r="DDF57" s="608"/>
      <c r="DDG57" s="608"/>
      <c r="DDH57" s="608"/>
      <c r="DDI57" s="608"/>
      <c r="DDJ57" s="608"/>
      <c r="DDK57" s="608"/>
      <c r="DDL57" s="608"/>
      <c r="DDM57" s="608"/>
      <c r="DDN57" s="608"/>
      <c r="DDO57" s="608"/>
      <c r="DDP57" s="608"/>
      <c r="DDQ57" s="608"/>
      <c r="DDR57" s="608"/>
      <c r="DDS57" s="608"/>
      <c r="DDT57" s="608"/>
      <c r="DDU57" s="608"/>
      <c r="DDV57" s="608"/>
      <c r="DDW57" s="608"/>
      <c r="DDX57" s="608"/>
      <c r="DDY57" s="608"/>
      <c r="DDZ57" s="608"/>
      <c r="DEA57" s="608"/>
      <c r="DEB57" s="608"/>
      <c r="DEC57" s="608"/>
      <c r="DED57" s="608"/>
      <c r="DEE57" s="608"/>
      <c r="DEF57" s="608"/>
      <c r="DEG57" s="608"/>
      <c r="DEH57" s="608"/>
      <c r="DEI57" s="608"/>
      <c r="DEJ57" s="608"/>
      <c r="DEK57" s="608"/>
      <c r="DEL57" s="608"/>
      <c r="DEM57" s="608"/>
      <c r="DEN57" s="608"/>
      <c r="DEO57" s="608"/>
      <c r="DEP57" s="608"/>
      <c r="DEQ57" s="608"/>
      <c r="DER57" s="608"/>
      <c r="DES57" s="608"/>
      <c r="DET57" s="608"/>
      <c r="DEU57" s="608"/>
      <c r="DEV57" s="608"/>
      <c r="DEW57" s="608"/>
      <c r="DEX57" s="608"/>
      <c r="DEY57" s="608"/>
      <c r="DEZ57" s="608"/>
      <c r="DFA57" s="608"/>
      <c r="DFB57" s="608"/>
      <c r="DFC57" s="608"/>
      <c r="DFD57" s="608"/>
      <c r="DFE57" s="608"/>
      <c r="DFF57" s="608"/>
      <c r="DFG57" s="608"/>
      <c r="DFH57" s="608"/>
      <c r="DFI57" s="608"/>
      <c r="DFJ57" s="608"/>
      <c r="DFK57" s="608"/>
      <c r="DFL57" s="608"/>
      <c r="DFM57" s="608"/>
      <c r="DFN57" s="608"/>
      <c r="DFO57" s="608"/>
      <c r="DFP57" s="608"/>
      <c r="DFQ57" s="608"/>
      <c r="DFR57" s="608"/>
      <c r="DFS57" s="608"/>
      <c r="DFT57" s="608"/>
      <c r="DFU57" s="608"/>
      <c r="DFV57" s="608"/>
      <c r="DFW57" s="608"/>
      <c r="DFX57" s="608"/>
      <c r="DFY57" s="608"/>
      <c r="DFZ57" s="608"/>
      <c r="DGA57" s="608"/>
      <c r="DGB57" s="608"/>
      <c r="DGC57" s="608"/>
      <c r="DGD57" s="608"/>
      <c r="DGE57" s="608"/>
      <c r="DGF57" s="608"/>
      <c r="DGG57" s="608"/>
      <c r="DGH57" s="608"/>
      <c r="DGI57" s="608"/>
      <c r="DGJ57" s="608"/>
      <c r="DGK57" s="608"/>
      <c r="DGL57" s="608"/>
      <c r="DGM57" s="608"/>
      <c r="DGN57" s="608"/>
      <c r="DGO57" s="608"/>
      <c r="DGP57" s="608"/>
      <c r="DGQ57" s="608"/>
      <c r="DGR57" s="608"/>
      <c r="DGS57" s="608"/>
      <c r="DGT57" s="608"/>
      <c r="DGU57" s="608"/>
      <c r="DGV57" s="608"/>
      <c r="DGW57" s="608"/>
      <c r="DGX57" s="608"/>
      <c r="DGY57" s="608"/>
      <c r="DGZ57" s="608"/>
      <c r="DHA57" s="608"/>
      <c r="DHB57" s="608"/>
      <c r="DHC57" s="608"/>
      <c r="DHD57" s="608"/>
      <c r="DHE57" s="608"/>
      <c r="DHF57" s="608"/>
      <c r="DHG57" s="608"/>
      <c r="DHH57" s="608"/>
      <c r="DHI57" s="608"/>
      <c r="DHJ57" s="608"/>
      <c r="DHK57" s="608"/>
      <c r="DHL57" s="608"/>
      <c r="DHM57" s="608"/>
      <c r="DHN57" s="608"/>
      <c r="DHO57" s="608"/>
      <c r="DHP57" s="608"/>
      <c r="DHQ57" s="608"/>
      <c r="DHR57" s="608"/>
      <c r="DHS57" s="608"/>
      <c r="DHT57" s="608"/>
      <c r="DHU57" s="608"/>
      <c r="DHV57" s="608"/>
      <c r="DHW57" s="608"/>
      <c r="DHX57" s="608"/>
      <c r="DHY57" s="608"/>
      <c r="DHZ57" s="608"/>
      <c r="DIA57" s="608"/>
      <c r="DIB57" s="608"/>
      <c r="DIC57" s="608"/>
      <c r="DID57" s="608"/>
      <c r="DIE57" s="608"/>
      <c r="DIF57" s="608"/>
      <c r="DIG57" s="608"/>
      <c r="DIH57" s="608"/>
      <c r="DII57" s="608"/>
      <c r="DIJ57" s="608"/>
      <c r="DIK57" s="608"/>
      <c r="DIL57" s="608"/>
      <c r="DIM57" s="608"/>
      <c r="DIN57" s="608"/>
      <c r="DIO57" s="608"/>
      <c r="DIP57" s="608"/>
      <c r="DIQ57" s="608"/>
      <c r="DIR57" s="608"/>
      <c r="DIS57" s="608"/>
      <c r="DIT57" s="608"/>
      <c r="DIU57" s="608"/>
      <c r="DIV57" s="608"/>
      <c r="DIW57" s="608"/>
      <c r="DIX57" s="608"/>
      <c r="DIY57" s="608"/>
      <c r="DIZ57" s="608"/>
      <c r="DJA57" s="608"/>
      <c r="DJB57" s="608"/>
      <c r="DJC57" s="608"/>
      <c r="DJD57" s="608"/>
      <c r="DJE57" s="608"/>
      <c r="DJF57" s="608"/>
      <c r="DJG57" s="608"/>
      <c r="DJH57" s="608"/>
      <c r="DJI57" s="608"/>
      <c r="DJJ57" s="608"/>
      <c r="DJK57" s="608"/>
      <c r="DJL57" s="608"/>
      <c r="DJM57" s="608"/>
      <c r="DJN57" s="608"/>
      <c r="DJO57" s="608"/>
      <c r="DJP57" s="608"/>
      <c r="DJQ57" s="608"/>
      <c r="DJR57" s="608"/>
      <c r="DJS57" s="608"/>
      <c r="DJT57" s="608"/>
      <c r="DJU57" s="608"/>
      <c r="DJV57" s="608"/>
      <c r="DJW57" s="608"/>
      <c r="DJX57" s="608"/>
      <c r="DJY57" s="608"/>
      <c r="DJZ57" s="608"/>
      <c r="DKA57" s="608"/>
      <c r="DKB57" s="608"/>
      <c r="DKC57" s="608"/>
      <c r="DKD57" s="608"/>
      <c r="DKE57" s="608"/>
      <c r="DKF57" s="608"/>
      <c r="DKG57" s="608"/>
      <c r="DKH57" s="608"/>
      <c r="DKI57" s="608"/>
      <c r="DKJ57" s="608"/>
      <c r="DKK57" s="608"/>
      <c r="DKL57" s="608"/>
      <c r="DKM57" s="608"/>
      <c r="DKN57" s="608"/>
      <c r="DKO57" s="608"/>
      <c r="DKP57" s="608"/>
      <c r="DKQ57" s="608"/>
      <c r="DKR57" s="608"/>
      <c r="DKS57" s="608"/>
      <c r="DKT57" s="608"/>
      <c r="DKU57" s="608"/>
      <c r="DKV57" s="608"/>
      <c r="DKW57" s="608"/>
      <c r="DKX57" s="608"/>
      <c r="DKY57" s="608"/>
      <c r="DKZ57" s="608"/>
      <c r="DLA57" s="608"/>
      <c r="DLB57" s="608"/>
      <c r="DLC57" s="608"/>
      <c r="DLD57" s="608"/>
      <c r="DLE57" s="608"/>
      <c r="DLF57" s="608"/>
      <c r="DLG57" s="608"/>
      <c r="DLH57" s="608"/>
      <c r="DLI57" s="608"/>
      <c r="DLJ57" s="608"/>
      <c r="DLK57" s="608"/>
      <c r="DLL57" s="608"/>
      <c r="DLM57" s="608"/>
      <c r="DLN57" s="608"/>
      <c r="DLO57" s="608"/>
      <c r="DLP57" s="608"/>
      <c r="DLQ57" s="608"/>
      <c r="DLR57" s="608"/>
      <c r="DLS57" s="608"/>
      <c r="DLT57" s="608"/>
      <c r="DLU57" s="608"/>
      <c r="DLV57" s="608"/>
      <c r="DLW57" s="608"/>
      <c r="DLX57" s="608"/>
      <c r="DLY57" s="608"/>
      <c r="DLZ57" s="608"/>
      <c r="DMA57" s="608"/>
      <c r="DMB57" s="608"/>
      <c r="DMC57" s="608"/>
      <c r="DMD57" s="608"/>
      <c r="DME57" s="608"/>
      <c r="DMF57" s="608"/>
      <c r="DMG57" s="608"/>
      <c r="DMH57" s="608"/>
      <c r="DMI57" s="608"/>
      <c r="DMJ57" s="608"/>
      <c r="DMK57" s="608"/>
      <c r="DML57" s="608"/>
      <c r="DMM57" s="608"/>
      <c r="DMN57" s="608"/>
      <c r="DMO57" s="608"/>
      <c r="DMP57" s="608"/>
      <c r="DMQ57" s="608"/>
      <c r="DMR57" s="608"/>
      <c r="DMS57" s="608"/>
      <c r="DMT57" s="608"/>
      <c r="DMU57" s="608"/>
      <c r="DMV57" s="608"/>
      <c r="DMW57" s="608"/>
      <c r="DMX57" s="608"/>
      <c r="DMY57" s="608"/>
      <c r="DMZ57" s="608"/>
      <c r="DNA57" s="608"/>
      <c r="DNB57" s="608"/>
      <c r="DNC57" s="608"/>
      <c r="DND57" s="608"/>
      <c r="DNE57" s="608"/>
      <c r="DNF57" s="608"/>
      <c r="DNG57" s="608"/>
      <c r="DNH57" s="608"/>
      <c r="DNI57" s="608"/>
      <c r="DNJ57" s="608"/>
      <c r="DNK57" s="608"/>
      <c r="DNL57" s="608"/>
      <c r="DNM57" s="608"/>
      <c r="DNN57" s="608"/>
      <c r="DNO57" s="608"/>
      <c r="DNP57" s="608"/>
      <c r="DNQ57" s="608"/>
      <c r="DNR57" s="608"/>
      <c r="DNS57" s="608"/>
      <c r="DNT57" s="608"/>
      <c r="DNU57" s="608"/>
      <c r="DNV57" s="608"/>
      <c r="DNW57" s="608"/>
      <c r="DNX57" s="608"/>
      <c r="DNY57" s="608"/>
      <c r="DNZ57" s="608"/>
      <c r="DOA57" s="608"/>
      <c r="DOB57" s="608"/>
      <c r="DOC57" s="608"/>
      <c r="DOD57" s="608"/>
      <c r="DOE57" s="608"/>
      <c r="DOF57" s="608"/>
      <c r="DOG57" s="608"/>
      <c r="DOH57" s="608"/>
      <c r="DOI57" s="608"/>
      <c r="DOJ57" s="608"/>
      <c r="DOK57" s="608"/>
      <c r="DOL57" s="608"/>
      <c r="DOM57" s="608"/>
      <c r="DON57" s="608"/>
      <c r="DOO57" s="608"/>
      <c r="DOP57" s="608"/>
      <c r="DOQ57" s="608"/>
      <c r="DOR57" s="608"/>
      <c r="DOS57" s="608"/>
      <c r="DOT57" s="608"/>
      <c r="DOU57" s="608"/>
      <c r="DOV57" s="608"/>
      <c r="DOW57" s="608"/>
      <c r="DOX57" s="608"/>
      <c r="DOY57" s="608"/>
      <c r="DOZ57" s="608"/>
      <c r="DPA57" s="608"/>
      <c r="DPB57" s="608"/>
      <c r="DPC57" s="608"/>
      <c r="DPD57" s="608"/>
      <c r="DPE57" s="608"/>
      <c r="DPF57" s="608"/>
      <c r="DPG57" s="608"/>
      <c r="DPH57" s="608"/>
      <c r="DPI57" s="608"/>
      <c r="DPJ57" s="608"/>
      <c r="DPK57" s="608"/>
      <c r="DPL57" s="608"/>
      <c r="DPM57" s="608"/>
      <c r="DPN57" s="608"/>
      <c r="DPO57" s="608"/>
      <c r="DPP57" s="608"/>
      <c r="DPQ57" s="608"/>
      <c r="DPR57" s="608"/>
      <c r="DPS57" s="608"/>
      <c r="DPT57" s="608"/>
      <c r="DPU57" s="608"/>
      <c r="DPV57" s="608"/>
      <c r="DPW57" s="608"/>
      <c r="DPX57" s="608"/>
      <c r="DPY57" s="608"/>
      <c r="DPZ57" s="608"/>
      <c r="DQA57" s="608"/>
      <c r="DQB57" s="608"/>
      <c r="DQC57" s="608"/>
      <c r="DQD57" s="608"/>
      <c r="DQE57" s="608"/>
      <c r="DQF57" s="608"/>
      <c r="DQG57" s="608"/>
      <c r="DQH57" s="608"/>
      <c r="DQI57" s="608"/>
      <c r="DQJ57" s="608"/>
      <c r="DQK57" s="608"/>
      <c r="DQL57" s="608"/>
      <c r="DQM57" s="608"/>
      <c r="DQN57" s="608"/>
      <c r="DQO57" s="608"/>
      <c r="DQP57" s="608"/>
      <c r="DQQ57" s="608"/>
      <c r="DQR57" s="608"/>
      <c r="DQS57" s="608"/>
      <c r="DQT57" s="608"/>
      <c r="DQU57" s="608"/>
      <c r="DQV57" s="608"/>
      <c r="DQW57" s="608"/>
      <c r="DQX57" s="608"/>
      <c r="DQY57" s="608"/>
      <c r="DQZ57" s="608"/>
      <c r="DRA57" s="608"/>
      <c r="DRB57" s="608"/>
      <c r="DRC57" s="608"/>
      <c r="DRD57" s="608"/>
      <c r="DRE57" s="608"/>
      <c r="DRF57" s="608"/>
      <c r="DRG57" s="608"/>
      <c r="DRH57" s="608"/>
      <c r="DRI57" s="608"/>
      <c r="DRJ57" s="608"/>
      <c r="DRK57" s="608"/>
      <c r="DRL57" s="608"/>
      <c r="DRM57" s="608"/>
      <c r="DRN57" s="608"/>
      <c r="DRO57" s="608"/>
      <c r="DRP57" s="608"/>
      <c r="DRQ57" s="608"/>
      <c r="DRR57" s="608"/>
      <c r="DRS57" s="608"/>
      <c r="DRT57" s="608"/>
      <c r="DRU57" s="608"/>
      <c r="DRV57" s="608"/>
      <c r="DRW57" s="608"/>
      <c r="DRX57" s="608"/>
      <c r="DRY57" s="608"/>
      <c r="DRZ57" s="608"/>
      <c r="DSA57" s="608"/>
      <c r="DSB57" s="608"/>
      <c r="DSC57" s="608"/>
      <c r="DSD57" s="608"/>
      <c r="DSE57" s="608"/>
      <c r="DSF57" s="608"/>
      <c r="DSG57" s="608"/>
      <c r="DSH57" s="608"/>
      <c r="DSI57" s="608"/>
      <c r="DSJ57" s="608"/>
      <c r="DSK57" s="608"/>
      <c r="DSL57" s="608"/>
      <c r="DSM57" s="608"/>
      <c r="DSN57" s="608"/>
      <c r="DSO57" s="608"/>
      <c r="DSP57" s="608"/>
      <c r="DSQ57" s="608"/>
      <c r="DSR57" s="608"/>
      <c r="DSS57" s="608"/>
      <c r="DST57" s="608"/>
      <c r="DSU57" s="608"/>
      <c r="DSV57" s="608"/>
      <c r="DSW57" s="608"/>
      <c r="DSX57" s="608"/>
      <c r="DSY57" s="608"/>
      <c r="DSZ57" s="608"/>
      <c r="DTA57" s="608"/>
      <c r="DTB57" s="608"/>
      <c r="DTC57" s="608"/>
      <c r="DTD57" s="608"/>
      <c r="DTE57" s="608"/>
      <c r="DTF57" s="608"/>
      <c r="DTG57" s="608"/>
      <c r="DTH57" s="608"/>
      <c r="DTI57" s="608"/>
      <c r="DTJ57" s="608"/>
      <c r="DTK57" s="608"/>
      <c r="DTL57" s="608"/>
      <c r="DTM57" s="608"/>
      <c r="DTN57" s="608"/>
      <c r="DTO57" s="608"/>
      <c r="DTP57" s="608"/>
      <c r="DTQ57" s="608"/>
      <c r="DTR57" s="608"/>
      <c r="DTS57" s="608"/>
      <c r="DTT57" s="608"/>
      <c r="DTU57" s="608"/>
      <c r="DTV57" s="608"/>
      <c r="DTW57" s="608"/>
      <c r="DTX57" s="608"/>
      <c r="DTY57" s="608"/>
      <c r="DTZ57" s="608"/>
      <c r="DUA57" s="608"/>
      <c r="DUB57" s="608"/>
      <c r="DUC57" s="608"/>
      <c r="DUD57" s="608"/>
      <c r="DUE57" s="608"/>
      <c r="DUF57" s="608"/>
      <c r="DUG57" s="608"/>
      <c r="DUH57" s="608"/>
      <c r="DUI57" s="608"/>
      <c r="DUJ57" s="608"/>
      <c r="DUK57" s="608"/>
      <c r="DUL57" s="608"/>
      <c r="DUM57" s="608"/>
      <c r="DUN57" s="608"/>
      <c r="DUO57" s="608"/>
      <c r="DUP57" s="608"/>
      <c r="DUQ57" s="608"/>
      <c r="DUR57" s="608"/>
      <c r="DUS57" s="608"/>
      <c r="DUT57" s="608"/>
      <c r="DUU57" s="608"/>
      <c r="DUV57" s="608"/>
      <c r="DUW57" s="608"/>
      <c r="DUX57" s="608"/>
      <c r="DUY57" s="608"/>
      <c r="DUZ57" s="608"/>
      <c r="DVA57" s="608"/>
      <c r="DVB57" s="608"/>
      <c r="DVC57" s="608"/>
      <c r="DVD57" s="608"/>
      <c r="DVE57" s="608"/>
      <c r="DVF57" s="608"/>
      <c r="DVG57" s="608"/>
      <c r="DVH57" s="608"/>
      <c r="DVI57" s="608"/>
      <c r="DVJ57" s="608"/>
      <c r="DVK57" s="608"/>
      <c r="DVL57" s="608"/>
      <c r="DVM57" s="608"/>
      <c r="DVN57" s="608"/>
      <c r="DVO57" s="608"/>
      <c r="DVP57" s="608"/>
      <c r="DVQ57" s="608"/>
      <c r="DVR57" s="608"/>
      <c r="DVS57" s="608"/>
      <c r="DVT57" s="608"/>
      <c r="DVU57" s="608"/>
      <c r="DVV57" s="608"/>
      <c r="DVW57" s="608"/>
      <c r="DVX57" s="608"/>
      <c r="DVY57" s="608"/>
      <c r="DVZ57" s="608"/>
      <c r="DWA57" s="608"/>
      <c r="DWB57" s="608"/>
      <c r="DWC57" s="608"/>
      <c r="DWD57" s="608"/>
      <c r="DWE57" s="608"/>
      <c r="DWF57" s="608"/>
      <c r="DWG57" s="608"/>
      <c r="DWH57" s="608"/>
      <c r="DWI57" s="608"/>
      <c r="DWJ57" s="608"/>
      <c r="DWK57" s="608"/>
      <c r="DWL57" s="608"/>
      <c r="DWM57" s="608"/>
      <c r="DWN57" s="608"/>
      <c r="DWO57" s="608"/>
      <c r="DWP57" s="608"/>
      <c r="DWQ57" s="608"/>
      <c r="DWR57" s="608"/>
      <c r="DWS57" s="608"/>
      <c r="DWT57" s="608"/>
      <c r="DWU57" s="608"/>
      <c r="DWV57" s="608"/>
      <c r="DWW57" s="608"/>
      <c r="DWX57" s="608"/>
      <c r="DWY57" s="608"/>
      <c r="DWZ57" s="608"/>
      <c r="DXA57" s="608"/>
      <c r="DXB57" s="608"/>
      <c r="DXC57" s="608"/>
      <c r="DXD57" s="608"/>
      <c r="DXE57" s="608"/>
      <c r="DXF57" s="608"/>
      <c r="DXG57" s="608"/>
      <c r="DXH57" s="608"/>
      <c r="DXI57" s="608"/>
      <c r="DXJ57" s="608"/>
      <c r="DXK57" s="608"/>
      <c r="DXL57" s="608"/>
      <c r="DXM57" s="608"/>
      <c r="DXN57" s="608"/>
      <c r="DXO57" s="608"/>
      <c r="DXP57" s="608"/>
      <c r="DXQ57" s="608"/>
      <c r="DXR57" s="608"/>
      <c r="DXS57" s="608"/>
      <c r="DXT57" s="608"/>
      <c r="DXU57" s="608"/>
      <c r="DXV57" s="608"/>
      <c r="DXW57" s="608"/>
      <c r="DXX57" s="608"/>
      <c r="DXY57" s="608"/>
      <c r="DXZ57" s="608"/>
      <c r="DYA57" s="608"/>
      <c r="DYB57" s="608"/>
      <c r="DYC57" s="608"/>
      <c r="DYD57" s="608"/>
      <c r="DYE57" s="608"/>
      <c r="DYF57" s="608"/>
      <c r="DYG57" s="608"/>
      <c r="DYH57" s="608"/>
      <c r="DYI57" s="608"/>
      <c r="DYJ57" s="608"/>
      <c r="DYK57" s="608"/>
      <c r="DYL57" s="608"/>
      <c r="DYM57" s="608"/>
      <c r="DYN57" s="608"/>
      <c r="DYO57" s="608"/>
      <c r="DYP57" s="608"/>
      <c r="DYQ57" s="608"/>
      <c r="DYR57" s="608"/>
      <c r="DYS57" s="608"/>
      <c r="DYT57" s="608"/>
      <c r="DYU57" s="608"/>
      <c r="DYV57" s="608"/>
      <c r="DYW57" s="608"/>
      <c r="DYX57" s="608"/>
      <c r="DYY57" s="608"/>
      <c r="DYZ57" s="608"/>
      <c r="DZA57" s="608"/>
      <c r="DZB57" s="608"/>
      <c r="DZC57" s="608"/>
      <c r="DZD57" s="608"/>
      <c r="DZE57" s="608"/>
      <c r="DZF57" s="608"/>
      <c r="DZG57" s="608"/>
      <c r="DZH57" s="608"/>
      <c r="DZI57" s="608"/>
      <c r="DZJ57" s="608"/>
      <c r="DZK57" s="608"/>
      <c r="DZL57" s="608"/>
      <c r="DZM57" s="608"/>
      <c r="DZN57" s="608"/>
      <c r="DZO57" s="608"/>
      <c r="DZP57" s="608"/>
      <c r="DZQ57" s="608"/>
      <c r="DZR57" s="608"/>
      <c r="DZS57" s="608"/>
      <c r="DZT57" s="608"/>
      <c r="DZU57" s="608"/>
      <c r="DZV57" s="608"/>
      <c r="DZW57" s="608"/>
      <c r="DZX57" s="608"/>
      <c r="DZY57" s="608"/>
      <c r="DZZ57" s="608"/>
      <c r="EAA57" s="608"/>
      <c r="EAB57" s="608"/>
      <c r="EAC57" s="608"/>
      <c r="EAD57" s="608"/>
      <c r="EAE57" s="608"/>
      <c r="EAF57" s="608"/>
      <c r="EAG57" s="608"/>
      <c r="EAH57" s="608"/>
      <c r="EAI57" s="608"/>
      <c r="EAJ57" s="608"/>
      <c r="EAK57" s="608"/>
      <c r="EAL57" s="608"/>
      <c r="EAM57" s="608"/>
      <c r="EAN57" s="608"/>
      <c r="EAO57" s="608"/>
      <c r="EAP57" s="608"/>
      <c r="EAQ57" s="608"/>
      <c r="EAR57" s="608"/>
      <c r="EAS57" s="608"/>
      <c r="EAT57" s="608"/>
      <c r="EAU57" s="608"/>
      <c r="EAV57" s="608"/>
      <c r="EAW57" s="608"/>
      <c r="EAX57" s="608"/>
      <c r="EAY57" s="608"/>
      <c r="EAZ57" s="608"/>
      <c r="EBA57" s="608"/>
      <c r="EBB57" s="608"/>
      <c r="EBC57" s="608"/>
      <c r="EBD57" s="608"/>
      <c r="EBE57" s="608"/>
      <c r="EBF57" s="608"/>
      <c r="EBG57" s="608"/>
      <c r="EBH57" s="608"/>
      <c r="EBI57" s="608"/>
      <c r="EBJ57" s="608"/>
      <c r="EBK57" s="608"/>
      <c r="EBL57" s="608"/>
      <c r="EBM57" s="608"/>
      <c r="EBN57" s="608"/>
      <c r="EBO57" s="608"/>
      <c r="EBP57" s="608"/>
      <c r="EBQ57" s="608"/>
      <c r="EBR57" s="608"/>
      <c r="EBS57" s="608"/>
      <c r="EBT57" s="608"/>
      <c r="EBU57" s="608"/>
      <c r="EBV57" s="608"/>
      <c r="EBW57" s="608"/>
      <c r="EBX57" s="608"/>
      <c r="EBY57" s="608"/>
      <c r="EBZ57" s="608"/>
      <c r="ECA57" s="608"/>
      <c r="ECB57" s="608"/>
      <c r="ECC57" s="608"/>
      <c r="ECD57" s="608"/>
      <c r="ECE57" s="608"/>
      <c r="ECF57" s="608"/>
      <c r="ECG57" s="608"/>
      <c r="ECH57" s="608"/>
      <c r="ECI57" s="608"/>
      <c r="ECJ57" s="608"/>
      <c r="ECK57" s="608"/>
      <c r="ECL57" s="608"/>
      <c r="ECM57" s="608"/>
      <c r="ECN57" s="608"/>
      <c r="ECO57" s="608"/>
      <c r="ECP57" s="608"/>
      <c r="ECQ57" s="608"/>
      <c r="ECR57" s="608"/>
      <c r="ECS57" s="608"/>
      <c r="ECT57" s="608"/>
      <c r="ECU57" s="608"/>
      <c r="ECV57" s="608"/>
      <c r="ECW57" s="608"/>
      <c r="ECX57" s="608"/>
      <c r="ECY57" s="608"/>
      <c r="ECZ57" s="608"/>
      <c r="EDA57" s="608"/>
      <c r="EDB57" s="608"/>
      <c r="EDC57" s="608"/>
      <c r="EDD57" s="608"/>
      <c r="EDE57" s="608"/>
      <c r="EDF57" s="608"/>
      <c r="EDG57" s="608"/>
      <c r="EDH57" s="608"/>
      <c r="EDI57" s="608"/>
      <c r="EDJ57" s="608"/>
      <c r="EDK57" s="608"/>
      <c r="EDL57" s="608"/>
      <c r="EDM57" s="608"/>
      <c r="EDN57" s="608"/>
      <c r="EDO57" s="608"/>
      <c r="EDP57" s="608"/>
      <c r="EDQ57" s="608"/>
      <c r="EDR57" s="608"/>
      <c r="EDS57" s="608"/>
      <c r="EDT57" s="608"/>
      <c r="EDU57" s="608"/>
      <c r="EDV57" s="608"/>
      <c r="EDW57" s="608"/>
      <c r="EDX57" s="608"/>
      <c r="EDY57" s="608"/>
      <c r="EDZ57" s="608"/>
      <c r="EEA57" s="608"/>
      <c r="EEB57" s="608"/>
      <c r="EEC57" s="608"/>
      <c r="EED57" s="608"/>
      <c r="EEE57" s="608"/>
      <c r="EEF57" s="608"/>
      <c r="EEG57" s="608"/>
      <c r="EEH57" s="608"/>
      <c r="EEI57" s="608"/>
      <c r="EEJ57" s="608"/>
      <c r="EEK57" s="608"/>
      <c r="EEL57" s="608"/>
      <c r="EEM57" s="608"/>
      <c r="EEN57" s="608"/>
      <c r="EEO57" s="608"/>
      <c r="EEP57" s="608"/>
      <c r="EEQ57" s="608"/>
      <c r="EER57" s="608"/>
      <c r="EES57" s="608"/>
      <c r="EET57" s="608"/>
      <c r="EEU57" s="608"/>
      <c r="EEV57" s="608"/>
      <c r="EEW57" s="608"/>
      <c r="EEX57" s="608"/>
      <c r="EEY57" s="608"/>
      <c r="EEZ57" s="608"/>
      <c r="EFA57" s="608"/>
      <c r="EFB57" s="608"/>
      <c r="EFC57" s="608"/>
      <c r="EFD57" s="608"/>
      <c r="EFE57" s="608"/>
      <c r="EFF57" s="608"/>
      <c r="EFG57" s="608"/>
      <c r="EFH57" s="608"/>
      <c r="EFI57" s="608"/>
      <c r="EFJ57" s="608"/>
      <c r="EFK57" s="608"/>
      <c r="EFL57" s="608"/>
      <c r="EFM57" s="608"/>
      <c r="EFN57" s="608"/>
      <c r="EFO57" s="608"/>
      <c r="EFP57" s="608"/>
      <c r="EFQ57" s="608"/>
      <c r="EFR57" s="608"/>
      <c r="EFS57" s="608"/>
      <c r="EFT57" s="608"/>
      <c r="EFU57" s="608"/>
      <c r="EFV57" s="608"/>
      <c r="EFW57" s="608"/>
      <c r="EFX57" s="608"/>
      <c r="EFY57" s="608"/>
      <c r="EFZ57" s="608"/>
      <c r="EGA57" s="608"/>
      <c r="EGB57" s="608"/>
      <c r="EGC57" s="608"/>
      <c r="EGD57" s="608"/>
      <c r="EGE57" s="608"/>
      <c r="EGF57" s="608"/>
      <c r="EGG57" s="608"/>
      <c r="EGH57" s="608"/>
      <c r="EGI57" s="608"/>
      <c r="EGJ57" s="608"/>
      <c r="EGK57" s="608"/>
      <c r="EGL57" s="608"/>
      <c r="EGM57" s="608"/>
      <c r="EGN57" s="608"/>
      <c r="EGO57" s="608"/>
      <c r="EGP57" s="608"/>
      <c r="EGQ57" s="608"/>
      <c r="EGR57" s="608"/>
      <c r="EGS57" s="608"/>
      <c r="EGT57" s="608"/>
      <c r="EGU57" s="608"/>
      <c r="EGV57" s="608"/>
      <c r="EGW57" s="608"/>
      <c r="EGX57" s="608"/>
      <c r="EGY57" s="608"/>
      <c r="EGZ57" s="608"/>
      <c r="EHA57" s="608"/>
      <c r="EHB57" s="608"/>
      <c r="EHC57" s="608"/>
      <c r="EHD57" s="608"/>
      <c r="EHE57" s="608"/>
      <c r="EHF57" s="608"/>
      <c r="EHG57" s="608"/>
      <c r="EHH57" s="608"/>
      <c r="EHI57" s="608"/>
      <c r="EHJ57" s="608"/>
      <c r="EHK57" s="608"/>
      <c r="EHL57" s="608"/>
      <c r="EHM57" s="608"/>
      <c r="EHN57" s="608"/>
      <c r="EHO57" s="608"/>
      <c r="EHP57" s="608"/>
      <c r="EHQ57" s="608"/>
      <c r="EHR57" s="608"/>
      <c r="EHS57" s="608"/>
      <c r="EHT57" s="608"/>
      <c r="EHU57" s="608"/>
      <c r="EHV57" s="608"/>
      <c r="EHW57" s="608"/>
      <c r="EHX57" s="608"/>
      <c r="EHY57" s="608"/>
      <c r="EHZ57" s="608"/>
      <c r="EIA57" s="608"/>
      <c r="EIB57" s="608"/>
      <c r="EIC57" s="608"/>
      <c r="EID57" s="608"/>
      <c r="EIE57" s="608"/>
      <c r="EIF57" s="608"/>
      <c r="EIG57" s="608"/>
      <c r="EIH57" s="608"/>
      <c r="EII57" s="608"/>
      <c r="EIJ57" s="608"/>
      <c r="EIK57" s="608"/>
      <c r="EIL57" s="608"/>
      <c r="EIM57" s="608"/>
      <c r="EIN57" s="608"/>
      <c r="EIO57" s="608"/>
      <c r="EIP57" s="608"/>
      <c r="EIQ57" s="608"/>
      <c r="EIR57" s="608"/>
      <c r="EIS57" s="608"/>
      <c r="EIT57" s="608"/>
      <c r="EIU57" s="608"/>
      <c r="EIV57" s="608"/>
      <c r="EIW57" s="608"/>
      <c r="EIX57" s="608"/>
      <c r="EIY57" s="608"/>
      <c r="EIZ57" s="608"/>
      <c r="EJA57" s="608"/>
      <c r="EJB57" s="608"/>
      <c r="EJC57" s="608"/>
      <c r="EJD57" s="608"/>
      <c r="EJE57" s="608"/>
      <c r="EJF57" s="608"/>
      <c r="EJG57" s="608"/>
      <c r="EJH57" s="608"/>
      <c r="EJI57" s="608"/>
      <c r="EJJ57" s="608"/>
      <c r="EJK57" s="608"/>
      <c r="EJL57" s="608"/>
      <c r="EJM57" s="608"/>
      <c r="EJN57" s="608"/>
      <c r="EJO57" s="608"/>
      <c r="EJP57" s="608"/>
      <c r="EJQ57" s="608"/>
      <c r="EJR57" s="608"/>
      <c r="EJS57" s="608"/>
      <c r="EJT57" s="608"/>
      <c r="EJU57" s="608"/>
      <c r="EJV57" s="608"/>
      <c r="EJW57" s="608"/>
      <c r="EJX57" s="608"/>
      <c r="EJY57" s="608"/>
      <c r="EJZ57" s="608"/>
      <c r="EKA57" s="608"/>
      <c r="EKB57" s="608"/>
      <c r="EKC57" s="608"/>
      <c r="EKD57" s="608"/>
      <c r="EKE57" s="608"/>
      <c r="EKF57" s="608"/>
      <c r="EKG57" s="608"/>
      <c r="EKH57" s="608"/>
      <c r="EKI57" s="608"/>
      <c r="EKJ57" s="608"/>
      <c r="EKK57" s="608"/>
      <c r="EKL57" s="608"/>
      <c r="EKM57" s="608"/>
      <c r="EKN57" s="608"/>
      <c r="EKO57" s="608"/>
      <c r="EKP57" s="608"/>
      <c r="EKQ57" s="608"/>
      <c r="EKR57" s="608"/>
      <c r="EKS57" s="608"/>
      <c r="EKT57" s="608"/>
      <c r="EKU57" s="608"/>
      <c r="EKV57" s="608"/>
      <c r="EKW57" s="608"/>
      <c r="EKX57" s="608"/>
      <c r="EKY57" s="608"/>
      <c r="EKZ57" s="608"/>
      <c r="ELA57" s="608"/>
      <c r="ELB57" s="608"/>
      <c r="ELC57" s="608"/>
      <c r="ELD57" s="608"/>
      <c r="ELE57" s="608"/>
      <c r="ELF57" s="608"/>
      <c r="ELG57" s="608"/>
      <c r="ELH57" s="608"/>
      <c r="ELI57" s="608"/>
      <c r="ELJ57" s="608"/>
      <c r="ELK57" s="608"/>
      <c r="ELL57" s="608"/>
      <c r="ELM57" s="608"/>
      <c r="ELN57" s="608"/>
      <c r="ELO57" s="608"/>
      <c r="ELP57" s="608"/>
      <c r="ELQ57" s="608"/>
      <c r="ELR57" s="608"/>
      <c r="ELS57" s="608"/>
      <c r="ELT57" s="608"/>
      <c r="ELU57" s="608"/>
      <c r="ELV57" s="608"/>
      <c r="ELW57" s="608"/>
      <c r="ELX57" s="608"/>
      <c r="ELY57" s="608"/>
      <c r="ELZ57" s="608"/>
      <c r="EMA57" s="608"/>
      <c r="EMB57" s="608"/>
      <c r="EMC57" s="608"/>
      <c r="EMD57" s="608"/>
      <c r="EME57" s="608"/>
      <c r="EMF57" s="608"/>
      <c r="EMG57" s="608"/>
      <c r="EMH57" s="608"/>
      <c r="EMI57" s="608"/>
      <c r="EMJ57" s="608"/>
      <c r="EMK57" s="608"/>
      <c r="EML57" s="608"/>
      <c r="EMM57" s="608"/>
      <c r="EMN57" s="608"/>
      <c r="EMO57" s="608"/>
      <c r="EMP57" s="608"/>
      <c r="EMQ57" s="608"/>
      <c r="EMR57" s="608"/>
      <c r="EMS57" s="608"/>
      <c r="EMT57" s="608"/>
      <c r="EMU57" s="608"/>
      <c r="EMV57" s="608"/>
      <c r="EMW57" s="608"/>
      <c r="EMX57" s="608"/>
      <c r="EMY57" s="608"/>
      <c r="EMZ57" s="608"/>
      <c r="ENA57" s="608"/>
      <c r="ENB57" s="608"/>
      <c r="ENC57" s="608"/>
      <c r="END57" s="608"/>
      <c r="ENE57" s="608"/>
      <c r="ENF57" s="608"/>
      <c r="ENG57" s="608"/>
      <c r="ENH57" s="608"/>
      <c r="ENI57" s="608"/>
      <c r="ENJ57" s="608"/>
      <c r="ENK57" s="608"/>
      <c r="ENL57" s="608"/>
      <c r="ENM57" s="608"/>
      <c r="ENN57" s="608"/>
      <c r="ENO57" s="608"/>
      <c r="ENP57" s="608"/>
      <c r="ENQ57" s="608"/>
      <c r="ENR57" s="608"/>
      <c r="ENS57" s="608"/>
      <c r="ENT57" s="608"/>
      <c r="ENU57" s="608"/>
      <c r="ENV57" s="608"/>
      <c r="ENW57" s="608"/>
      <c r="ENX57" s="608"/>
      <c r="ENY57" s="608"/>
      <c r="ENZ57" s="608"/>
      <c r="EOA57" s="608"/>
      <c r="EOB57" s="608"/>
      <c r="EOC57" s="608"/>
      <c r="EOD57" s="608"/>
      <c r="EOE57" s="608"/>
      <c r="EOF57" s="608"/>
      <c r="EOG57" s="608"/>
      <c r="EOH57" s="608"/>
      <c r="EOI57" s="608"/>
      <c r="EOJ57" s="608"/>
      <c r="EOK57" s="608"/>
      <c r="EOL57" s="608"/>
      <c r="EOM57" s="608"/>
      <c r="EON57" s="608"/>
      <c r="EOO57" s="608"/>
      <c r="EOP57" s="608"/>
      <c r="EOQ57" s="608"/>
      <c r="EOR57" s="608"/>
      <c r="EOS57" s="608"/>
      <c r="EOT57" s="608"/>
      <c r="EOU57" s="608"/>
      <c r="EOV57" s="608"/>
      <c r="EOW57" s="608"/>
      <c r="EOX57" s="608"/>
      <c r="EOY57" s="608"/>
      <c r="EOZ57" s="608"/>
      <c r="EPA57" s="608"/>
      <c r="EPB57" s="608"/>
      <c r="EPC57" s="608"/>
      <c r="EPD57" s="608"/>
      <c r="EPE57" s="608"/>
      <c r="EPF57" s="608"/>
      <c r="EPG57" s="608"/>
      <c r="EPH57" s="608"/>
      <c r="EPI57" s="608"/>
      <c r="EPJ57" s="608"/>
      <c r="EPK57" s="608"/>
      <c r="EPL57" s="608"/>
      <c r="EPM57" s="608"/>
      <c r="EPN57" s="608"/>
      <c r="EPO57" s="608"/>
      <c r="EPP57" s="608"/>
      <c r="EPQ57" s="608"/>
      <c r="EPR57" s="608"/>
      <c r="EPS57" s="608"/>
      <c r="EPT57" s="608"/>
      <c r="EPU57" s="608"/>
      <c r="EPV57" s="608"/>
      <c r="EPW57" s="608"/>
      <c r="EPX57" s="608"/>
      <c r="EPY57" s="608"/>
      <c r="EPZ57" s="608"/>
      <c r="EQA57" s="608"/>
      <c r="EQB57" s="608"/>
      <c r="EQC57" s="608"/>
      <c r="EQD57" s="608"/>
      <c r="EQE57" s="608"/>
      <c r="EQF57" s="608"/>
      <c r="EQG57" s="608"/>
      <c r="EQH57" s="608"/>
      <c r="EQI57" s="608"/>
      <c r="EQJ57" s="608"/>
      <c r="EQK57" s="608"/>
      <c r="EQL57" s="608"/>
      <c r="EQM57" s="608"/>
      <c r="EQN57" s="608"/>
      <c r="EQO57" s="608"/>
      <c r="EQP57" s="608"/>
      <c r="EQQ57" s="608"/>
      <c r="EQR57" s="608"/>
      <c r="EQS57" s="608"/>
      <c r="EQT57" s="608"/>
      <c r="EQU57" s="608"/>
      <c r="EQV57" s="608"/>
      <c r="EQW57" s="608"/>
      <c r="EQX57" s="608"/>
      <c r="EQY57" s="608"/>
      <c r="EQZ57" s="608"/>
      <c r="ERA57" s="608"/>
      <c r="ERB57" s="608"/>
      <c r="ERC57" s="608"/>
      <c r="ERD57" s="608"/>
      <c r="ERE57" s="608"/>
      <c r="ERF57" s="608"/>
      <c r="ERG57" s="608"/>
      <c r="ERH57" s="608"/>
      <c r="ERI57" s="608"/>
      <c r="ERJ57" s="608"/>
      <c r="ERK57" s="608"/>
      <c r="ERL57" s="608"/>
      <c r="ERM57" s="608"/>
      <c r="ERN57" s="608"/>
      <c r="ERO57" s="608"/>
      <c r="ERP57" s="608"/>
      <c r="ERQ57" s="608"/>
      <c r="ERR57" s="608"/>
      <c r="ERS57" s="608"/>
      <c r="ERT57" s="608"/>
      <c r="ERU57" s="608"/>
      <c r="ERV57" s="608"/>
      <c r="ERW57" s="608"/>
      <c r="ERX57" s="608"/>
      <c r="ERY57" s="608"/>
      <c r="ERZ57" s="608"/>
      <c r="ESA57" s="608"/>
      <c r="ESB57" s="608"/>
      <c r="ESC57" s="608"/>
      <c r="ESD57" s="608"/>
      <c r="ESE57" s="608"/>
      <c r="ESF57" s="608"/>
      <c r="ESG57" s="608"/>
      <c r="ESH57" s="608"/>
      <c r="ESI57" s="608"/>
      <c r="ESJ57" s="608"/>
      <c r="ESK57" s="608"/>
      <c r="ESL57" s="608"/>
      <c r="ESM57" s="608"/>
      <c r="ESN57" s="608"/>
      <c r="ESO57" s="608"/>
      <c r="ESP57" s="608"/>
      <c r="ESQ57" s="608"/>
      <c r="ESR57" s="608"/>
      <c r="ESS57" s="608"/>
      <c r="EST57" s="608"/>
      <c r="ESU57" s="608"/>
      <c r="ESV57" s="608"/>
      <c r="ESW57" s="608"/>
      <c r="ESX57" s="608"/>
      <c r="ESY57" s="608"/>
      <c r="ESZ57" s="608"/>
      <c r="ETA57" s="608"/>
      <c r="ETB57" s="608"/>
      <c r="ETC57" s="608"/>
      <c r="ETD57" s="608"/>
      <c r="ETE57" s="608"/>
      <c r="ETF57" s="608"/>
      <c r="ETG57" s="608"/>
      <c r="ETH57" s="608"/>
      <c r="ETI57" s="608"/>
      <c r="ETJ57" s="608"/>
      <c r="ETK57" s="608"/>
      <c r="ETL57" s="608"/>
      <c r="ETM57" s="608"/>
      <c r="ETN57" s="608"/>
      <c r="ETO57" s="608"/>
      <c r="ETP57" s="608"/>
      <c r="ETQ57" s="608"/>
      <c r="ETR57" s="608"/>
      <c r="ETS57" s="608"/>
      <c r="ETT57" s="608"/>
      <c r="ETU57" s="608"/>
      <c r="ETV57" s="608"/>
      <c r="ETW57" s="608"/>
      <c r="ETX57" s="608"/>
      <c r="ETY57" s="608"/>
      <c r="ETZ57" s="608"/>
      <c r="EUA57" s="608"/>
      <c r="EUB57" s="608"/>
      <c r="EUC57" s="608"/>
      <c r="EUD57" s="608"/>
      <c r="EUE57" s="608"/>
      <c r="EUF57" s="608"/>
      <c r="EUG57" s="608"/>
      <c r="EUH57" s="608"/>
      <c r="EUI57" s="608"/>
      <c r="EUJ57" s="608"/>
      <c r="EUK57" s="608"/>
      <c r="EUL57" s="608"/>
      <c r="EUM57" s="608"/>
      <c r="EUN57" s="608"/>
      <c r="EUO57" s="608"/>
      <c r="EUP57" s="608"/>
      <c r="EUQ57" s="608"/>
      <c r="EUR57" s="608"/>
      <c r="EUS57" s="608"/>
      <c r="EUT57" s="608"/>
      <c r="EUU57" s="608"/>
      <c r="EUV57" s="608"/>
      <c r="EUW57" s="608"/>
      <c r="EUX57" s="608"/>
      <c r="EUY57" s="608"/>
      <c r="EUZ57" s="608"/>
      <c r="EVA57" s="608"/>
      <c r="EVB57" s="608"/>
      <c r="EVC57" s="608"/>
      <c r="EVD57" s="608"/>
      <c r="EVE57" s="608"/>
      <c r="EVF57" s="608"/>
      <c r="EVG57" s="608"/>
      <c r="EVH57" s="608"/>
      <c r="EVI57" s="608"/>
      <c r="EVJ57" s="608"/>
      <c r="EVK57" s="608"/>
      <c r="EVL57" s="608"/>
      <c r="EVM57" s="608"/>
      <c r="EVN57" s="608"/>
      <c r="EVO57" s="608"/>
      <c r="EVP57" s="608"/>
      <c r="EVQ57" s="608"/>
      <c r="EVR57" s="608"/>
      <c r="EVS57" s="608"/>
      <c r="EVT57" s="608"/>
      <c r="EVU57" s="608"/>
      <c r="EVV57" s="608"/>
      <c r="EVW57" s="608"/>
      <c r="EVX57" s="608"/>
      <c r="EVY57" s="608"/>
      <c r="EVZ57" s="608"/>
      <c r="EWA57" s="608"/>
      <c r="EWB57" s="608"/>
      <c r="EWC57" s="608"/>
      <c r="EWD57" s="608"/>
      <c r="EWE57" s="608"/>
      <c r="EWF57" s="608"/>
      <c r="EWG57" s="608"/>
      <c r="EWH57" s="608"/>
      <c r="EWI57" s="608"/>
      <c r="EWJ57" s="608"/>
      <c r="EWK57" s="608"/>
      <c r="EWL57" s="608"/>
      <c r="EWM57" s="608"/>
      <c r="EWN57" s="608"/>
      <c r="EWO57" s="608"/>
      <c r="EWP57" s="608"/>
      <c r="EWQ57" s="608"/>
      <c r="EWR57" s="608"/>
      <c r="EWS57" s="608"/>
      <c r="EWT57" s="608"/>
      <c r="EWU57" s="608"/>
      <c r="EWV57" s="608"/>
      <c r="EWW57" s="608"/>
      <c r="EWX57" s="608"/>
      <c r="EWY57" s="608"/>
      <c r="EWZ57" s="608"/>
      <c r="EXA57" s="608"/>
      <c r="EXB57" s="608"/>
      <c r="EXC57" s="608"/>
      <c r="EXD57" s="608"/>
      <c r="EXE57" s="608"/>
      <c r="EXF57" s="608"/>
      <c r="EXG57" s="608"/>
      <c r="EXH57" s="608"/>
      <c r="EXI57" s="608"/>
      <c r="EXJ57" s="608"/>
      <c r="EXK57" s="608"/>
      <c r="EXL57" s="608"/>
      <c r="EXM57" s="608"/>
      <c r="EXN57" s="608"/>
      <c r="EXO57" s="608"/>
      <c r="EXP57" s="608"/>
      <c r="EXQ57" s="608"/>
      <c r="EXR57" s="608"/>
      <c r="EXS57" s="608"/>
      <c r="EXT57" s="608"/>
      <c r="EXU57" s="608"/>
      <c r="EXV57" s="608"/>
      <c r="EXW57" s="608"/>
      <c r="EXX57" s="608"/>
      <c r="EXY57" s="608"/>
      <c r="EXZ57" s="608"/>
      <c r="EYA57" s="608"/>
      <c r="EYB57" s="608"/>
      <c r="EYC57" s="608"/>
      <c r="EYD57" s="608"/>
      <c r="EYE57" s="608"/>
      <c r="EYF57" s="608"/>
      <c r="EYG57" s="608"/>
      <c r="EYH57" s="608"/>
      <c r="EYI57" s="608"/>
      <c r="EYJ57" s="608"/>
      <c r="EYK57" s="608"/>
      <c r="EYL57" s="608"/>
      <c r="EYM57" s="608"/>
      <c r="EYN57" s="608"/>
      <c r="EYO57" s="608"/>
      <c r="EYP57" s="608"/>
      <c r="EYQ57" s="608"/>
      <c r="EYR57" s="608"/>
      <c r="EYS57" s="608"/>
      <c r="EYT57" s="608"/>
      <c r="EYU57" s="608"/>
      <c r="EYV57" s="608"/>
      <c r="EYW57" s="608"/>
      <c r="EYX57" s="608"/>
      <c r="EYY57" s="608"/>
      <c r="EYZ57" s="608"/>
      <c r="EZA57" s="608"/>
      <c r="EZB57" s="608"/>
      <c r="EZC57" s="608"/>
      <c r="EZD57" s="608"/>
      <c r="EZE57" s="608"/>
      <c r="EZF57" s="608"/>
      <c r="EZG57" s="608"/>
      <c r="EZH57" s="608"/>
      <c r="EZI57" s="608"/>
      <c r="EZJ57" s="608"/>
      <c r="EZK57" s="608"/>
      <c r="EZL57" s="608"/>
      <c r="EZM57" s="608"/>
      <c r="EZN57" s="608"/>
      <c r="EZO57" s="608"/>
      <c r="EZP57" s="608"/>
      <c r="EZQ57" s="608"/>
      <c r="EZR57" s="608"/>
      <c r="EZS57" s="608"/>
      <c r="EZT57" s="608"/>
      <c r="EZU57" s="608"/>
      <c r="EZV57" s="608"/>
      <c r="EZW57" s="608"/>
      <c r="EZX57" s="608"/>
      <c r="EZY57" s="608"/>
      <c r="EZZ57" s="608"/>
      <c r="FAA57" s="608"/>
      <c r="FAB57" s="608"/>
      <c r="FAC57" s="608"/>
      <c r="FAD57" s="608"/>
      <c r="FAE57" s="608"/>
      <c r="FAF57" s="608"/>
      <c r="FAG57" s="608"/>
      <c r="FAH57" s="608"/>
      <c r="FAI57" s="608"/>
      <c r="FAJ57" s="608"/>
      <c r="FAK57" s="608"/>
      <c r="FAL57" s="608"/>
      <c r="FAM57" s="608"/>
      <c r="FAN57" s="608"/>
      <c r="FAO57" s="608"/>
      <c r="FAP57" s="608"/>
      <c r="FAQ57" s="608"/>
      <c r="FAR57" s="608"/>
      <c r="FAS57" s="608"/>
      <c r="FAT57" s="608"/>
      <c r="FAU57" s="608"/>
      <c r="FAV57" s="608"/>
      <c r="FAW57" s="608"/>
      <c r="FAX57" s="608"/>
      <c r="FAY57" s="608"/>
      <c r="FAZ57" s="608"/>
      <c r="FBA57" s="608"/>
      <c r="FBB57" s="608"/>
      <c r="FBC57" s="608"/>
      <c r="FBD57" s="608"/>
      <c r="FBE57" s="608"/>
      <c r="FBF57" s="608"/>
      <c r="FBG57" s="608"/>
      <c r="FBH57" s="608"/>
      <c r="FBI57" s="608"/>
      <c r="FBJ57" s="608"/>
      <c r="FBK57" s="608"/>
      <c r="FBL57" s="608"/>
      <c r="FBM57" s="608"/>
      <c r="FBN57" s="608"/>
      <c r="FBO57" s="608"/>
      <c r="FBP57" s="608"/>
      <c r="FBQ57" s="608"/>
      <c r="FBR57" s="608"/>
      <c r="FBS57" s="608"/>
      <c r="FBT57" s="608"/>
      <c r="FBU57" s="608"/>
      <c r="FBV57" s="608"/>
      <c r="FBW57" s="608"/>
      <c r="FBX57" s="608"/>
      <c r="FBY57" s="608"/>
      <c r="FBZ57" s="608"/>
      <c r="FCA57" s="608"/>
      <c r="FCB57" s="608"/>
      <c r="FCC57" s="608"/>
      <c r="FCD57" s="608"/>
      <c r="FCE57" s="608"/>
      <c r="FCF57" s="608"/>
      <c r="FCG57" s="608"/>
      <c r="FCH57" s="608"/>
      <c r="FCI57" s="608"/>
      <c r="FCJ57" s="608"/>
      <c r="FCK57" s="608"/>
      <c r="FCL57" s="608"/>
      <c r="FCM57" s="608"/>
      <c r="FCN57" s="608"/>
      <c r="FCO57" s="608"/>
      <c r="FCP57" s="608"/>
      <c r="FCQ57" s="608"/>
      <c r="FCR57" s="608"/>
      <c r="FCS57" s="608"/>
      <c r="FCT57" s="608"/>
      <c r="FCU57" s="608"/>
      <c r="FCV57" s="608"/>
      <c r="FCW57" s="608"/>
      <c r="FCX57" s="608"/>
      <c r="FCY57" s="608"/>
      <c r="FCZ57" s="608"/>
      <c r="FDA57" s="608"/>
      <c r="FDB57" s="608"/>
      <c r="FDC57" s="608"/>
      <c r="FDD57" s="608"/>
      <c r="FDE57" s="608"/>
      <c r="FDF57" s="608"/>
      <c r="FDG57" s="608"/>
      <c r="FDH57" s="608"/>
      <c r="FDI57" s="608"/>
      <c r="FDJ57" s="608"/>
      <c r="FDK57" s="608"/>
      <c r="FDL57" s="608"/>
      <c r="FDM57" s="608"/>
      <c r="FDN57" s="608"/>
      <c r="FDO57" s="608"/>
      <c r="FDP57" s="608"/>
      <c r="FDQ57" s="608"/>
      <c r="FDR57" s="608"/>
      <c r="FDS57" s="608"/>
      <c r="FDT57" s="608"/>
      <c r="FDU57" s="608"/>
      <c r="FDV57" s="608"/>
      <c r="FDW57" s="608"/>
      <c r="FDX57" s="608"/>
      <c r="FDY57" s="608"/>
      <c r="FDZ57" s="608"/>
      <c r="FEA57" s="608"/>
      <c r="FEB57" s="608"/>
      <c r="FEC57" s="608"/>
      <c r="FED57" s="608"/>
      <c r="FEE57" s="608"/>
      <c r="FEF57" s="608"/>
      <c r="FEG57" s="608"/>
      <c r="FEH57" s="608"/>
      <c r="FEI57" s="608"/>
      <c r="FEJ57" s="608"/>
      <c r="FEK57" s="608"/>
      <c r="FEL57" s="608"/>
      <c r="FEM57" s="608"/>
      <c r="FEN57" s="608"/>
      <c r="FEO57" s="608"/>
      <c r="FEP57" s="608"/>
      <c r="FEQ57" s="608"/>
      <c r="FER57" s="608"/>
      <c r="FES57" s="608"/>
      <c r="FET57" s="608"/>
      <c r="FEU57" s="608"/>
      <c r="FEV57" s="608"/>
      <c r="FEW57" s="608"/>
      <c r="FEX57" s="608"/>
      <c r="FEY57" s="608"/>
      <c r="FEZ57" s="608"/>
      <c r="FFA57" s="608"/>
      <c r="FFB57" s="608"/>
      <c r="FFC57" s="608"/>
      <c r="FFD57" s="608"/>
      <c r="FFE57" s="608"/>
      <c r="FFF57" s="608"/>
      <c r="FFG57" s="608"/>
      <c r="FFH57" s="608"/>
      <c r="FFI57" s="608"/>
      <c r="FFJ57" s="608"/>
      <c r="FFK57" s="608"/>
      <c r="FFL57" s="608"/>
      <c r="FFM57" s="608"/>
      <c r="FFN57" s="608"/>
      <c r="FFO57" s="608"/>
      <c r="FFP57" s="608"/>
      <c r="FFQ57" s="608"/>
      <c r="FFR57" s="608"/>
      <c r="FFS57" s="608"/>
      <c r="FFT57" s="608"/>
      <c r="FFU57" s="608"/>
      <c r="FFV57" s="608"/>
      <c r="FFW57" s="608"/>
      <c r="FFX57" s="608"/>
      <c r="FFY57" s="608"/>
      <c r="FFZ57" s="608"/>
      <c r="FGA57" s="608"/>
      <c r="FGB57" s="608"/>
      <c r="FGC57" s="608"/>
      <c r="FGD57" s="608"/>
      <c r="FGE57" s="608"/>
      <c r="FGF57" s="608"/>
      <c r="FGG57" s="608"/>
      <c r="FGH57" s="608"/>
      <c r="FGI57" s="608"/>
      <c r="FGJ57" s="608"/>
      <c r="FGK57" s="608"/>
      <c r="FGL57" s="608"/>
      <c r="FGM57" s="608"/>
      <c r="FGN57" s="608"/>
      <c r="FGO57" s="608"/>
      <c r="FGP57" s="608"/>
      <c r="FGQ57" s="608"/>
      <c r="FGR57" s="608"/>
      <c r="FGS57" s="608"/>
      <c r="FGT57" s="608"/>
      <c r="FGU57" s="608"/>
      <c r="FGV57" s="608"/>
      <c r="FGW57" s="608"/>
      <c r="FGX57" s="608"/>
      <c r="FGY57" s="608"/>
      <c r="FGZ57" s="608"/>
      <c r="FHA57" s="608"/>
      <c r="FHB57" s="608"/>
      <c r="FHC57" s="608"/>
      <c r="FHD57" s="608"/>
      <c r="FHE57" s="608"/>
      <c r="FHF57" s="608"/>
      <c r="FHG57" s="608"/>
      <c r="FHH57" s="608"/>
      <c r="FHI57" s="608"/>
      <c r="FHJ57" s="608"/>
      <c r="FHK57" s="608"/>
      <c r="FHL57" s="608"/>
      <c r="FHM57" s="608"/>
      <c r="FHN57" s="608"/>
      <c r="FHO57" s="608"/>
      <c r="FHP57" s="608"/>
      <c r="FHQ57" s="608"/>
      <c r="FHR57" s="608"/>
      <c r="FHS57" s="608"/>
      <c r="FHT57" s="608"/>
      <c r="FHU57" s="608"/>
      <c r="FHV57" s="608"/>
      <c r="FHW57" s="608"/>
      <c r="FHX57" s="608"/>
      <c r="FHY57" s="608"/>
      <c r="FHZ57" s="608"/>
      <c r="FIA57" s="608"/>
      <c r="FIB57" s="608"/>
      <c r="FIC57" s="608"/>
      <c r="FID57" s="608"/>
      <c r="FIE57" s="608"/>
      <c r="FIF57" s="608"/>
      <c r="FIG57" s="608"/>
      <c r="FIH57" s="608"/>
      <c r="FII57" s="608"/>
      <c r="FIJ57" s="608"/>
      <c r="FIK57" s="608"/>
      <c r="FIL57" s="608"/>
      <c r="FIM57" s="608"/>
      <c r="FIN57" s="608"/>
      <c r="FIO57" s="608"/>
      <c r="FIP57" s="608"/>
      <c r="FIQ57" s="608"/>
      <c r="FIR57" s="608"/>
      <c r="FIS57" s="608"/>
      <c r="FIT57" s="608"/>
      <c r="FIU57" s="608"/>
      <c r="FIV57" s="608"/>
      <c r="FIW57" s="608"/>
      <c r="FIX57" s="608"/>
      <c r="FIY57" s="608"/>
      <c r="FIZ57" s="608"/>
      <c r="FJA57" s="608"/>
      <c r="FJB57" s="608"/>
      <c r="FJC57" s="608"/>
      <c r="FJD57" s="608"/>
      <c r="FJE57" s="608"/>
      <c r="FJF57" s="608"/>
      <c r="FJG57" s="608"/>
      <c r="FJH57" s="608"/>
      <c r="FJI57" s="608"/>
      <c r="FJJ57" s="608"/>
      <c r="FJK57" s="608"/>
      <c r="FJL57" s="608"/>
      <c r="FJM57" s="608"/>
      <c r="FJN57" s="608"/>
      <c r="FJO57" s="608"/>
      <c r="FJP57" s="608"/>
      <c r="FJQ57" s="608"/>
      <c r="FJR57" s="608"/>
      <c r="FJS57" s="608"/>
      <c r="FJT57" s="608"/>
      <c r="FJU57" s="608"/>
      <c r="FJV57" s="608"/>
      <c r="FJW57" s="608"/>
      <c r="FJX57" s="608"/>
      <c r="FJY57" s="608"/>
      <c r="FJZ57" s="608"/>
      <c r="FKA57" s="608"/>
      <c r="FKB57" s="608"/>
      <c r="FKC57" s="608"/>
      <c r="FKD57" s="608"/>
      <c r="FKE57" s="608"/>
      <c r="FKF57" s="608"/>
      <c r="FKG57" s="608"/>
      <c r="FKH57" s="608"/>
      <c r="FKI57" s="608"/>
      <c r="FKJ57" s="608"/>
      <c r="FKK57" s="608"/>
      <c r="FKL57" s="608"/>
      <c r="FKM57" s="608"/>
      <c r="FKN57" s="608"/>
      <c r="FKO57" s="608"/>
      <c r="FKP57" s="608"/>
      <c r="FKQ57" s="608"/>
      <c r="FKR57" s="608"/>
      <c r="FKS57" s="608"/>
      <c r="FKT57" s="608"/>
      <c r="FKU57" s="608"/>
      <c r="FKV57" s="608"/>
      <c r="FKW57" s="608"/>
      <c r="FKX57" s="608"/>
      <c r="FKY57" s="608"/>
      <c r="FKZ57" s="608"/>
      <c r="FLA57" s="608"/>
      <c r="FLB57" s="608"/>
      <c r="FLC57" s="608"/>
      <c r="FLD57" s="608"/>
      <c r="FLE57" s="608"/>
      <c r="FLF57" s="608"/>
      <c r="FLG57" s="608"/>
      <c r="FLH57" s="608"/>
      <c r="FLI57" s="608"/>
      <c r="FLJ57" s="608"/>
      <c r="FLK57" s="608"/>
      <c r="FLL57" s="608"/>
      <c r="FLM57" s="608"/>
      <c r="FLN57" s="608"/>
      <c r="FLO57" s="608"/>
      <c r="FLP57" s="608"/>
      <c r="FLQ57" s="608"/>
      <c r="FLR57" s="608"/>
      <c r="FLS57" s="608"/>
      <c r="FLT57" s="608"/>
      <c r="FLU57" s="608"/>
      <c r="FLV57" s="608"/>
      <c r="FLW57" s="608"/>
      <c r="FLX57" s="608"/>
      <c r="FLY57" s="608"/>
      <c r="FLZ57" s="608"/>
      <c r="FMA57" s="608"/>
      <c r="FMB57" s="608"/>
      <c r="FMC57" s="608"/>
      <c r="FMD57" s="608"/>
      <c r="FME57" s="608"/>
      <c r="FMF57" s="608"/>
      <c r="FMG57" s="608"/>
      <c r="FMH57" s="608"/>
      <c r="FMI57" s="608"/>
      <c r="FMJ57" s="608"/>
      <c r="FMK57" s="608"/>
      <c r="FML57" s="608"/>
      <c r="FMM57" s="608"/>
      <c r="FMN57" s="608"/>
      <c r="FMO57" s="608"/>
      <c r="FMP57" s="608"/>
      <c r="FMQ57" s="608"/>
      <c r="FMR57" s="608"/>
      <c r="FMS57" s="608"/>
      <c r="FMT57" s="608"/>
      <c r="FMU57" s="608"/>
      <c r="FMV57" s="608"/>
      <c r="FMW57" s="608"/>
      <c r="FMX57" s="608"/>
      <c r="FMY57" s="608"/>
      <c r="FMZ57" s="608"/>
      <c r="FNA57" s="608"/>
      <c r="FNB57" s="608"/>
      <c r="FNC57" s="608"/>
      <c r="FND57" s="608"/>
      <c r="FNE57" s="608"/>
      <c r="FNF57" s="608"/>
      <c r="FNG57" s="608"/>
      <c r="FNH57" s="608"/>
      <c r="FNI57" s="608"/>
      <c r="FNJ57" s="608"/>
      <c r="FNK57" s="608"/>
      <c r="FNL57" s="608"/>
      <c r="FNM57" s="608"/>
      <c r="FNN57" s="608"/>
      <c r="FNO57" s="608"/>
      <c r="FNP57" s="608"/>
      <c r="FNQ57" s="608"/>
      <c r="FNR57" s="608"/>
      <c r="FNS57" s="608"/>
      <c r="FNT57" s="608"/>
      <c r="FNU57" s="608"/>
      <c r="FNV57" s="608"/>
      <c r="FNW57" s="608"/>
      <c r="FNX57" s="608"/>
      <c r="FNY57" s="608"/>
      <c r="FNZ57" s="608"/>
      <c r="FOA57" s="608"/>
      <c r="FOB57" s="608"/>
      <c r="FOC57" s="608"/>
      <c r="FOD57" s="608"/>
      <c r="FOE57" s="608"/>
      <c r="FOF57" s="608"/>
      <c r="FOG57" s="608"/>
      <c r="FOH57" s="608"/>
      <c r="FOI57" s="608"/>
      <c r="FOJ57" s="608"/>
      <c r="FOK57" s="608"/>
      <c r="FOL57" s="608"/>
      <c r="FOM57" s="608"/>
      <c r="FON57" s="608"/>
      <c r="FOO57" s="608"/>
      <c r="FOP57" s="608"/>
      <c r="FOQ57" s="608"/>
      <c r="FOR57" s="608"/>
      <c r="FOS57" s="608"/>
      <c r="FOT57" s="608"/>
      <c r="FOU57" s="608"/>
      <c r="FOV57" s="608"/>
      <c r="FOW57" s="608"/>
      <c r="FOX57" s="608"/>
      <c r="FOY57" s="608"/>
      <c r="FOZ57" s="608"/>
      <c r="FPA57" s="608"/>
      <c r="FPB57" s="608"/>
      <c r="FPC57" s="608"/>
      <c r="FPD57" s="608"/>
      <c r="FPE57" s="608"/>
      <c r="FPF57" s="608"/>
      <c r="FPG57" s="608"/>
      <c r="FPH57" s="608"/>
      <c r="FPI57" s="608"/>
      <c r="FPJ57" s="608"/>
      <c r="FPK57" s="608"/>
      <c r="FPL57" s="608"/>
      <c r="FPM57" s="608"/>
      <c r="FPN57" s="608"/>
      <c r="FPO57" s="608"/>
      <c r="FPP57" s="608"/>
      <c r="FPQ57" s="608"/>
      <c r="FPR57" s="608"/>
      <c r="FPS57" s="608"/>
      <c r="FPT57" s="608"/>
      <c r="FPU57" s="608"/>
      <c r="FPV57" s="608"/>
      <c r="FPW57" s="608"/>
      <c r="FPX57" s="608"/>
      <c r="FPY57" s="608"/>
      <c r="FPZ57" s="608"/>
      <c r="FQA57" s="608"/>
      <c r="FQB57" s="608"/>
      <c r="FQC57" s="608"/>
      <c r="FQD57" s="608"/>
      <c r="FQE57" s="608"/>
      <c r="FQF57" s="608"/>
      <c r="FQG57" s="608"/>
      <c r="FQH57" s="608"/>
      <c r="FQI57" s="608"/>
      <c r="FQJ57" s="608"/>
      <c r="FQK57" s="608"/>
      <c r="FQL57" s="608"/>
      <c r="FQM57" s="608"/>
      <c r="FQN57" s="608"/>
      <c r="FQO57" s="608"/>
      <c r="FQP57" s="608"/>
      <c r="FQQ57" s="608"/>
      <c r="FQR57" s="608"/>
      <c r="FQS57" s="608"/>
      <c r="FQT57" s="608"/>
      <c r="FQU57" s="608"/>
      <c r="FQV57" s="608"/>
      <c r="FQW57" s="608"/>
      <c r="FQX57" s="608"/>
      <c r="FQY57" s="608"/>
      <c r="FQZ57" s="608"/>
      <c r="FRA57" s="608"/>
      <c r="FRB57" s="608"/>
      <c r="FRC57" s="608"/>
      <c r="FRD57" s="608"/>
      <c r="FRE57" s="608"/>
      <c r="FRF57" s="608"/>
      <c r="FRG57" s="608"/>
      <c r="FRH57" s="608"/>
      <c r="FRI57" s="608"/>
      <c r="FRJ57" s="608"/>
      <c r="FRK57" s="608"/>
      <c r="FRL57" s="608"/>
      <c r="FRM57" s="608"/>
      <c r="FRN57" s="608"/>
      <c r="FRO57" s="608"/>
      <c r="FRP57" s="608"/>
      <c r="FRQ57" s="608"/>
      <c r="FRR57" s="608"/>
      <c r="FRS57" s="608"/>
      <c r="FRT57" s="608"/>
      <c r="FRU57" s="608"/>
      <c r="FRV57" s="608"/>
      <c r="FRW57" s="608"/>
      <c r="FRX57" s="608"/>
      <c r="FRY57" s="608"/>
      <c r="FRZ57" s="608"/>
      <c r="FSA57" s="608"/>
      <c r="FSB57" s="608"/>
      <c r="FSC57" s="608"/>
      <c r="FSD57" s="608"/>
      <c r="FSE57" s="608"/>
      <c r="FSF57" s="608"/>
      <c r="FSG57" s="608"/>
      <c r="FSH57" s="608"/>
      <c r="FSI57" s="608"/>
      <c r="FSJ57" s="608"/>
      <c r="FSK57" s="608"/>
      <c r="FSL57" s="608"/>
      <c r="FSM57" s="608"/>
      <c r="FSN57" s="608"/>
      <c r="FSO57" s="608"/>
      <c r="FSP57" s="608"/>
      <c r="FSQ57" s="608"/>
      <c r="FSR57" s="608"/>
      <c r="FSS57" s="608"/>
      <c r="FST57" s="608"/>
      <c r="FSU57" s="608"/>
      <c r="FSV57" s="608"/>
      <c r="FSW57" s="608"/>
      <c r="FSX57" s="608"/>
      <c r="FSY57" s="608"/>
      <c r="FSZ57" s="608"/>
      <c r="FTA57" s="608"/>
      <c r="FTB57" s="608"/>
      <c r="FTC57" s="608"/>
      <c r="FTD57" s="608"/>
      <c r="FTE57" s="608"/>
      <c r="FTF57" s="608"/>
      <c r="FTG57" s="608"/>
      <c r="FTH57" s="608"/>
      <c r="FTI57" s="608"/>
      <c r="FTJ57" s="608"/>
      <c r="FTK57" s="608"/>
      <c r="FTL57" s="608"/>
      <c r="FTM57" s="608"/>
      <c r="FTN57" s="608"/>
      <c r="FTO57" s="608"/>
      <c r="FTP57" s="608"/>
      <c r="FTQ57" s="608"/>
      <c r="FTR57" s="608"/>
      <c r="FTS57" s="608"/>
      <c r="FTT57" s="608"/>
      <c r="FTU57" s="608"/>
      <c r="FTV57" s="608"/>
      <c r="FTW57" s="608"/>
      <c r="FTX57" s="608"/>
      <c r="FTY57" s="608"/>
      <c r="FTZ57" s="608"/>
      <c r="FUA57" s="608"/>
      <c r="FUB57" s="608"/>
      <c r="FUC57" s="608"/>
      <c r="FUD57" s="608"/>
      <c r="FUE57" s="608"/>
      <c r="FUF57" s="608"/>
      <c r="FUG57" s="608"/>
      <c r="FUH57" s="608"/>
      <c r="FUI57" s="608"/>
      <c r="FUJ57" s="608"/>
      <c r="FUK57" s="608"/>
      <c r="FUL57" s="608"/>
      <c r="FUM57" s="608"/>
      <c r="FUN57" s="608"/>
      <c r="FUO57" s="608"/>
      <c r="FUP57" s="608"/>
      <c r="FUQ57" s="608"/>
      <c r="FUR57" s="608"/>
      <c r="FUS57" s="608"/>
      <c r="FUT57" s="608"/>
      <c r="FUU57" s="608"/>
      <c r="FUV57" s="608"/>
      <c r="FUW57" s="608"/>
      <c r="FUX57" s="608"/>
      <c r="FUY57" s="608"/>
      <c r="FUZ57" s="608"/>
      <c r="FVA57" s="608"/>
      <c r="FVB57" s="608"/>
      <c r="FVC57" s="608"/>
      <c r="FVD57" s="608"/>
      <c r="FVE57" s="608"/>
      <c r="FVF57" s="608"/>
      <c r="FVG57" s="608"/>
      <c r="FVH57" s="608"/>
      <c r="FVI57" s="608"/>
      <c r="FVJ57" s="608"/>
      <c r="FVK57" s="608"/>
      <c r="FVL57" s="608"/>
      <c r="FVM57" s="608"/>
      <c r="FVN57" s="608"/>
      <c r="FVO57" s="608"/>
      <c r="FVP57" s="608"/>
      <c r="FVQ57" s="608"/>
      <c r="FVR57" s="608"/>
      <c r="FVS57" s="608"/>
      <c r="FVT57" s="608"/>
      <c r="FVU57" s="608"/>
      <c r="FVV57" s="608"/>
      <c r="FVW57" s="608"/>
      <c r="FVX57" s="608"/>
      <c r="FVY57" s="608"/>
      <c r="FVZ57" s="608"/>
      <c r="FWA57" s="608"/>
      <c r="FWB57" s="608"/>
      <c r="FWC57" s="608"/>
      <c r="FWD57" s="608"/>
      <c r="FWE57" s="608"/>
      <c r="FWF57" s="608"/>
      <c r="FWG57" s="608"/>
      <c r="FWH57" s="608"/>
      <c r="FWI57" s="608"/>
      <c r="FWJ57" s="608"/>
      <c r="FWK57" s="608"/>
      <c r="FWL57" s="608"/>
      <c r="FWM57" s="608"/>
      <c r="FWN57" s="608"/>
      <c r="FWO57" s="608"/>
      <c r="FWP57" s="608"/>
      <c r="FWQ57" s="608"/>
      <c r="FWR57" s="608"/>
      <c r="FWS57" s="608"/>
      <c r="FWT57" s="608"/>
      <c r="FWU57" s="608"/>
      <c r="FWV57" s="608"/>
      <c r="FWW57" s="608"/>
      <c r="FWX57" s="608"/>
      <c r="FWY57" s="608"/>
      <c r="FWZ57" s="608"/>
      <c r="FXA57" s="608"/>
      <c r="FXB57" s="608"/>
      <c r="FXC57" s="608"/>
      <c r="FXD57" s="608"/>
      <c r="FXE57" s="608"/>
      <c r="FXF57" s="608"/>
      <c r="FXG57" s="608"/>
      <c r="FXH57" s="608"/>
      <c r="FXI57" s="608"/>
      <c r="FXJ57" s="608"/>
      <c r="FXK57" s="608"/>
      <c r="FXL57" s="608"/>
      <c r="FXM57" s="608"/>
      <c r="FXN57" s="608"/>
      <c r="FXO57" s="608"/>
      <c r="FXP57" s="608"/>
      <c r="FXQ57" s="608"/>
      <c r="FXR57" s="608"/>
      <c r="FXS57" s="608"/>
      <c r="FXT57" s="608"/>
      <c r="FXU57" s="608"/>
      <c r="FXV57" s="608"/>
      <c r="FXW57" s="608"/>
      <c r="FXX57" s="608"/>
      <c r="FXY57" s="608"/>
      <c r="FXZ57" s="608"/>
      <c r="FYA57" s="608"/>
      <c r="FYB57" s="608"/>
      <c r="FYC57" s="608"/>
      <c r="FYD57" s="608"/>
      <c r="FYE57" s="608"/>
      <c r="FYF57" s="608"/>
      <c r="FYG57" s="608"/>
      <c r="FYH57" s="608"/>
      <c r="FYI57" s="608"/>
      <c r="FYJ57" s="608"/>
      <c r="FYK57" s="608"/>
      <c r="FYL57" s="608"/>
      <c r="FYM57" s="608"/>
      <c r="FYN57" s="608"/>
      <c r="FYO57" s="608"/>
      <c r="FYP57" s="608"/>
      <c r="FYQ57" s="608"/>
      <c r="FYR57" s="608"/>
      <c r="FYS57" s="608"/>
      <c r="FYT57" s="608"/>
      <c r="FYU57" s="608"/>
      <c r="FYV57" s="608"/>
      <c r="FYW57" s="608"/>
      <c r="FYX57" s="608"/>
      <c r="FYY57" s="608"/>
      <c r="FYZ57" s="608"/>
      <c r="FZA57" s="608"/>
      <c r="FZB57" s="608"/>
      <c r="FZC57" s="608"/>
      <c r="FZD57" s="608"/>
      <c r="FZE57" s="608"/>
      <c r="FZF57" s="608"/>
      <c r="FZG57" s="608"/>
      <c r="FZH57" s="608"/>
      <c r="FZI57" s="608"/>
      <c r="FZJ57" s="608"/>
      <c r="FZK57" s="608"/>
      <c r="FZL57" s="608"/>
      <c r="FZM57" s="608"/>
      <c r="FZN57" s="608"/>
      <c r="FZO57" s="608"/>
      <c r="FZP57" s="608"/>
      <c r="FZQ57" s="608"/>
      <c r="FZR57" s="608"/>
      <c r="FZS57" s="608"/>
      <c r="FZT57" s="608"/>
      <c r="FZU57" s="608"/>
      <c r="FZV57" s="608"/>
      <c r="FZW57" s="608"/>
      <c r="FZX57" s="608"/>
      <c r="FZY57" s="608"/>
      <c r="FZZ57" s="608"/>
      <c r="GAA57" s="608"/>
      <c r="GAB57" s="608"/>
      <c r="GAC57" s="608"/>
      <c r="GAD57" s="608"/>
      <c r="GAE57" s="608"/>
      <c r="GAF57" s="608"/>
      <c r="GAG57" s="608"/>
      <c r="GAH57" s="608"/>
      <c r="GAI57" s="608"/>
      <c r="GAJ57" s="608"/>
      <c r="GAK57" s="608"/>
      <c r="GAL57" s="608"/>
      <c r="GAM57" s="608"/>
      <c r="GAN57" s="608"/>
      <c r="GAO57" s="608"/>
      <c r="GAP57" s="608"/>
      <c r="GAQ57" s="608"/>
      <c r="GAR57" s="608"/>
      <c r="GAS57" s="608"/>
      <c r="GAT57" s="608"/>
      <c r="GAU57" s="608"/>
      <c r="GAV57" s="608"/>
      <c r="GAW57" s="608"/>
      <c r="GAX57" s="608"/>
      <c r="GAY57" s="608"/>
      <c r="GAZ57" s="608"/>
      <c r="GBA57" s="608"/>
      <c r="GBB57" s="608"/>
      <c r="GBC57" s="608"/>
      <c r="GBD57" s="608"/>
      <c r="GBE57" s="608"/>
      <c r="GBF57" s="608"/>
      <c r="GBG57" s="608"/>
      <c r="GBH57" s="608"/>
      <c r="GBI57" s="608"/>
      <c r="GBJ57" s="608"/>
      <c r="GBK57" s="608"/>
      <c r="GBL57" s="608"/>
      <c r="GBM57" s="608"/>
      <c r="GBN57" s="608"/>
      <c r="GBO57" s="608"/>
      <c r="GBP57" s="608"/>
      <c r="GBQ57" s="608"/>
      <c r="GBR57" s="608"/>
      <c r="GBS57" s="608"/>
      <c r="GBT57" s="608"/>
      <c r="GBU57" s="608"/>
      <c r="GBV57" s="608"/>
      <c r="GBW57" s="608"/>
      <c r="GBX57" s="608"/>
      <c r="GBY57" s="608"/>
      <c r="GBZ57" s="608"/>
      <c r="GCA57" s="608"/>
      <c r="GCB57" s="608"/>
      <c r="GCC57" s="608"/>
      <c r="GCD57" s="608"/>
      <c r="GCE57" s="608"/>
      <c r="GCF57" s="608"/>
      <c r="GCG57" s="608"/>
      <c r="GCH57" s="608"/>
      <c r="GCI57" s="608"/>
      <c r="GCJ57" s="608"/>
      <c r="GCK57" s="608"/>
      <c r="GCL57" s="608"/>
      <c r="GCM57" s="608"/>
      <c r="GCN57" s="608"/>
      <c r="GCO57" s="608"/>
      <c r="GCP57" s="608"/>
      <c r="GCQ57" s="608"/>
      <c r="GCR57" s="608"/>
      <c r="GCS57" s="608"/>
      <c r="GCT57" s="608"/>
      <c r="GCU57" s="608"/>
      <c r="GCV57" s="608"/>
      <c r="GCW57" s="608"/>
      <c r="GCX57" s="608"/>
      <c r="GCY57" s="608"/>
      <c r="GCZ57" s="608"/>
      <c r="GDA57" s="608"/>
      <c r="GDB57" s="608"/>
      <c r="GDC57" s="608"/>
      <c r="GDD57" s="608"/>
      <c r="GDE57" s="608"/>
      <c r="GDF57" s="608"/>
      <c r="GDG57" s="608"/>
      <c r="GDH57" s="608"/>
      <c r="GDI57" s="608"/>
      <c r="GDJ57" s="608"/>
      <c r="GDK57" s="608"/>
      <c r="GDL57" s="608"/>
      <c r="GDM57" s="608"/>
      <c r="GDN57" s="608"/>
      <c r="GDO57" s="608"/>
      <c r="GDP57" s="608"/>
      <c r="GDQ57" s="608"/>
      <c r="GDR57" s="608"/>
      <c r="GDS57" s="608"/>
      <c r="GDT57" s="608"/>
      <c r="GDU57" s="608"/>
      <c r="GDV57" s="608"/>
      <c r="GDW57" s="608"/>
      <c r="GDX57" s="608"/>
      <c r="GDY57" s="608"/>
      <c r="GDZ57" s="608"/>
      <c r="GEA57" s="608"/>
      <c r="GEB57" s="608"/>
      <c r="GEC57" s="608"/>
      <c r="GED57" s="608"/>
      <c r="GEE57" s="608"/>
      <c r="GEF57" s="608"/>
      <c r="GEG57" s="608"/>
      <c r="GEH57" s="608"/>
      <c r="GEI57" s="608"/>
      <c r="GEJ57" s="608"/>
      <c r="GEK57" s="608"/>
      <c r="GEL57" s="608"/>
      <c r="GEM57" s="608"/>
      <c r="GEN57" s="608"/>
      <c r="GEO57" s="608"/>
      <c r="GEP57" s="608"/>
      <c r="GEQ57" s="608"/>
      <c r="GER57" s="608"/>
      <c r="GES57" s="608"/>
      <c r="GET57" s="608"/>
      <c r="GEU57" s="608"/>
      <c r="GEV57" s="608"/>
      <c r="GEW57" s="608"/>
      <c r="GEX57" s="608"/>
      <c r="GEY57" s="608"/>
      <c r="GEZ57" s="608"/>
      <c r="GFA57" s="608"/>
      <c r="GFB57" s="608"/>
      <c r="GFC57" s="608"/>
      <c r="GFD57" s="608"/>
      <c r="GFE57" s="608"/>
      <c r="GFF57" s="608"/>
      <c r="GFG57" s="608"/>
      <c r="GFH57" s="608"/>
      <c r="GFI57" s="608"/>
      <c r="GFJ57" s="608"/>
      <c r="GFK57" s="608"/>
      <c r="GFL57" s="608"/>
      <c r="GFM57" s="608"/>
      <c r="GFN57" s="608"/>
      <c r="GFO57" s="608"/>
      <c r="GFP57" s="608"/>
      <c r="GFQ57" s="608"/>
      <c r="GFR57" s="608"/>
      <c r="GFS57" s="608"/>
      <c r="GFT57" s="608"/>
      <c r="GFU57" s="608"/>
      <c r="GFV57" s="608"/>
      <c r="GFW57" s="608"/>
      <c r="GFX57" s="608"/>
      <c r="GFY57" s="608"/>
      <c r="GFZ57" s="608"/>
      <c r="GGA57" s="608"/>
      <c r="GGB57" s="608"/>
      <c r="GGC57" s="608"/>
      <c r="GGD57" s="608"/>
      <c r="GGE57" s="608"/>
      <c r="GGF57" s="608"/>
      <c r="GGG57" s="608"/>
      <c r="GGH57" s="608"/>
      <c r="GGI57" s="608"/>
      <c r="GGJ57" s="608"/>
      <c r="GGK57" s="608"/>
      <c r="GGL57" s="608"/>
      <c r="GGM57" s="608"/>
      <c r="GGN57" s="608"/>
      <c r="GGO57" s="608"/>
      <c r="GGP57" s="608"/>
      <c r="GGQ57" s="608"/>
      <c r="GGR57" s="608"/>
      <c r="GGS57" s="608"/>
      <c r="GGT57" s="608"/>
      <c r="GGU57" s="608"/>
      <c r="GGV57" s="608"/>
      <c r="GGW57" s="608"/>
      <c r="GGX57" s="608"/>
      <c r="GGY57" s="608"/>
      <c r="GGZ57" s="608"/>
      <c r="GHA57" s="608"/>
      <c r="GHB57" s="608"/>
      <c r="GHC57" s="608"/>
      <c r="GHD57" s="608"/>
      <c r="GHE57" s="608"/>
      <c r="GHF57" s="608"/>
      <c r="GHG57" s="608"/>
      <c r="GHH57" s="608"/>
      <c r="GHI57" s="608"/>
      <c r="GHJ57" s="608"/>
      <c r="GHK57" s="608"/>
      <c r="GHL57" s="608"/>
      <c r="GHM57" s="608"/>
      <c r="GHN57" s="608"/>
      <c r="GHO57" s="608"/>
      <c r="GHP57" s="608"/>
      <c r="GHQ57" s="608"/>
      <c r="GHR57" s="608"/>
      <c r="GHS57" s="608"/>
      <c r="GHT57" s="608"/>
      <c r="GHU57" s="608"/>
      <c r="GHV57" s="608"/>
      <c r="GHW57" s="608"/>
      <c r="GHX57" s="608"/>
      <c r="GHY57" s="608"/>
      <c r="GHZ57" s="608"/>
      <c r="GIA57" s="608"/>
      <c r="GIB57" s="608"/>
      <c r="GIC57" s="608"/>
      <c r="GID57" s="608"/>
      <c r="GIE57" s="608"/>
      <c r="GIF57" s="608"/>
      <c r="GIG57" s="608"/>
      <c r="GIH57" s="608"/>
      <c r="GII57" s="608"/>
      <c r="GIJ57" s="608"/>
      <c r="GIK57" s="608"/>
      <c r="GIL57" s="608"/>
      <c r="GIM57" s="608"/>
      <c r="GIN57" s="608"/>
      <c r="GIO57" s="608"/>
      <c r="GIP57" s="608"/>
      <c r="GIQ57" s="608"/>
      <c r="GIR57" s="608"/>
      <c r="GIS57" s="608"/>
      <c r="GIT57" s="608"/>
      <c r="GIU57" s="608"/>
      <c r="GIV57" s="608"/>
      <c r="GIW57" s="608"/>
      <c r="GIX57" s="608"/>
      <c r="GIY57" s="608"/>
      <c r="GIZ57" s="608"/>
      <c r="GJA57" s="608"/>
      <c r="GJB57" s="608"/>
      <c r="GJC57" s="608"/>
      <c r="GJD57" s="608"/>
      <c r="GJE57" s="608"/>
      <c r="GJF57" s="608"/>
      <c r="GJG57" s="608"/>
      <c r="GJH57" s="608"/>
      <c r="GJI57" s="608"/>
      <c r="GJJ57" s="608"/>
      <c r="GJK57" s="608"/>
      <c r="GJL57" s="608"/>
      <c r="GJM57" s="608"/>
      <c r="GJN57" s="608"/>
      <c r="GJO57" s="608"/>
      <c r="GJP57" s="608"/>
      <c r="GJQ57" s="608"/>
      <c r="GJR57" s="608"/>
      <c r="GJS57" s="608"/>
      <c r="GJT57" s="608"/>
      <c r="GJU57" s="608"/>
      <c r="GJV57" s="608"/>
      <c r="GJW57" s="608"/>
      <c r="GJX57" s="608"/>
      <c r="GJY57" s="608"/>
      <c r="GJZ57" s="608"/>
      <c r="GKA57" s="608"/>
      <c r="GKB57" s="608"/>
      <c r="GKC57" s="608"/>
      <c r="GKD57" s="608"/>
      <c r="GKE57" s="608"/>
      <c r="GKF57" s="608"/>
      <c r="GKG57" s="608"/>
      <c r="GKH57" s="608"/>
      <c r="GKI57" s="608"/>
      <c r="GKJ57" s="608"/>
      <c r="GKK57" s="608"/>
      <c r="GKL57" s="608"/>
      <c r="GKM57" s="608"/>
      <c r="GKN57" s="608"/>
      <c r="GKO57" s="608"/>
      <c r="GKP57" s="608"/>
      <c r="GKQ57" s="608"/>
      <c r="GKR57" s="608"/>
      <c r="GKS57" s="608"/>
      <c r="GKT57" s="608"/>
      <c r="GKU57" s="608"/>
      <c r="GKV57" s="608"/>
      <c r="GKW57" s="608"/>
      <c r="GKX57" s="608"/>
      <c r="GKY57" s="608"/>
      <c r="GKZ57" s="608"/>
      <c r="GLA57" s="608"/>
      <c r="GLB57" s="608"/>
      <c r="GLC57" s="608"/>
      <c r="GLD57" s="608"/>
      <c r="GLE57" s="608"/>
      <c r="GLF57" s="608"/>
      <c r="GLG57" s="608"/>
      <c r="GLH57" s="608"/>
      <c r="GLI57" s="608"/>
      <c r="GLJ57" s="608"/>
      <c r="GLK57" s="608"/>
      <c r="GLL57" s="608"/>
      <c r="GLM57" s="608"/>
      <c r="GLN57" s="608"/>
      <c r="GLO57" s="608"/>
      <c r="GLP57" s="608"/>
      <c r="GLQ57" s="608"/>
      <c r="GLR57" s="608"/>
      <c r="GLS57" s="608"/>
      <c r="GLT57" s="608"/>
      <c r="GLU57" s="608"/>
      <c r="GLV57" s="608"/>
      <c r="GLW57" s="608"/>
      <c r="GLX57" s="608"/>
      <c r="GLY57" s="608"/>
      <c r="GLZ57" s="608"/>
      <c r="GMA57" s="608"/>
      <c r="GMB57" s="608"/>
      <c r="GMC57" s="608"/>
      <c r="GMD57" s="608"/>
      <c r="GME57" s="608"/>
      <c r="GMF57" s="608"/>
      <c r="GMG57" s="608"/>
      <c r="GMH57" s="608"/>
      <c r="GMI57" s="608"/>
      <c r="GMJ57" s="608"/>
      <c r="GMK57" s="608"/>
      <c r="GML57" s="608"/>
      <c r="GMM57" s="608"/>
      <c r="GMN57" s="608"/>
      <c r="GMO57" s="608"/>
      <c r="GMP57" s="608"/>
      <c r="GMQ57" s="608"/>
      <c r="GMR57" s="608"/>
      <c r="GMS57" s="608"/>
      <c r="GMT57" s="608"/>
      <c r="GMU57" s="608"/>
      <c r="GMV57" s="608"/>
      <c r="GMW57" s="608"/>
      <c r="GMX57" s="608"/>
      <c r="GMY57" s="608"/>
      <c r="GMZ57" s="608"/>
      <c r="GNA57" s="608"/>
      <c r="GNB57" s="608"/>
      <c r="GNC57" s="608"/>
      <c r="GND57" s="608"/>
      <c r="GNE57" s="608"/>
      <c r="GNF57" s="608"/>
      <c r="GNG57" s="608"/>
      <c r="GNH57" s="608"/>
      <c r="GNI57" s="608"/>
      <c r="GNJ57" s="608"/>
      <c r="GNK57" s="608"/>
      <c r="GNL57" s="608"/>
      <c r="GNM57" s="608"/>
      <c r="GNN57" s="608"/>
      <c r="GNO57" s="608"/>
      <c r="GNP57" s="608"/>
      <c r="GNQ57" s="608"/>
      <c r="GNR57" s="608"/>
      <c r="GNS57" s="608"/>
      <c r="GNT57" s="608"/>
      <c r="GNU57" s="608"/>
      <c r="GNV57" s="608"/>
      <c r="GNW57" s="608"/>
      <c r="GNX57" s="608"/>
      <c r="GNY57" s="608"/>
      <c r="GNZ57" s="608"/>
      <c r="GOA57" s="608"/>
      <c r="GOB57" s="608"/>
      <c r="GOC57" s="608"/>
      <c r="GOD57" s="608"/>
      <c r="GOE57" s="608"/>
      <c r="GOF57" s="608"/>
      <c r="GOG57" s="608"/>
      <c r="GOH57" s="608"/>
      <c r="GOI57" s="608"/>
      <c r="GOJ57" s="608"/>
      <c r="GOK57" s="608"/>
      <c r="GOL57" s="608"/>
      <c r="GOM57" s="608"/>
      <c r="GON57" s="608"/>
      <c r="GOO57" s="608"/>
      <c r="GOP57" s="608"/>
      <c r="GOQ57" s="608"/>
      <c r="GOR57" s="608"/>
      <c r="GOS57" s="608"/>
      <c r="GOT57" s="608"/>
      <c r="GOU57" s="608"/>
      <c r="GOV57" s="608"/>
      <c r="GOW57" s="608"/>
      <c r="GOX57" s="608"/>
      <c r="GOY57" s="608"/>
      <c r="GOZ57" s="608"/>
      <c r="GPA57" s="608"/>
      <c r="GPB57" s="608"/>
      <c r="GPC57" s="608"/>
      <c r="GPD57" s="608"/>
      <c r="GPE57" s="608"/>
      <c r="GPF57" s="608"/>
      <c r="GPG57" s="608"/>
      <c r="GPH57" s="608"/>
      <c r="GPI57" s="608"/>
      <c r="GPJ57" s="608"/>
      <c r="GPK57" s="608"/>
      <c r="GPL57" s="608"/>
      <c r="GPM57" s="608"/>
      <c r="GPN57" s="608"/>
      <c r="GPO57" s="608"/>
      <c r="GPP57" s="608"/>
      <c r="GPQ57" s="608"/>
      <c r="GPR57" s="608"/>
      <c r="GPS57" s="608"/>
      <c r="GPT57" s="608"/>
      <c r="GPU57" s="608"/>
      <c r="GPV57" s="608"/>
      <c r="GPW57" s="608"/>
      <c r="GPX57" s="608"/>
      <c r="GPY57" s="608"/>
      <c r="GPZ57" s="608"/>
      <c r="GQA57" s="608"/>
      <c r="GQB57" s="608"/>
      <c r="GQC57" s="608"/>
      <c r="GQD57" s="608"/>
      <c r="GQE57" s="608"/>
      <c r="GQF57" s="608"/>
      <c r="GQG57" s="608"/>
      <c r="GQH57" s="608"/>
      <c r="GQI57" s="608"/>
      <c r="GQJ57" s="608"/>
      <c r="GQK57" s="608"/>
      <c r="GQL57" s="608"/>
      <c r="GQM57" s="608"/>
      <c r="GQN57" s="608"/>
      <c r="GQO57" s="608"/>
      <c r="GQP57" s="608"/>
      <c r="GQQ57" s="608"/>
      <c r="GQR57" s="608"/>
      <c r="GQS57" s="608"/>
      <c r="GQT57" s="608"/>
      <c r="GQU57" s="608"/>
      <c r="GQV57" s="608"/>
      <c r="GQW57" s="608"/>
      <c r="GQX57" s="608"/>
      <c r="GQY57" s="608"/>
      <c r="GQZ57" s="608"/>
      <c r="GRA57" s="608"/>
      <c r="GRB57" s="608"/>
      <c r="GRC57" s="608"/>
      <c r="GRD57" s="608"/>
      <c r="GRE57" s="608"/>
      <c r="GRF57" s="608"/>
      <c r="GRG57" s="608"/>
      <c r="GRH57" s="608"/>
      <c r="GRI57" s="608"/>
      <c r="GRJ57" s="608"/>
      <c r="GRK57" s="608"/>
      <c r="GRL57" s="608"/>
      <c r="GRM57" s="608"/>
      <c r="GRN57" s="608"/>
      <c r="GRO57" s="608"/>
      <c r="GRP57" s="608"/>
      <c r="GRQ57" s="608"/>
      <c r="GRR57" s="608"/>
      <c r="GRS57" s="608"/>
      <c r="GRT57" s="608"/>
      <c r="GRU57" s="608"/>
      <c r="GRV57" s="608"/>
      <c r="GRW57" s="608"/>
      <c r="GRX57" s="608"/>
      <c r="GRY57" s="608"/>
      <c r="GRZ57" s="608"/>
      <c r="GSA57" s="608"/>
      <c r="GSB57" s="608"/>
      <c r="GSC57" s="608"/>
      <c r="GSD57" s="608"/>
      <c r="GSE57" s="608"/>
      <c r="GSF57" s="608"/>
      <c r="GSG57" s="608"/>
      <c r="GSH57" s="608"/>
      <c r="GSI57" s="608"/>
      <c r="GSJ57" s="608"/>
      <c r="GSK57" s="608"/>
      <c r="GSL57" s="608"/>
      <c r="GSM57" s="608"/>
      <c r="GSN57" s="608"/>
      <c r="GSO57" s="608"/>
      <c r="GSP57" s="608"/>
      <c r="GSQ57" s="608"/>
      <c r="GSR57" s="608"/>
      <c r="GSS57" s="608"/>
      <c r="GST57" s="608"/>
      <c r="GSU57" s="608"/>
      <c r="GSV57" s="608"/>
      <c r="GSW57" s="608"/>
      <c r="GSX57" s="608"/>
      <c r="GSY57" s="608"/>
      <c r="GSZ57" s="608"/>
      <c r="GTA57" s="608"/>
      <c r="GTB57" s="608"/>
      <c r="GTC57" s="608"/>
      <c r="GTD57" s="608"/>
      <c r="GTE57" s="608"/>
      <c r="GTF57" s="608"/>
      <c r="GTG57" s="608"/>
      <c r="GTH57" s="608"/>
      <c r="GTI57" s="608"/>
      <c r="GTJ57" s="608"/>
      <c r="GTK57" s="608"/>
      <c r="GTL57" s="608"/>
      <c r="GTM57" s="608"/>
      <c r="GTN57" s="608"/>
      <c r="GTO57" s="608"/>
      <c r="GTP57" s="608"/>
      <c r="GTQ57" s="608"/>
      <c r="GTR57" s="608"/>
      <c r="GTS57" s="608"/>
      <c r="GTT57" s="608"/>
      <c r="GTU57" s="608"/>
      <c r="GTV57" s="608"/>
      <c r="GTW57" s="608"/>
      <c r="GTX57" s="608"/>
      <c r="GTY57" s="608"/>
      <c r="GTZ57" s="608"/>
      <c r="GUA57" s="608"/>
      <c r="GUB57" s="608"/>
      <c r="GUC57" s="608"/>
      <c r="GUD57" s="608"/>
      <c r="GUE57" s="608"/>
      <c r="GUF57" s="608"/>
      <c r="GUG57" s="608"/>
      <c r="GUH57" s="608"/>
      <c r="GUI57" s="608"/>
      <c r="GUJ57" s="608"/>
      <c r="GUK57" s="608"/>
      <c r="GUL57" s="608"/>
      <c r="GUM57" s="608"/>
      <c r="GUN57" s="608"/>
      <c r="GUO57" s="608"/>
      <c r="GUP57" s="608"/>
      <c r="GUQ57" s="608"/>
      <c r="GUR57" s="608"/>
      <c r="GUS57" s="608"/>
      <c r="GUT57" s="608"/>
      <c r="GUU57" s="608"/>
      <c r="GUV57" s="608"/>
      <c r="GUW57" s="608"/>
      <c r="GUX57" s="608"/>
      <c r="GUY57" s="608"/>
      <c r="GUZ57" s="608"/>
      <c r="GVA57" s="608"/>
      <c r="GVB57" s="608"/>
      <c r="GVC57" s="608"/>
      <c r="GVD57" s="608"/>
      <c r="GVE57" s="608"/>
      <c r="GVF57" s="608"/>
      <c r="GVG57" s="608"/>
      <c r="GVH57" s="608"/>
      <c r="GVI57" s="608"/>
      <c r="GVJ57" s="608"/>
      <c r="GVK57" s="608"/>
      <c r="GVL57" s="608"/>
      <c r="GVM57" s="608"/>
      <c r="GVN57" s="608"/>
      <c r="GVO57" s="608"/>
      <c r="GVP57" s="608"/>
      <c r="GVQ57" s="608"/>
      <c r="GVR57" s="608"/>
      <c r="GVS57" s="608"/>
      <c r="GVT57" s="608"/>
      <c r="GVU57" s="608"/>
      <c r="GVV57" s="608"/>
      <c r="GVW57" s="608"/>
      <c r="GVX57" s="608"/>
      <c r="GVY57" s="608"/>
      <c r="GVZ57" s="608"/>
      <c r="GWA57" s="608"/>
      <c r="GWB57" s="608"/>
      <c r="GWC57" s="608"/>
      <c r="GWD57" s="608"/>
      <c r="GWE57" s="608"/>
      <c r="GWF57" s="608"/>
      <c r="GWG57" s="608"/>
      <c r="GWH57" s="608"/>
      <c r="GWI57" s="608"/>
      <c r="GWJ57" s="608"/>
      <c r="GWK57" s="608"/>
      <c r="GWL57" s="608"/>
      <c r="GWM57" s="608"/>
      <c r="GWN57" s="608"/>
      <c r="GWO57" s="608"/>
      <c r="GWP57" s="608"/>
      <c r="GWQ57" s="608"/>
      <c r="GWR57" s="608"/>
      <c r="GWS57" s="608"/>
      <c r="GWT57" s="608"/>
      <c r="GWU57" s="608"/>
      <c r="GWV57" s="608"/>
      <c r="GWW57" s="608"/>
      <c r="GWX57" s="608"/>
      <c r="GWY57" s="608"/>
      <c r="GWZ57" s="608"/>
      <c r="GXA57" s="608"/>
      <c r="GXB57" s="608"/>
      <c r="GXC57" s="608"/>
      <c r="GXD57" s="608"/>
      <c r="GXE57" s="608"/>
      <c r="GXF57" s="608"/>
      <c r="GXG57" s="608"/>
      <c r="GXH57" s="608"/>
      <c r="GXI57" s="608"/>
      <c r="GXJ57" s="608"/>
      <c r="GXK57" s="608"/>
      <c r="GXL57" s="608"/>
      <c r="GXM57" s="608"/>
      <c r="GXN57" s="608"/>
      <c r="GXO57" s="608"/>
      <c r="GXP57" s="608"/>
      <c r="GXQ57" s="608"/>
      <c r="GXR57" s="608"/>
      <c r="GXS57" s="608"/>
      <c r="GXT57" s="608"/>
      <c r="GXU57" s="608"/>
      <c r="GXV57" s="608"/>
      <c r="GXW57" s="608"/>
      <c r="GXX57" s="608"/>
      <c r="GXY57" s="608"/>
      <c r="GXZ57" s="608"/>
      <c r="GYA57" s="608"/>
      <c r="GYB57" s="608"/>
      <c r="GYC57" s="608"/>
      <c r="GYD57" s="608"/>
      <c r="GYE57" s="608"/>
      <c r="GYF57" s="608"/>
      <c r="GYG57" s="608"/>
      <c r="GYH57" s="608"/>
      <c r="GYI57" s="608"/>
      <c r="GYJ57" s="608"/>
      <c r="GYK57" s="608"/>
      <c r="GYL57" s="608"/>
      <c r="GYM57" s="608"/>
      <c r="GYN57" s="608"/>
      <c r="GYO57" s="608"/>
      <c r="GYP57" s="608"/>
      <c r="GYQ57" s="608"/>
      <c r="GYR57" s="608"/>
      <c r="GYS57" s="608"/>
      <c r="GYT57" s="608"/>
      <c r="GYU57" s="608"/>
      <c r="GYV57" s="608"/>
      <c r="GYW57" s="608"/>
      <c r="GYX57" s="608"/>
      <c r="GYY57" s="608"/>
      <c r="GYZ57" s="608"/>
      <c r="GZA57" s="608"/>
      <c r="GZB57" s="608"/>
      <c r="GZC57" s="608"/>
      <c r="GZD57" s="608"/>
      <c r="GZE57" s="608"/>
      <c r="GZF57" s="608"/>
      <c r="GZG57" s="608"/>
      <c r="GZH57" s="608"/>
      <c r="GZI57" s="608"/>
      <c r="GZJ57" s="608"/>
      <c r="GZK57" s="608"/>
      <c r="GZL57" s="608"/>
      <c r="GZM57" s="608"/>
      <c r="GZN57" s="608"/>
      <c r="GZO57" s="608"/>
      <c r="GZP57" s="608"/>
      <c r="GZQ57" s="608"/>
      <c r="GZR57" s="608"/>
      <c r="GZS57" s="608"/>
      <c r="GZT57" s="608"/>
      <c r="GZU57" s="608"/>
      <c r="GZV57" s="608"/>
      <c r="GZW57" s="608"/>
      <c r="GZX57" s="608"/>
      <c r="GZY57" s="608"/>
      <c r="GZZ57" s="608"/>
      <c r="HAA57" s="608"/>
      <c r="HAB57" s="608"/>
      <c r="HAC57" s="608"/>
      <c r="HAD57" s="608"/>
      <c r="HAE57" s="608"/>
      <c r="HAF57" s="608"/>
      <c r="HAG57" s="608"/>
      <c r="HAH57" s="608"/>
      <c r="HAI57" s="608"/>
      <c r="HAJ57" s="608"/>
      <c r="HAK57" s="608"/>
      <c r="HAL57" s="608"/>
      <c r="HAM57" s="608"/>
      <c r="HAN57" s="608"/>
      <c r="HAO57" s="608"/>
      <c r="HAP57" s="608"/>
      <c r="HAQ57" s="608"/>
      <c r="HAR57" s="608"/>
      <c r="HAS57" s="608"/>
      <c r="HAT57" s="608"/>
      <c r="HAU57" s="608"/>
      <c r="HAV57" s="608"/>
      <c r="HAW57" s="608"/>
      <c r="HAX57" s="608"/>
      <c r="HAY57" s="608"/>
      <c r="HAZ57" s="608"/>
      <c r="HBA57" s="608"/>
      <c r="HBB57" s="608"/>
      <c r="HBC57" s="608"/>
      <c r="HBD57" s="608"/>
      <c r="HBE57" s="608"/>
      <c r="HBF57" s="608"/>
      <c r="HBG57" s="608"/>
      <c r="HBH57" s="608"/>
      <c r="HBI57" s="608"/>
      <c r="HBJ57" s="608"/>
      <c r="HBK57" s="608"/>
      <c r="HBL57" s="608"/>
      <c r="HBM57" s="608"/>
      <c r="HBN57" s="608"/>
      <c r="HBO57" s="608"/>
      <c r="HBP57" s="608"/>
      <c r="HBQ57" s="608"/>
      <c r="HBR57" s="608"/>
      <c r="HBS57" s="608"/>
      <c r="HBT57" s="608"/>
      <c r="HBU57" s="608"/>
      <c r="HBV57" s="608"/>
      <c r="HBW57" s="608"/>
      <c r="HBX57" s="608"/>
      <c r="HBY57" s="608"/>
      <c r="HBZ57" s="608"/>
      <c r="HCA57" s="608"/>
      <c r="HCB57" s="608"/>
      <c r="HCC57" s="608"/>
      <c r="HCD57" s="608"/>
      <c r="HCE57" s="608"/>
      <c r="HCF57" s="608"/>
      <c r="HCG57" s="608"/>
      <c r="HCH57" s="608"/>
      <c r="HCI57" s="608"/>
      <c r="HCJ57" s="608"/>
      <c r="HCK57" s="608"/>
      <c r="HCL57" s="608"/>
      <c r="HCM57" s="608"/>
      <c r="HCN57" s="608"/>
      <c r="HCO57" s="608"/>
      <c r="HCP57" s="608"/>
      <c r="HCQ57" s="608"/>
      <c r="HCR57" s="608"/>
      <c r="HCS57" s="608"/>
      <c r="HCT57" s="608"/>
      <c r="HCU57" s="608"/>
      <c r="HCV57" s="608"/>
      <c r="HCW57" s="608"/>
      <c r="HCX57" s="608"/>
      <c r="HCY57" s="608"/>
      <c r="HCZ57" s="608"/>
      <c r="HDA57" s="608"/>
      <c r="HDB57" s="608"/>
      <c r="HDC57" s="608"/>
      <c r="HDD57" s="608"/>
      <c r="HDE57" s="608"/>
      <c r="HDF57" s="608"/>
      <c r="HDG57" s="608"/>
      <c r="HDH57" s="608"/>
      <c r="HDI57" s="608"/>
      <c r="HDJ57" s="608"/>
      <c r="HDK57" s="608"/>
      <c r="HDL57" s="608"/>
      <c r="HDM57" s="608"/>
      <c r="HDN57" s="608"/>
      <c r="HDO57" s="608"/>
      <c r="HDP57" s="608"/>
      <c r="HDQ57" s="608"/>
      <c r="HDR57" s="608"/>
      <c r="HDS57" s="608"/>
      <c r="HDT57" s="608"/>
      <c r="HDU57" s="608"/>
      <c r="HDV57" s="608"/>
      <c r="HDW57" s="608"/>
      <c r="HDX57" s="608"/>
      <c r="HDY57" s="608"/>
      <c r="HDZ57" s="608"/>
      <c r="HEA57" s="608"/>
      <c r="HEB57" s="608"/>
      <c r="HEC57" s="608"/>
      <c r="HED57" s="608"/>
      <c r="HEE57" s="608"/>
      <c r="HEF57" s="608"/>
      <c r="HEG57" s="608"/>
      <c r="HEH57" s="608"/>
      <c r="HEI57" s="608"/>
      <c r="HEJ57" s="608"/>
      <c r="HEK57" s="608"/>
      <c r="HEL57" s="608"/>
      <c r="HEM57" s="608"/>
      <c r="HEN57" s="608"/>
      <c r="HEO57" s="608"/>
      <c r="HEP57" s="608"/>
      <c r="HEQ57" s="608"/>
      <c r="HER57" s="608"/>
      <c r="HES57" s="608"/>
      <c r="HET57" s="608"/>
      <c r="HEU57" s="608"/>
      <c r="HEV57" s="608"/>
      <c r="HEW57" s="608"/>
      <c r="HEX57" s="608"/>
      <c r="HEY57" s="608"/>
      <c r="HEZ57" s="608"/>
      <c r="HFA57" s="608"/>
      <c r="HFB57" s="608"/>
      <c r="HFC57" s="608"/>
      <c r="HFD57" s="608"/>
      <c r="HFE57" s="608"/>
      <c r="HFF57" s="608"/>
      <c r="HFG57" s="608"/>
      <c r="HFH57" s="608"/>
      <c r="HFI57" s="608"/>
      <c r="HFJ57" s="608"/>
      <c r="HFK57" s="608"/>
      <c r="HFL57" s="608"/>
      <c r="HFM57" s="608"/>
      <c r="HFN57" s="608"/>
      <c r="HFO57" s="608"/>
      <c r="HFP57" s="608"/>
      <c r="HFQ57" s="608"/>
      <c r="HFR57" s="608"/>
      <c r="HFS57" s="608"/>
      <c r="HFT57" s="608"/>
      <c r="HFU57" s="608"/>
      <c r="HFV57" s="608"/>
      <c r="HFW57" s="608"/>
      <c r="HFX57" s="608"/>
      <c r="HFY57" s="608"/>
      <c r="HFZ57" s="608"/>
      <c r="HGA57" s="608"/>
      <c r="HGB57" s="608"/>
      <c r="HGC57" s="608"/>
      <c r="HGD57" s="608"/>
      <c r="HGE57" s="608"/>
      <c r="HGF57" s="608"/>
      <c r="HGG57" s="608"/>
      <c r="HGH57" s="608"/>
      <c r="HGI57" s="608"/>
      <c r="HGJ57" s="608"/>
      <c r="HGK57" s="608"/>
      <c r="HGL57" s="608"/>
      <c r="HGM57" s="608"/>
      <c r="HGN57" s="608"/>
      <c r="HGO57" s="608"/>
      <c r="HGP57" s="608"/>
      <c r="HGQ57" s="608"/>
      <c r="HGR57" s="608"/>
      <c r="HGS57" s="608"/>
      <c r="HGT57" s="608"/>
      <c r="HGU57" s="608"/>
      <c r="HGV57" s="608"/>
      <c r="HGW57" s="608"/>
      <c r="HGX57" s="608"/>
      <c r="HGY57" s="608"/>
      <c r="HGZ57" s="608"/>
      <c r="HHA57" s="608"/>
      <c r="HHB57" s="608"/>
      <c r="HHC57" s="608"/>
      <c r="HHD57" s="608"/>
      <c r="HHE57" s="608"/>
      <c r="HHF57" s="608"/>
      <c r="HHG57" s="608"/>
      <c r="HHH57" s="608"/>
      <c r="HHI57" s="608"/>
      <c r="HHJ57" s="608"/>
      <c r="HHK57" s="608"/>
      <c r="HHL57" s="608"/>
      <c r="HHM57" s="608"/>
      <c r="HHN57" s="608"/>
      <c r="HHO57" s="608"/>
      <c r="HHP57" s="608"/>
      <c r="HHQ57" s="608"/>
      <c r="HHR57" s="608"/>
      <c r="HHS57" s="608"/>
      <c r="HHT57" s="608"/>
      <c r="HHU57" s="608"/>
      <c r="HHV57" s="608"/>
      <c r="HHW57" s="608"/>
      <c r="HHX57" s="608"/>
      <c r="HHY57" s="608"/>
      <c r="HHZ57" s="608"/>
      <c r="HIA57" s="608"/>
      <c r="HIB57" s="608"/>
      <c r="HIC57" s="608"/>
      <c r="HID57" s="608"/>
      <c r="HIE57" s="608"/>
      <c r="HIF57" s="608"/>
      <c r="HIG57" s="608"/>
      <c r="HIH57" s="608"/>
      <c r="HII57" s="608"/>
      <c r="HIJ57" s="608"/>
      <c r="HIK57" s="608"/>
      <c r="HIL57" s="608"/>
      <c r="HIM57" s="608"/>
      <c r="HIN57" s="608"/>
      <c r="HIO57" s="608"/>
      <c r="HIP57" s="608"/>
      <c r="HIQ57" s="608"/>
      <c r="HIR57" s="608"/>
      <c r="HIS57" s="608"/>
      <c r="HIT57" s="608"/>
      <c r="HIU57" s="608"/>
      <c r="HIV57" s="608"/>
      <c r="HIW57" s="608"/>
      <c r="HIX57" s="608"/>
      <c r="HIY57" s="608"/>
      <c r="HIZ57" s="608"/>
      <c r="HJA57" s="608"/>
      <c r="HJB57" s="608"/>
      <c r="HJC57" s="608"/>
      <c r="HJD57" s="608"/>
      <c r="HJE57" s="608"/>
      <c r="HJF57" s="608"/>
      <c r="HJG57" s="608"/>
      <c r="HJH57" s="608"/>
      <c r="HJI57" s="608"/>
      <c r="HJJ57" s="608"/>
      <c r="HJK57" s="608"/>
      <c r="HJL57" s="608"/>
      <c r="HJM57" s="608"/>
      <c r="HJN57" s="608"/>
      <c r="HJO57" s="608"/>
      <c r="HJP57" s="608"/>
      <c r="HJQ57" s="608"/>
      <c r="HJR57" s="608"/>
      <c r="HJS57" s="608"/>
      <c r="HJT57" s="608"/>
      <c r="HJU57" s="608"/>
      <c r="HJV57" s="608"/>
      <c r="HJW57" s="608"/>
      <c r="HJX57" s="608"/>
      <c r="HJY57" s="608"/>
      <c r="HJZ57" s="608"/>
      <c r="HKA57" s="608"/>
      <c r="HKB57" s="608"/>
      <c r="HKC57" s="608"/>
      <c r="HKD57" s="608"/>
      <c r="HKE57" s="608"/>
      <c r="HKF57" s="608"/>
      <c r="HKG57" s="608"/>
      <c r="HKH57" s="608"/>
      <c r="HKI57" s="608"/>
      <c r="HKJ57" s="608"/>
      <c r="HKK57" s="608"/>
      <c r="HKL57" s="608"/>
      <c r="HKM57" s="608"/>
      <c r="HKN57" s="608"/>
      <c r="HKO57" s="608"/>
      <c r="HKP57" s="608"/>
      <c r="HKQ57" s="608"/>
      <c r="HKR57" s="608"/>
      <c r="HKS57" s="608"/>
      <c r="HKT57" s="608"/>
      <c r="HKU57" s="608"/>
      <c r="HKV57" s="608"/>
      <c r="HKW57" s="608"/>
      <c r="HKX57" s="608"/>
      <c r="HKY57" s="608"/>
      <c r="HKZ57" s="608"/>
      <c r="HLA57" s="608"/>
      <c r="HLB57" s="608"/>
      <c r="HLC57" s="608"/>
      <c r="HLD57" s="608"/>
      <c r="HLE57" s="608"/>
      <c r="HLF57" s="608"/>
      <c r="HLG57" s="608"/>
      <c r="HLH57" s="608"/>
      <c r="HLI57" s="608"/>
      <c r="HLJ57" s="608"/>
      <c r="HLK57" s="608"/>
      <c r="HLL57" s="608"/>
      <c r="HLM57" s="608"/>
      <c r="HLN57" s="608"/>
      <c r="HLO57" s="608"/>
      <c r="HLP57" s="608"/>
      <c r="HLQ57" s="608"/>
      <c r="HLR57" s="608"/>
      <c r="HLS57" s="608"/>
      <c r="HLT57" s="608"/>
      <c r="HLU57" s="608"/>
      <c r="HLV57" s="608"/>
      <c r="HLW57" s="608"/>
      <c r="HLX57" s="608"/>
      <c r="HLY57" s="608"/>
      <c r="HLZ57" s="608"/>
      <c r="HMA57" s="608"/>
      <c r="HMB57" s="608"/>
      <c r="HMC57" s="608"/>
      <c r="HMD57" s="608"/>
      <c r="HME57" s="608"/>
      <c r="HMF57" s="608"/>
      <c r="HMG57" s="608"/>
      <c r="HMH57" s="608"/>
      <c r="HMI57" s="608"/>
      <c r="HMJ57" s="608"/>
      <c r="HMK57" s="608"/>
      <c r="HML57" s="608"/>
      <c r="HMM57" s="608"/>
      <c r="HMN57" s="608"/>
      <c r="HMO57" s="608"/>
      <c r="HMP57" s="608"/>
      <c r="HMQ57" s="608"/>
      <c r="HMR57" s="608"/>
      <c r="HMS57" s="608"/>
      <c r="HMT57" s="608"/>
      <c r="HMU57" s="608"/>
      <c r="HMV57" s="608"/>
      <c r="HMW57" s="608"/>
      <c r="HMX57" s="608"/>
      <c r="HMY57" s="608"/>
      <c r="HMZ57" s="608"/>
      <c r="HNA57" s="608"/>
      <c r="HNB57" s="608"/>
      <c r="HNC57" s="608"/>
      <c r="HND57" s="608"/>
      <c r="HNE57" s="608"/>
      <c r="HNF57" s="608"/>
      <c r="HNG57" s="608"/>
      <c r="HNH57" s="608"/>
      <c r="HNI57" s="608"/>
      <c r="HNJ57" s="608"/>
      <c r="HNK57" s="608"/>
      <c r="HNL57" s="608"/>
      <c r="HNM57" s="608"/>
      <c r="HNN57" s="608"/>
      <c r="HNO57" s="608"/>
      <c r="HNP57" s="608"/>
      <c r="HNQ57" s="608"/>
      <c r="HNR57" s="608"/>
      <c r="HNS57" s="608"/>
      <c r="HNT57" s="608"/>
      <c r="HNU57" s="608"/>
      <c r="HNV57" s="608"/>
      <c r="HNW57" s="608"/>
      <c r="HNX57" s="608"/>
      <c r="HNY57" s="608"/>
      <c r="HNZ57" s="608"/>
      <c r="HOA57" s="608"/>
      <c r="HOB57" s="608"/>
      <c r="HOC57" s="608"/>
      <c r="HOD57" s="608"/>
      <c r="HOE57" s="608"/>
      <c r="HOF57" s="608"/>
      <c r="HOG57" s="608"/>
      <c r="HOH57" s="608"/>
      <c r="HOI57" s="608"/>
      <c r="HOJ57" s="608"/>
      <c r="HOK57" s="608"/>
      <c r="HOL57" s="608"/>
      <c r="HOM57" s="608"/>
      <c r="HON57" s="608"/>
      <c r="HOO57" s="608"/>
      <c r="HOP57" s="608"/>
      <c r="HOQ57" s="608"/>
      <c r="HOR57" s="608"/>
      <c r="HOS57" s="608"/>
      <c r="HOT57" s="608"/>
      <c r="HOU57" s="608"/>
      <c r="HOV57" s="608"/>
      <c r="HOW57" s="608"/>
      <c r="HOX57" s="608"/>
      <c r="HOY57" s="608"/>
      <c r="HOZ57" s="608"/>
      <c r="HPA57" s="608"/>
      <c r="HPB57" s="608"/>
      <c r="HPC57" s="608"/>
      <c r="HPD57" s="608"/>
      <c r="HPE57" s="608"/>
      <c r="HPF57" s="608"/>
      <c r="HPG57" s="608"/>
      <c r="HPH57" s="608"/>
      <c r="HPI57" s="608"/>
      <c r="HPJ57" s="608"/>
      <c r="HPK57" s="608"/>
      <c r="HPL57" s="608"/>
      <c r="HPM57" s="608"/>
      <c r="HPN57" s="608"/>
      <c r="HPO57" s="608"/>
      <c r="HPP57" s="608"/>
      <c r="HPQ57" s="608"/>
      <c r="HPR57" s="608"/>
      <c r="HPS57" s="608"/>
      <c r="HPT57" s="608"/>
      <c r="HPU57" s="608"/>
      <c r="HPV57" s="608"/>
      <c r="HPW57" s="608"/>
      <c r="HPX57" s="608"/>
      <c r="HPY57" s="608"/>
      <c r="HPZ57" s="608"/>
      <c r="HQA57" s="608"/>
      <c r="HQB57" s="608"/>
      <c r="HQC57" s="608"/>
      <c r="HQD57" s="608"/>
      <c r="HQE57" s="608"/>
      <c r="HQF57" s="608"/>
      <c r="HQG57" s="608"/>
      <c r="HQH57" s="608"/>
      <c r="HQI57" s="608"/>
      <c r="HQJ57" s="608"/>
      <c r="HQK57" s="608"/>
      <c r="HQL57" s="608"/>
      <c r="HQM57" s="608"/>
      <c r="HQN57" s="608"/>
      <c r="HQO57" s="608"/>
      <c r="HQP57" s="608"/>
      <c r="HQQ57" s="608"/>
      <c r="HQR57" s="608"/>
      <c r="HQS57" s="608"/>
      <c r="HQT57" s="608"/>
      <c r="HQU57" s="608"/>
      <c r="HQV57" s="608"/>
      <c r="HQW57" s="608"/>
      <c r="HQX57" s="608"/>
      <c r="HQY57" s="608"/>
      <c r="HQZ57" s="608"/>
      <c r="HRA57" s="608"/>
      <c r="HRB57" s="608"/>
      <c r="HRC57" s="608"/>
      <c r="HRD57" s="608"/>
      <c r="HRE57" s="608"/>
      <c r="HRF57" s="608"/>
      <c r="HRG57" s="608"/>
      <c r="HRH57" s="608"/>
      <c r="HRI57" s="608"/>
      <c r="HRJ57" s="608"/>
      <c r="HRK57" s="608"/>
      <c r="HRL57" s="608"/>
      <c r="HRM57" s="608"/>
      <c r="HRN57" s="608"/>
      <c r="HRO57" s="608"/>
      <c r="HRP57" s="608"/>
      <c r="HRQ57" s="608"/>
      <c r="HRR57" s="608"/>
      <c r="HRS57" s="608"/>
      <c r="HRT57" s="608"/>
      <c r="HRU57" s="608"/>
      <c r="HRV57" s="608"/>
      <c r="HRW57" s="608"/>
      <c r="HRX57" s="608"/>
      <c r="HRY57" s="608"/>
      <c r="HRZ57" s="608"/>
      <c r="HSA57" s="608"/>
      <c r="HSB57" s="608"/>
      <c r="HSC57" s="608"/>
      <c r="HSD57" s="608"/>
      <c r="HSE57" s="608"/>
      <c r="HSF57" s="608"/>
      <c r="HSG57" s="608"/>
      <c r="HSH57" s="608"/>
      <c r="HSI57" s="608"/>
      <c r="HSJ57" s="608"/>
      <c r="HSK57" s="608"/>
      <c r="HSL57" s="608"/>
      <c r="HSM57" s="608"/>
      <c r="HSN57" s="608"/>
      <c r="HSO57" s="608"/>
      <c r="HSP57" s="608"/>
      <c r="HSQ57" s="608"/>
      <c r="HSR57" s="608"/>
      <c r="HSS57" s="608"/>
      <c r="HST57" s="608"/>
      <c r="HSU57" s="608"/>
      <c r="HSV57" s="608"/>
      <c r="HSW57" s="608"/>
      <c r="HSX57" s="608"/>
      <c r="HSY57" s="608"/>
      <c r="HSZ57" s="608"/>
      <c r="HTA57" s="608"/>
      <c r="HTB57" s="608"/>
      <c r="HTC57" s="608"/>
      <c r="HTD57" s="608"/>
      <c r="HTE57" s="608"/>
      <c r="HTF57" s="608"/>
      <c r="HTG57" s="608"/>
      <c r="HTH57" s="608"/>
      <c r="HTI57" s="608"/>
      <c r="HTJ57" s="608"/>
      <c r="HTK57" s="608"/>
      <c r="HTL57" s="608"/>
      <c r="HTM57" s="608"/>
      <c r="HTN57" s="608"/>
      <c r="HTO57" s="608"/>
      <c r="HTP57" s="608"/>
      <c r="HTQ57" s="608"/>
      <c r="HTR57" s="608"/>
      <c r="HTS57" s="608"/>
      <c r="HTT57" s="608"/>
      <c r="HTU57" s="608"/>
      <c r="HTV57" s="608"/>
      <c r="HTW57" s="608"/>
      <c r="HTX57" s="608"/>
      <c r="HTY57" s="608"/>
      <c r="HTZ57" s="608"/>
      <c r="HUA57" s="608"/>
      <c r="HUB57" s="608"/>
      <c r="HUC57" s="608"/>
      <c r="HUD57" s="608"/>
      <c r="HUE57" s="608"/>
      <c r="HUF57" s="608"/>
      <c r="HUG57" s="608"/>
      <c r="HUH57" s="608"/>
      <c r="HUI57" s="608"/>
      <c r="HUJ57" s="608"/>
      <c r="HUK57" s="608"/>
      <c r="HUL57" s="608"/>
      <c r="HUM57" s="608"/>
      <c r="HUN57" s="608"/>
      <c r="HUO57" s="608"/>
      <c r="HUP57" s="608"/>
      <c r="HUQ57" s="608"/>
      <c r="HUR57" s="608"/>
      <c r="HUS57" s="608"/>
      <c r="HUT57" s="608"/>
      <c r="HUU57" s="608"/>
      <c r="HUV57" s="608"/>
      <c r="HUW57" s="608"/>
      <c r="HUX57" s="608"/>
      <c r="HUY57" s="608"/>
      <c r="HUZ57" s="608"/>
      <c r="HVA57" s="608"/>
      <c r="HVB57" s="608"/>
      <c r="HVC57" s="608"/>
      <c r="HVD57" s="608"/>
      <c r="HVE57" s="608"/>
      <c r="HVF57" s="608"/>
      <c r="HVG57" s="608"/>
      <c r="HVH57" s="608"/>
      <c r="HVI57" s="608"/>
      <c r="HVJ57" s="608"/>
      <c r="HVK57" s="608"/>
      <c r="HVL57" s="608"/>
      <c r="HVM57" s="608"/>
      <c r="HVN57" s="608"/>
      <c r="HVO57" s="608"/>
      <c r="HVP57" s="608"/>
      <c r="HVQ57" s="608"/>
      <c r="HVR57" s="608"/>
      <c r="HVS57" s="608"/>
      <c r="HVT57" s="608"/>
      <c r="HVU57" s="608"/>
      <c r="HVV57" s="608"/>
      <c r="HVW57" s="608"/>
      <c r="HVX57" s="608"/>
      <c r="HVY57" s="608"/>
      <c r="HVZ57" s="608"/>
      <c r="HWA57" s="608"/>
      <c r="HWB57" s="608"/>
      <c r="HWC57" s="608"/>
      <c r="HWD57" s="608"/>
      <c r="HWE57" s="608"/>
      <c r="HWF57" s="608"/>
      <c r="HWG57" s="608"/>
      <c r="HWH57" s="608"/>
      <c r="HWI57" s="608"/>
      <c r="HWJ57" s="608"/>
      <c r="HWK57" s="608"/>
      <c r="HWL57" s="608"/>
      <c r="HWM57" s="608"/>
      <c r="HWN57" s="608"/>
      <c r="HWO57" s="608"/>
      <c r="HWP57" s="608"/>
      <c r="HWQ57" s="608"/>
      <c r="HWR57" s="608"/>
      <c r="HWS57" s="608"/>
      <c r="HWT57" s="608"/>
      <c r="HWU57" s="608"/>
      <c r="HWV57" s="608"/>
      <c r="HWW57" s="608"/>
      <c r="HWX57" s="608"/>
      <c r="HWY57" s="608"/>
      <c r="HWZ57" s="608"/>
      <c r="HXA57" s="608"/>
      <c r="HXB57" s="608"/>
      <c r="HXC57" s="608"/>
      <c r="HXD57" s="608"/>
      <c r="HXE57" s="608"/>
      <c r="HXF57" s="608"/>
      <c r="HXG57" s="608"/>
      <c r="HXH57" s="608"/>
      <c r="HXI57" s="608"/>
      <c r="HXJ57" s="608"/>
      <c r="HXK57" s="608"/>
      <c r="HXL57" s="608"/>
      <c r="HXM57" s="608"/>
      <c r="HXN57" s="608"/>
      <c r="HXO57" s="608"/>
      <c r="HXP57" s="608"/>
      <c r="HXQ57" s="608"/>
      <c r="HXR57" s="608"/>
      <c r="HXS57" s="608"/>
      <c r="HXT57" s="608"/>
      <c r="HXU57" s="608"/>
      <c r="HXV57" s="608"/>
      <c r="HXW57" s="608"/>
      <c r="HXX57" s="608"/>
      <c r="HXY57" s="608"/>
      <c r="HXZ57" s="608"/>
      <c r="HYA57" s="608"/>
      <c r="HYB57" s="608"/>
      <c r="HYC57" s="608"/>
      <c r="HYD57" s="608"/>
      <c r="HYE57" s="608"/>
      <c r="HYF57" s="608"/>
      <c r="HYG57" s="608"/>
      <c r="HYH57" s="608"/>
      <c r="HYI57" s="608"/>
      <c r="HYJ57" s="608"/>
      <c r="HYK57" s="608"/>
      <c r="HYL57" s="608"/>
      <c r="HYM57" s="608"/>
      <c r="HYN57" s="608"/>
      <c r="HYO57" s="608"/>
      <c r="HYP57" s="608"/>
      <c r="HYQ57" s="608"/>
      <c r="HYR57" s="608"/>
      <c r="HYS57" s="608"/>
      <c r="HYT57" s="608"/>
      <c r="HYU57" s="608"/>
      <c r="HYV57" s="608"/>
      <c r="HYW57" s="608"/>
      <c r="HYX57" s="608"/>
      <c r="HYY57" s="608"/>
      <c r="HYZ57" s="608"/>
      <c r="HZA57" s="608"/>
      <c r="HZB57" s="608"/>
      <c r="HZC57" s="608"/>
      <c r="HZD57" s="608"/>
      <c r="HZE57" s="608"/>
      <c r="HZF57" s="608"/>
      <c r="HZG57" s="608"/>
      <c r="HZH57" s="608"/>
      <c r="HZI57" s="608"/>
      <c r="HZJ57" s="608"/>
      <c r="HZK57" s="608"/>
      <c r="HZL57" s="608"/>
      <c r="HZM57" s="608"/>
      <c r="HZN57" s="608"/>
      <c r="HZO57" s="608"/>
      <c r="HZP57" s="608"/>
      <c r="HZQ57" s="608"/>
      <c r="HZR57" s="608"/>
      <c r="HZS57" s="608"/>
      <c r="HZT57" s="608"/>
      <c r="HZU57" s="608"/>
      <c r="HZV57" s="608"/>
      <c r="HZW57" s="608"/>
      <c r="HZX57" s="608"/>
      <c r="HZY57" s="608"/>
      <c r="HZZ57" s="608"/>
      <c r="IAA57" s="608"/>
      <c r="IAB57" s="608"/>
      <c r="IAC57" s="608"/>
      <c r="IAD57" s="608"/>
      <c r="IAE57" s="608"/>
      <c r="IAF57" s="608"/>
      <c r="IAG57" s="608"/>
      <c r="IAH57" s="608"/>
      <c r="IAI57" s="608"/>
      <c r="IAJ57" s="608"/>
      <c r="IAK57" s="608"/>
      <c r="IAL57" s="608"/>
      <c r="IAM57" s="608"/>
      <c r="IAN57" s="608"/>
      <c r="IAO57" s="608"/>
      <c r="IAP57" s="608"/>
      <c r="IAQ57" s="608"/>
      <c r="IAR57" s="608"/>
      <c r="IAS57" s="608"/>
      <c r="IAT57" s="608"/>
      <c r="IAU57" s="608"/>
      <c r="IAV57" s="608"/>
      <c r="IAW57" s="608"/>
      <c r="IAX57" s="608"/>
      <c r="IAY57" s="608"/>
      <c r="IAZ57" s="608"/>
      <c r="IBA57" s="608"/>
      <c r="IBB57" s="608"/>
      <c r="IBC57" s="608"/>
      <c r="IBD57" s="608"/>
      <c r="IBE57" s="608"/>
      <c r="IBF57" s="608"/>
      <c r="IBG57" s="608"/>
      <c r="IBH57" s="608"/>
      <c r="IBI57" s="608"/>
      <c r="IBJ57" s="608"/>
      <c r="IBK57" s="608"/>
      <c r="IBL57" s="608"/>
      <c r="IBM57" s="608"/>
      <c r="IBN57" s="608"/>
      <c r="IBO57" s="608"/>
      <c r="IBP57" s="608"/>
      <c r="IBQ57" s="608"/>
      <c r="IBR57" s="608"/>
      <c r="IBS57" s="608"/>
      <c r="IBT57" s="608"/>
      <c r="IBU57" s="608"/>
      <c r="IBV57" s="608"/>
      <c r="IBW57" s="608"/>
      <c r="IBX57" s="608"/>
      <c r="IBY57" s="608"/>
      <c r="IBZ57" s="608"/>
      <c r="ICA57" s="608"/>
      <c r="ICB57" s="608"/>
      <c r="ICC57" s="608"/>
      <c r="ICD57" s="608"/>
      <c r="ICE57" s="608"/>
      <c r="ICF57" s="608"/>
      <c r="ICG57" s="608"/>
      <c r="ICH57" s="608"/>
      <c r="ICI57" s="608"/>
      <c r="ICJ57" s="608"/>
      <c r="ICK57" s="608"/>
      <c r="ICL57" s="608"/>
      <c r="ICM57" s="608"/>
      <c r="ICN57" s="608"/>
      <c r="ICO57" s="608"/>
      <c r="ICP57" s="608"/>
      <c r="ICQ57" s="608"/>
      <c r="ICR57" s="608"/>
      <c r="ICS57" s="608"/>
      <c r="ICT57" s="608"/>
      <c r="ICU57" s="608"/>
      <c r="ICV57" s="608"/>
      <c r="ICW57" s="608"/>
      <c r="ICX57" s="608"/>
      <c r="ICY57" s="608"/>
      <c r="ICZ57" s="608"/>
      <c r="IDA57" s="608"/>
      <c r="IDB57" s="608"/>
      <c r="IDC57" s="608"/>
      <c r="IDD57" s="608"/>
      <c r="IDE57" s="608"/>
      <c r="IDF57" s="608"/>
      <c r="IDG57" s="608"/>
      <c r="IDH57" s="608"/>
      <c r="IDI57" s="608"/>
      <c r="IDJ57" s="608"/>
      <c r="IDK57" s="608"/>
      <c r="IDL57" s="608"/>
      <c r="IDM57" s="608"/>
      <c r="IDN57" s="608"/>
      <c r="IDO57" s="608"/>
      <c r="IDP57" s="608"/>
      <c r="IDQ57" s="608"/>
      <c r="IDR57" s="608"/>
      <c r="IDS57" s="608"/>
      <c r="IDT57" s="608"/>
      <c r="IDU57" s="608"/>
      <c r="IDV57" s="608"/>
      <c r="IDW57" s="608"/>
      <c r="IDX57" s="608"/>
      <c r="IDY57" s="608"/>
      <c r="IDZ57" s="608"/>
      <c r="IEA57" s="608"/>
      <c r="IEB57" s="608"/>
      <c r="IEC57" s="608"/>
      <c r="IED57" s="608"/>
      <c r="IEE57" s="608"/>
      <c r="IEF57" s="608"/>
      <c r="IEG57" s="608"/>
      <c r="IEH57" s="608"/>
      <c r="IEI57" s="608"/>
      <c r="IEJ57" s="608"/>
      <c r="IEK57" s="608"/>
      <c r="IEL57" s="608"/>
      <c r="IEM57" s="608"/>
      <c r="IEN57" s="608"/>
      <c r="IEO57" s="608"/>
      <c r="IEP57" s="608"/>
      <c r="IEQ57" s="608"/>
      <c r="IER57" s="608"/>
      <c r="IES57" s="608"/>
      <c r="IET57" s="608"/>
      <c r="IEU57" s="608"/>
      <c r="IEV57" s="608"/>
      <c r="IEW57" s="608"/>
      <c r="IEX57" s="608"/>
      <c r="IEY57" s="608"/>
      <c r="IEZ57" s="608"/>
      <c r="IFA57" s="608"/>
      <c r="IFB57" s="608"/>
      <c r="IFC57" s="608"/>
      <c r="IFD57" s="608"/>
      <c r="IFE57" s="608"/>
      <c r="IFF57" s="608"/>
      <c r="IFG57" s="608"/>
      <c r="IFH57" s="608"/>
      <c r="IFI57" s="608"/>
      <c r="IFJ57" s="608"/>
      <c r="IFK57" s="608"/>
      <c r="IFL57" s="608"/>
      <c r="IFM57" s="608"/>
      <c r="IFN57" s="608"/>
      <c r="IFO57" s="608"/>
      <c r="IFP57" s="608"/>
      <c r="IFQ57" s="608"/>
      <c r="IFR57" s="608"/>
      <c r="IFS57" s="608"/>
      <c r="IFT57" s="608"/>
      <c r="IFU57" s="608"/>
      <c r="IFV57" s="608"/>
      <c r="IFW57" s="608"/>
      <c r="IFX57" s="608"/>
      <c r="IFY57" s="608"/>
      <c r="IFZ57" s="608"/>
      <c r="IGA57" s="608"/>
      <c r="IGB57" s="608"/>
      <c r="IGC57" s="608"/>
      <c r="IGD57" s="608"/>
      <c r="IGE57" s="608"/>
      <c r="IGF57" s="608"/>
      <c r="IGG57" s="608"/>
      <c r="IGH57" s="608"/>
      <c r="IGI57" s="608"/>
      <c r="IGJ57" s="608"/>
      <c r="IGK57" s="608"/>
      <c r="IGL57" s="608"/>
      <c r="IGM57" s="608"/>
      <c r="IGN57" s="608"/>
      <c r="IGO57" s="608"/>
      <c r="IGP57" s="608"/>
      <c r="IGQ57" s="608"/>
      <c r="IGR57" s="608"/>
      <c r="IGS57" s="608"/>
      <c r="IGT57" s="608"/>
      <c r="IGU57" s="608"/>
      <c r="IGV57" s="608"/>
      <c r="IGW57" s="608"/>
      <c r="IGX57" s="608"/>
      <c r="IGY57" s="608"/>
      <c r="IGZ57" s="608"/>
      <c r="IHA57" s="608"/>
      <c r="IHB57" s="608"/>
      <c r="IHC57" s="608"/>
      <c r="IHD57" s="608"/>
      <c r="IHE57" s="608"/>
      <c r="IHF57" s="608"/>
      <c r="IHG57" s="608"/>
      <c r="IHH57" s="608"/>
      <c r="IHI57" s="608"/>
      <c r="IHJ57" s="608"/>
      <c r="IHK57" s="608"/>
      <c r="IHL57" s="608"/>
      <c r="IHM57" s="608"/>
      <c r="IHN57" s="608"/>
      <c r="IHO57" s="608"/>
      <c r="IHP57" s="608"/>
      <c r="IHQ57" s="608"/>
      <c r="IHR57" s="608"/>
      <c r="IHS57" s="608"/>
      <c r="IHT57" s="608"/>
      <c r="IHU57" s="608"/>
      <c r="IHV57" s="608"/>
      <c r="IHW57" s="608"/>
      <c r="IHX57" s="608"/>
      <c r="IHY57" s="608"/>
      <c r="IHZ57" s="608"/>
      <c r="IIA57" s="608"/>
      <c r="IIB57" s="608"/>
      <c r="IIC57" s="608"/>
      <c r="IID57" s="608"/>
      <c r="IIE57" s="608"/>
      <c r="IIF57" s="608"/>
      <c r="IIG57" s="608"/>
      <c r="IIH57" s="608"/>
      <c r="III57" s="608"/>
      <c r="IIJ57" s="608"/>
      <c r="IIK57" s="608"/>
      <c r="IIL57" s="608"/>
      <c r="IIM57" s="608"/>
      <c r="IIN57" s="608"/>
      <c r="IIO57" s="608"/>
      <c r="IIP57" s="608"/>
      <c r="IIQ57" s="608"/>
      <c r="IIR57" s="608"/>
      <c r="IIS57" s="608"/>
      <c r="IIT57" s="608"/>
      <c r="IIU57" s="608"/>
      <c r="IIV57" s="608"/>
      <c r="IIW57" s="608"/>
      <c r="IIX57" s="608"/>
      <c r="IIY57" s="608"/>
      <c r="IIZ57" s="608"/>
      <c r="IJA57" s="608"/>
      <c r="IJB57" s="608"/>
      <c r="IJC57" s="608"/>
      <c r="IJD57" s="608"/>
      <c r="IJE57" s="608"/>
      <c r="IJF57" s="608"/>
      <c r="IJG57" s="608"/>
      <c r="IJH57" s="608"/>
      <c r="IJI57" s="608"/>
      <c r="IJJ57" s="608"/>
      <c r="IJK57" s="608"/>
      <c r="IJL57" s="608"/>
      <c r="IJM57" s="608"/>
      <c r="IJN57" s="608"/>
      <c r="IJO57" s="608"/>
      <c r="IJP57" s="608"/>
      <c r="IJQ57" s="608"/>
      <c r="IJR57" s="608"/>
      <c r="IJS57" s="608"/>
      <c r="IJT57" s="608"/>
      <c r="IJU57" s="608"/>
      <c r="IJV57" s="608"/>
      <c r="IJW57" s="608"/>
      <c r="IJX57" s="608"/>
      <c r="IJY57" s="608"/>
      <c r="IJZ57" s="608"/>
      <c r="IKA57" s="608"/>
      <c r="IKB57" s="608"/>
      <c r="IKC57" s="608"/>
      <c r="IKD57" s="608"/>
      <c r="IKE57" s="608"/>
      <c r="IKF57" s="608"/>
      <c r="IKG57" s="608"/>
      <c r="IKH57" s="608"/>
      <c r="IKI57" s="608"/>
      <c r="IKJ57" s="608"/>
      <c r="IKK57" s="608"/>
      <c r="IKL57" s="608"/>
      <c r="IKM57" s="608"/>
      <c r="IKN57" s="608"/>
      <c r="IKO57" s="608"/>
      <c r="IKP57" s="608"/>
      <c r="IKQ57" s="608"/>
      <c r="IKR57" s="608"/>
      <c r="IKS57" s="608"/>
      <c r="IKT57" s="608"/>
      <c r="IKU57" s="608"/>
      <c r="IKV57" s="608"/>
      <c r="IKW57" s="608"/>
      <c r="IKX57" s="608"/>
      <c r="IKY57" s="608"/>
      <c r="IKZ57" s="608"/>
      <c r="ILA57" s="608"/>
      <c r="ILB57" s="608"/>
      <c r="ILC57" s="608"/>
      <c r="ILD57" s="608"/>
      <c r="ILE57" s="608"/>
      <c r="ILF57" s="608"/>
      <c r="ILG57" s="608"/>
      <c r="ILH57" s="608"/>
      <c r="ILI57" s="608"/>
      <c r="ILJ57" s="608"/>
      <c r="ILK57" s="608"/>
      <c r="ILL57" s="608"/>
      <c r="ILM57" s="608"/>
      <c r="ILN57" s="608"/>
      <c r="ILO57" s="608"/>
      <c r="ILP57" s="608"/>
      <c r="ILQ57" s="608"/>
      <c r="ILR57" s="608"/>
      <c r="ILS57" s="608"/>
      <c r="ILT57" s="608"/>
      <c r="ILU57" s="608"/>
      <c r="ILV57" s="608"/>
      <c r="ILW57" s="608"/>
      <c r="ILX57" s="608"/>
      <c r="ILY57" s="608"/>
      <c r="ILZ57" s="608"/>
      <c r="IMA57" s="608"/>
      <c r="IMB57" s="608"/>
      <c r="IMC57" s="608"/>
      <c r="IMD57" s="608"/>
      <c r="IME57" s="608"/>
      <c r="IMF57" s="608"/>
      <c r="IMG57" s="608"/>
      <c r="IMH57" s="608"/>
      <c r="IMI57" s="608"/>
      <c r="IMJ57" s="608"/>
      <c r="IMK57" s="608"/>
      <c r="IML57" s="608"/>
      <c r="IMM57" s="608"/>
      <c r="IMN57" s="608"/>
      <c r="IMO57" s="608"/>
      <c r="IMP57" s="608"/>
      <c r="IMQ57" s="608"/>
      <c r="IMR57" s="608"/>
      <c r="IMS57" s="608"/>
      <c r="IMT57" s="608"/>
      <c r="IMU57" s="608"/>
      <c r="IMV57" s="608"/>
      <c r="IMW57" s="608"/>
      <c r="IMX57" s="608"/>
      <c r="IMY57" s="608"/>
      <c r="IMZ57" s="608"/>
      <c r="INA57" s="608"/>
      <c r="INB57" s="608"/>
      <c r="INC57" s="608"/>
      <c r="IND57" s="608"/>
      <c r="INE57" s="608"/>
      <c r="INF57" s="608"/>
      <c r="ING57" s="608"/>
      <c r="INH57" s="608"/>
      <c r="INI57" s="608"/>
      <c r="INJ57" s="608"/>
      <c r="INK57" s="608"/>
      <c r="INL57" s="608"/>
      <c r="INM57" s="608"/>
      <c r="INN57" s="608"/>
      <c r="INO57" s="608"/>
      <c r="INP57" s="608"/>
      <c r="INQ57" s="608"/>
      <c r="INR57" s="608"/>
      <c r="INS57" s="608"/>
      <c r="INT57" s="608"/>
      <c r="INU57" s="608"/>
      <c r="INV57" s="608"/>
      <c r="INW57" s="608"/>
      <c r="INX57" s="608"/>
      <c r="INY57" s="608"/>
      <c r="INZ57" s="608"/>
      <c r="IOA57" s="608"/>
      <c r="IOB57" s="608"/>
      <c r="IOC57" s="608"/>
      <c r="IOD57" s="608"/>
      <c r="IOE57" s="608"/>
      <c r="IOF57" s="608"/>
      <c r="IOG57" s="608"/>
      <c r="IOH57" s="608"/>
      <c r="IOI57" s="608"/>
      <c r="IOJ57" s="608"/>
      <c r="IOK57" s="608"/>
      <c r="IOL57" s="608"/>
      <c r="IOM57" s="608"/>
      <c r="ION57" s="608"/>
      <c r="IOO57" s="608"/>
      <c r="IOP57" s="608"/>
      <c r="IOQ57" s="608"/>
      <c r="IOR57" s="608"/>
      <c r="IOS57" s="608"/>
      <c r="IOT57" s="608"/>
      <c r="IOU57" s="608"/>
      <c r="IOV57" s="608"/>
      <c r="IOW57" s="608"/>
      <c r="IOX57" s="608"/>
      <c r="IOY57" s="608"/>
      <c r="IOZ57" s="608"/>
      <c r="IPA57" s="608"/>
      <c r="IPB57" s="608"/>
      <c r="IPC57" s="608"/>
      <c r="IPD57" s="608"/>
      <c r="IPE57" s="608"/>
      <c r="IPF57" s="608"/>
      <c r="IPG57" s="608"/>
      <c r="IPH57" s="608"/>
      <c r="IPI57" s="608"/>
      <c r="IPJ57" s="608"/>
      <c r="IPK57" s="608"/>
      <c r="IPL57" s="608"/>
      <c r="IPM57" s="608"/>
      <c r="IPN57" s="608"/>
      <c r="IPO57" s="608"/>
      <c r="IPP57" s="608"/>
      <c r="IPQ57" s="608"/>
      <c r="IPR57" s="608"/>
      <c r="IPS57" s="608"/>
      <c r="IPT57" s="608"/>
      <c r="IPU57" s="608"/>
      <c r="IPV57" s="608"/>
      <c r="IPW57" s="608"/>
      <c r="IPX57" s="608"/>
      <c r="IPY57" s="608"/>
      <c r="IPZ57" s="608"/>
      <c r="IQA57" s="608"/>
      <c r="IQB57" s="608"/>
      <c r="IQC57" s="608"/>
      <c r="IQD57" s="608"/>
      <c r="IQE57" s="608"/>
      <c r="IQF57" s="608"/>
      <c r="IQG57" s="608"/>
      <c r="IQH57" s="608"/>
      <c r="IQI57" s="608"/>
      <c r="IQJ57" s="608"/>
      <c r="IQK57" s="608"/>
      <c r="IQL57" s="608"/>
      <c r="IQM57" s="608"/>
      <c r="IQN57" s="608"/>
      <c r="IQO57" s="608"/>
      <c r="IQP57" s="608"/>
      <c r="IQQ57" s="608"/>
      <c r="IQR57" s="608"/>
      <c r="IQS57" s="608"/>
      <c r="IQT57" s="608"/>
      <c r="IQU57" s="608"/>
      <c r="IQV57" s="608"/>
      <c r="IQW57" s="608"/>
      <c r="IQX57" s="608"/>
      <c r="IQY57" s="608"/>
      <c r="IQZ57" s="608"/>
      <c r="IRA57" s="608"/>
      <c r="IRB57" s="608"/>
      <c r="IRC57" s="608"/>
      <c r="IRD57" s="608"/>
      <c r="IRE57" s="608"/>
      <c r="IRF57" s="608"/>
      <c r="IRG57" s="608"/>
      <c r="IRH57" s="608"/>
      <c r="IRI57" s="608"/>
      <c r="IRJ57" s="608"/>
      <c r="IRK57" s="608"/>
      <c r="IRL57" s="608"/>
      <c r="IRM57" s="608"/>
      <c r="IRN57" s="608"/>
      <c r="IRO57" s="608"/>
      <c r="IRP57" s="608"/>
      <c r="IRQ57" s="608"/>
      <c r="IRR57" s="608"/>
      <c r="IRS57" s="608"/>
      <c r="IRT57" s="608"/>
      <c r="IRU57" s="608"/>
      <c r="IRV57" s="608"/>
      <c r="IRW57" s="608"/>
      <c r="IRX57" s="608"/>
      <c r="IRY57" s="608"/>
      <c r="IRZ57" s="608"/>
      <c r="ISA57" s="608"/>
      <c r="ISB57" s="608"/>
      <c r="ISC57" s="608"/>
      <c r="ISD57" s="608"/>
      <c r="ISE57" s="608"/>
      <c r="ISF57" s="608"/>
      <c r="ISG57" s="608"/>
      <c r="ISH57" s="608"/>
      <c r="ISI57" s="608"/>
      <c r="ISJ57" s="608"/>
      <c r="ISK57" s="608"/>
      <c r="ISL57" s="608"/>
      <c r="ISM57" s="608"/>
      <c r="ISN57" s="608"/>
      <c r="ISO57" s="608"/>
      <c r="ISP57" s="608"/>
      <c r="ISQ57" s="608"/>
      <c r="ISR57" s="608"/>
      <c r="ISS57" s="608"/>
      <c r="IST57" s="608"/>
      <c r="ISU57" s="608"/>
      <c r="ISV57" s="608"/>
      <c r="ISW57" s="608"/>
      <c r="ISX57" s="608"/>
      <c r="ISY57" s="608"/>
      <c r="ISZ57" s="608"/>
      <c r="ITA57" s="608"/>
      <c r="ITB57" s="608"/>
      <c r="ITC57" s="608"/>
      <c r="ITD57" s="608"/>
      <c r="ITE57" s="608"/>
      <c r="ITF57" s="608"/>
      <c r="ITG57" s="608"/>
      <c r="ITH57" s="608"/>
      <c r="ITI57" s="608"/>
      <c r="ITJ57" s="608"/>
      <c r="ITK57" s="608"/>
      <c r="ITL57" s="608"/>
      <c r="ITM57" s="608"/>
      <c r="ITN57" s="608"/>
      <c r="ITO57" s="608"/>
      <c r="ITP57" s="608"/>
      <c r="ITQ57" s="608"/>
      <c r="ITR57" s="608"/>
      <c r="ITS57" s="608"/>
      <c r="ITT57" s="608"/>
      <c r="ITU57" s="608"/>
      <c r="ITV57" s="608"/>
      <c r="ITW57" s="608"/>
      <c r="ITX57" s="608"/>
      <c r="ITY57" s="608"/>
      <c r="ITZ57" s="608"/>
      <c r="IUA57" s="608"/>
      <c r="IUB57" s="608"/>
      <c r="IUC57" s="608"/>
      <c r="IUD57" s="608"/>
      <c r="IUE57" s="608"/>
      <c r="IUF57" s="608"/>
      <c r="IUG57" s="608"/>
      <c r="IUH57" s="608"/>
      <c r="IUI57" s="608"/>
      <c r="IUJ57" s="608"/>
      <c r="IUK57" s="608"/>
      <c r="IUL57" s="608"/>
      <c r="IUM57" s="608"/>
      <c r="IUN57" s="608"/>
      <c r="IUO57" s="608"/>
      <c r="IUP57" s="608"/>
      <c r="IUQ57" s="608"/>
      <c r="IUR57" s="608"/>
      <c r="IUS57" s="608"/>
      <c r="IUT57" s="608"/>
      <c r="IUU57" s="608"/>
      <c r="IUV57" s="608"/>
      <c r="IUW57" s="608"/>
      <c r="IUX57" s="608"/>
      <c r="IUY57" s="608"/>
      <c r="IUZ57" s="608"/>
      <c r="IVA57" s="608"/>
      <c r="IVB57" s="608"/>
      <c r="IVC57" s="608"/>
      <c r="IVD57" s="608"/>
      <c r="IVE57" s="608"/>
      <c r="IVF57" s="608"/>
      <c r="IVG57" s="608"/>
      <c r="IVH57" s="608"/>
      <c r="IVI57" s="608"/>
      <c r="IVJ57" s="608"/>
      <c r="IVK57" s="608"/>
      <c r="IVL57" s="608"/>
      <c r="IVM57" s="608"/>
      <c r="IVN57" s="608"/>
      <c r="IVO57" s="608"/>
      <c r="IVP57" s="608"/>
      <c r="IVQ57" s="608"/>
      <c r="IVR57" s="608"/>
      <c r="IVS57" s="608"/>
      <c r="IVT57" s="608"/>
      <c r="IVU57" s="608"/>
      <c r="IVV57" s="608"/>
      <c r="IVW57" s="608"/>
      <c r="IVX57" s="608"/>
      <c r="IVY57" s="608"/>
      <c r="IVZ57" s="608"/>
      <c r="IWA57" s="608"/>
      <c r="IWB57" s="608"/>
      <c r="IWC57" s="608"/>
      <c r="IWD57" s="608"/>
      <c r="IWE57" s="608"/>
      <c r="IWF57" s="608"/>
      <c r="IWG57" s="608"/>
      <c r="IWH57" s="608"/>
      <c r="IWI57" s="608"/>
      <c r="IWJ57" s="608"/>
      <c r="IWK57" s="608"/>
      <c r="IWL57" s="608"/>
      <c r="IWM57" s="608"/>
      <c r="IWN57" s="608"/>
      <c r="IWO57" s="608"/>
      <c r="IWP57" s="608"/>
      <c r="IWQ57" s="608"/>
      <c r="IWR57" s="608"/>
      <c r="IWS57" s="608"/>
      <c r="IWT57" s="608"/>
      <c r="IWU57" s="608"/>
      <c r="IWV57" s="608"/>
      <c r="IWW57" s="608"/>
      <c r="IWX57" s="608"/>
      <c r="IWY57" s="608"/>
      <c r="IWZ57" s="608"/>
      <c r="IXA57" s="608"/>
      <c r="IXB57" s="608"/>
      <c r="IXC57" s="608"/>
      <c r="IXD57" s="608"/>
      <c r="IXE57" s="608"/>
      <c r="IXF57" s="608"/>
      <c r="IXG57" s="608"/>
      <c r="IXH57" s="608"/>
      <c r="IXI57" s="608"/>
      <c r="IXJ57" s="608"/>
      <c r="IXK57" s="608"/>
      <c r="IXL57" s="608"/>
      <c r="IXM57" s="608"/>
      <c r="IXN57" s="608"/>
      <c r="IXO57" s="608"/>
      <c r="IXP57" s="608"/>
      <c r="IXQ57" s="608"/>
      <c r="IXR57" s="608"/>
      <c r="IXS57" s="608"/>
      <c r="IXT57" s="608"/>
      <c r="IXU57" s="608"/>
      <c r="IXV57" s="608"/>
      <c r="IXW57" s="608"/>
      <c r="IXX57" s="608"/>
      <c r="IXY57" s="608"/>
      <c r="IXZ57" s="608"/>
      <c r="IYA57" s="608"/>
      <c r="IYB57" s="608"/>
      <c r="IYC57" s="608"/>
      <c r="IYD57" s="608"/>
      <c r="IYE57" s="608"/>
      <c r="IYF57" s="608"/>
      <c r="IYG57" s="608"/>
      <c r="IYH57" s="608"/>
      <c r="IYI57" s="608"/>
      <c r="IYJ57" s="608"/>
      <c r="IYK57" s="608"/>
      <c r="IYL57" s="608"/>
      <c r="IYM57" s="608"/>
      <c r="IYN57" s="608"/>
      <c r="IYO57" s="608"/>
      <c r="IYP57" s="608"/>
      <c r="IYQ57" s="608"/>
      <c r="IYR57" s="608"/>
      <c r="IYS57" s="608"/>
      <c r="IYT57" s="608"/>
      <c r="IYU57" s="608"/>
      <c r="IYV57" s="608"/>
      <c r="IYW57" s="608"/>
      <c r="IYX57" s="608"/>
      <c r="IYY57" s="608"/>
      <c r="IYZ57" s="608"/>
      <c r="IZA57" s="608"/>
      <c r="IZB57" s="608"/>
      <c r="IZC57" s="608"/>
      <c r="IZD57" s="608"/>
      <c r="IZE57" s="608"/>
      <c r="IZF57" s="608"/>
      <c r="IZG57" s="608"/>
      <c r="IZH57" s="608"/>
      <c r="IZI57" s="608"/>
      <c r="IZJ57" s="608"/>
      <c r="IZK57" s="608"/>
      <c r="IZL57" s="608"/>
      <c r="IZM57" s="608"/>
      <c r="IZN57" s="608"/>
      <c r="IZO57" s="608"/>
      <c r="IZP57" s="608"/>
      <c r="IZQ57" s="608"/>
      <c r="IZR57" s="608"/>
      <c r="IZS57" s="608"/>
      <c r="IZT57" s="608"/>
      <c r="IZU57" s="608"/>
      <c r="IZV57" s="608"/>
      <c r="IZW57" s="608"/>
      <c r="IZX57" s="608"/>
      <c r="IZY57" s="608"/>
      <c r="IZZ57" s="608"/>
      <c r="JAA57" s="608"/>
      <c r="JAB57" s="608"/>
      <c r="JAC57" s="608"/>
      <c r="JAD57" s="608"/>
      <c r="JAE57" s="608"/>
      <c r="JAF57" s="608"/>
      <c r="JAG57" s="608"/>
      <c r="JAH57" s="608"/>
      <c r="JAI57" s="608"/>
      <c r="JAJ57" s="608"/>
      <c r="JAK57" s="608"/>
      <c r="JAL57" s="608"/>
      <c r="JAM57" s="608"/>
      <c r="JAN57" s="608"/>
      <c r="JAO57" s="608"/>
      <c r="JAP57" s="608"/>
      <c r="JAQ57" s="608"/>
      <c r="JAR57" s="608"/>
      <c r="JAS57" s="608"/>
      <c r="JAT57" s="608"/>
      <c r="JAU57" s="608"/>
      <c r="JAV57" s="608"/>
      <c r="JAW57" s="608"/>
      <c r="JAX57" s="608"/>
      <c r="JAY57" s="608"/>
      <c r="JAZ57" s="608"/>
      <c r="JBA57" s="608"/>
      <c r="JBB57" s="608"/>
      <c r="JBC57" s="608"/>
      <c r="JBD57" s="608"/>
      <c r="JBE57" s="608"/>
      <c r="JBF57" s="608"/>
      <c r="JBG57" s="608"/>
      <c r="JBH57" s="608"/>
      <c r="JBI57" s="608"/>
      <c r="JBJ57" s="608"/>
      <c r="JBK57" s="608"/>
      <c r="JBL57" s="608"/>
      <c r="JBM57" s="608"/>
      <c r="JBN57" s="608"/>
      <c r="JBO57" s="608"/>
      <c r="JBP57" s="608"/>
      <c r="JBQ57" s="608"/>
      <c r="JBR57" s="608"/>
      <c r="JBS57" s="608"/>
      <c r="JBT57" s="608"/>
      <c r="JBU57" s="608"/>
      <c r="JBV57" s="608"/>
      <c r="JBW57" s="608"/>
      <c r="JBX57" s="608"/>
      <c r="JBY57" s="608"/>
      <c r="JBZ57" s="608"/>
      <c r="JCA57" s="608"/>
      <c r="JCB57" s="608"/>
      <c r="JCC57" s="608"/>
      <c r="JCD57" s="608"/>
      <c r="JCE57" s="608"/>
      <c r="JCF57" s="608"/>
      <c r="JCG57" s="608"/>
      <c r="JCH57" s="608"/>
      <c r="JCI57" s="608"/>
      <c r="JCJ57" s="608"/>
      <c r="JCK57" s="608"/>
      <c r="JCL57" s="608"/>
      <c r="JCM57" s="608"/>
      <c r="JCN57" s="608"/>
      <c r="JCO57" s="608"/>
      <c r="JCP57" s="608"/>
      <c r="JCQ57" s="608"/>
      <c r="JCR57" s="608"/>
      <c r="JCS57" s="608"/>
      <c r="JCT57" s="608"/>
      <c r="JCU57" s="608"/>
      <c r="JCV57" s="608"/>
      <c r="JCW57" s="608"/>
      <c r="JCX57" s="608"/>
      <c r="JCY57" s="608"/>
      <c r="JCZ57" s="608"/>
      <c r="JDA57" s="608"/>
      <c r="JDB57" s="608"/>
      <c r="JDC57" s="608"/>
      <c r="JDD57" s="608"/>
      <c r="JDE57" s="608"/>
      <c r="JDF57" s="608"/>
      <c r="JDG57" s="608"/>
      <c r="JDH57" s="608"/>
      <c r="JDI57" s="608"/>
      <c r="JDJ57" s="608"/>
      <c r="JDK57" s="608"/>
      <c r="JDL57" s="608"/>
      <c r="JDM57" s="608"/>
      <c r="JDN57" s="608"/>
      <c r="JDO57" s="608"/>
      <c r="JDP57" s="608"/>
      <c r="JDQ57" s="608"/>
      <c r="JDR57" s="608"/>
      <c r="JDS57" s="608"/>
      <c r="JDT57" s="608"/>
      <c r="JDU57" s="608"/>
      <c r="JDV57" s="608"/>
      <c r="JDW57" s="608"/>
      <c r="JDX57" s="608"/>
      <c r="JDY57" s="608"/>
      <c r="JDZ57" s="608"/>
      <c r="JEA57" s="608"/>
      <c r="JEB57" s="608"/>
      <c r="JEC57" s="608"/>
      <c r="JED57" s="608"/>
      <c r="JEE57" s="608"/>
      <c r="JEF57" s="608"/>
      <c r="JEG57" s="608"/>
      <c r="JEH57" s="608"/>
      <c r="JEI57" s="608"/>
      <c r="JEJ57" s="608"/>
      <c r="JEK57" s="608"/>
      <c r="JEL57" s="608"/>
      <c r="JEM57" s="608"/>
      <c r="JEN57" s="608"/>
      <c r="JEO57" s="608"/>
      <c r="JEP57" s="608"/>
      <c r="JEQ57" s="608"/>
      <c r="JER57" s="608"/>
      <c r="JES57" s="608"/>
      <c r="JET57" s="608"/>
      <c r="JEU57" s="608"/>
      <c r="JEV57" s="608"/>
      <c r="JEW57" s="608"/>
      <c r="JEX57" s="608"/>
      <c r="JEY57" s="608"/>
      <c r="JEZ57" s="608"/>
      <c r="JFA57" s="608"/>
      <c r="JFB57" s="608"/>
      <c r="JFC57" s="608"/>
      <c r="JFD57" s="608"/>
      <c r="JFE57" s="608"/>
      <c r="JFF57" s="608"/>
      <c r="JFG57" s="608"/>
      <c r="JFH57" s="608"/>
      <c r="JFI57" s="608"/>
      <c r="JFJ57" s="608"/>
      <c r="JFK57" s="608"/>
      <c r="JFL57" s="608"/>
      <c r="JFM57" s="608"/>
      <c r="JFN57" s="608"/>
      <c r="JFO57" s="608"/>
      <c r="JFP57" s="608"/>
      <c r="JFQ57" s="608"/>
      <c r="JFR57" s="608"/>
      <c r="JFS57" s="608"/>
      <c r="JFT57" s="608"/>
      <c r="JFU57" s="608"/>
      <c r="JFV57" s="608"/>
      <c r="JFW57" s="608"/>
      <c r="JFX57" s="608"/>
      <c r="JFY57" s="608"/>
      <c r="JFZ57" s="608"/>
      <c r="JGA57" s="608"/>
      <c r="JGB57" s="608"/>
      <c r="JGC57" s="608"/>
      <c r="JGD57" s="608"/>
      <c r="JGE57" s="608"/>
      <c r="JGF57" s="608"/>
      <c r="JGG57" s="608"/>
      <c r="JGH57" s="608"/>
      <c r="JGI57" s="608"/>
      <c r="JGJ57" s="608"/>
      <c r="JGK57" s="608"/>
      <c r="JGL57" s="608"/>
      <c r="JGM57" s="608"/>
      <c r="JGN57" s="608"/>
      <c r="JGO57" s="608"/>
      <c r="JGP57" s="608"/>
      <c r="JGQ57" s="608"/>
      <c r="JGR57" s="608"/>
      <c r="JGS57" s="608"/>
      <c r="JGT57" s="608"/>
      <c r="JGU57" s="608"/>
      <c r="JGV57" s="608"/>
      <c r="JGW57" s="608"/>
      <c r="JGX57" s="608"/>
      <c r="JGY57" s="608"/>
      <c r="JGZ57" s="608"/>
      <c r="JHA57" s="608"/>
      <c r="JHB57" s="608"/>
      <c r="JHC57" s="608"/>
      <c r="JHD57" s="608"/>
      <c r="JHE57" s="608"/>
      <c r="JHF57" s="608"/>
      <c r="JHG57" s="608"/>
      <c r="JHH57" s="608"/>
      <c r="JHI57" s="608"/>
      <c r="JHJ57" s="608"/>
      <c r="JHK57" s="608"/>
      <c r="JHL57" s="608"/>
      <c r="JHM57" s="608"/>
      <c r="JHN57" s="608"/>
      <c r="JHO57" s="608"/>
      <c r="JHP57" s="608"/>
      <c r="JHQ57" s="608"/>
      <c r="JHR57" s="608"/>
      <c r="JHS57" s="608"/>
      <c r="JHT57" s="608"/>
      <c r="JHU57" s="608"/>
      <c r="JHV57" s="608"/>
      <c r="JHW57" s="608"/>
      <c r="JHX57" s="608"/>
      <c r="JHY57" s="608"/>
      <c r="JHZ57" s="608"/>
      <c r="JIA57" s="608"/>
      <c r="JIB57" s="608"/>
      <c r="JIC57" s="608"/>
      <c r="JID57" s="608"/>
      <c r="JIE57" s="608"/>
      <c r="JIF57" s="608"/>
      <c r="JIG57" s="608"/>
      <c r="JIH57" s="608"/>
      <c r="JII57" s="608"/>
      <c r="JIJ57" s="608"/>
      <c r="JIK57" s="608"/>
      <c r="JIL57" s="608"/>
      <c r="JIM57" s="608"/>
      <c r="JIN57" s="608"/>
      <c r="JIO57" s="608"/>
      <c r="JIP57" s="608"/>
      <c r="JIQ57" s="608"/>
      <c r="JIR57" s="608"/>
      <c r="JIS57" s="608"/>
      <c r="JIT57" s="608"/>
      <c r="JIU57" s="608"/>
      <c r="JIV57" s="608"/>
      <c r="JIW57" s="608"/>
      <c r="JIX57" s="608"/>
      <c r="JIY57" s="608"/>
      <c r="JIZ57" s="608"/>
      <c r="JJA57" s="608"/>
      <c r="JJB57" s="608"/>
      <c r="JJC57" s="608"/>
      <c r="JJD57" s="608"/>
      <c r="JJE57" s="608"/>
      <c r="JJF57" s="608"/>
      <c r="JJG57" s="608"/>
      <c r="JJH57" s="608"/>
      <c r="JJI57" s="608"/>
      <c r="JJJ57" s="608"/>
      <c r="JJK57" s="608"/>
      <c r="JJL57" s="608"/>
      <c r="JJM57" s="608"/>
      <c r="JJN57" s="608"/>
      <c r="JJO57" s="608"/>
      <c r="JJP57" s="608"/>
      <c r="JJQ57" s="608"/>
      <c r="JJR57" s="608"/>
      <c r="JJS57" s="608"/>
      <c r="JJT57" s="608"/>
      <c r="JJU57" s="608"/>
      <c r="JJV57" s="608"/>
      <c r="JJW57" s="608"/>
      <c r="JJX57" s="608"/>
      <c r="JJY57" s="608"/>
      <c r="JJZ57" s="608"/>
      <c r="JKA57" s="608"/>
      <c r="JKB57" s="608"/>
      <c r="JKC57" s="608"/>
      <c r="JKD57" s="608"/>
      <c r="JKE57" s="608"/>
      <c r="JKF57" s="608"/>
      <c r="JKG57" s="608"/>
      <c r="JKH57" s="608"/>
      <c r="JKI57" s="608"/>
      <c r="JKJ57" s="608"/>
      <c r="JKK57" s="608"/>
      <c r="JKL57" s="608"/>
      <c r="JKM57" s="608"/>
      <c r="JKN57" s="608"/>
      <c r="JKO57" s="608"/>
      <c r="JKP57" s="608"/>
      <c r="JKQ57" s="608"/>
      <c r="JKR57" s="608"/>
      <c r="JKS57" s="608"/>
      <c r="JKT57" s="608"/>
      <c r="JKU57" s="608"/>
      <c r="JKV57" s="608"/>
      <c r="JKW57" s="608"/>
      <c r="JKX57" s="608"/>
      <c r="JKY57" s="608"/>
      <c r="JKZ57" s="608"/>
      <c r="JLA57" s="608"/>
      <c r="JLB57" s="608"/>
      <c r="JLC57" s="608"/>
      <c r="JLD57" s="608"/>
      <c r="JLE57" s="608"/>
      <c r="JLF57" s="608"/>
      <c r="JLG57" s="608"/>
      <c r="JLH57" s="608"/>
      <c r="JLI57" s="608"/>
      <c r="JLJ57" s="608"/>
      <c r="JLK57" s="608"/>
      <c r="JLL57" s="608"/>
      <c r="JLM57" s="608"/>
      <c r="JLN57" s="608"/>
      <c r="JLO57" s="608"/>
      <c r="JLP57" s="608"/>
      <c r="JLQ57" s="608"/>
      <c r="JLR57" s="608"/>
      <c r="JLS57" s="608"/>
      <c r="JLT57" s="608"/>
      <c r="JLU57" s="608"/>
      <c r="JLV57" s="608"/>
      <c r="JLW57" s="608"/>
      <c r="JLX57" s="608"/>
      <c r="JLY57" s="608"/>
      <c r="JLZ57" s="608"/>
      <c r="JMA57" s="608"/>
      <c r="JMB57" s="608"/>
      <c r="JMC57" s="608"/>
      <c r="JMD57" s="608"/>
      <c r="JME57" s="608"/>
      <c r="JMF57" s="608"/>
      <c r="JMG57" s="608"/>
      <c r="JMH57" s="608"/>
      <c r="JMI57" s="608"/>
      <c r="JMJ57" s="608"/>
      <c r="JMK57" s="608"/>
      <c r="JML57" s="608"/>
      <c r="JMM57" s="608"/>
      <c r="JMN57" s="608"/>
      <c r="JMO57" s="608"/>
      <c r="JMP57" s="608"/>
      <c r="JMQ57" s="608"/>
      <c r="JMR57" s="608"/>
      <c r="JMS57" s="608"/>
      <c r="JMT57" s="608"/>
      <c r="JMU57" s="608"/>
      <c r="JMV57" s="608"/>
      <c r="JMW57" s="608"/>
      <c r="JMX57" s="608"/>
      <c r="JMY57" s="608"/>
      <c r="JMZ57" s="608"/>
      <c r="JNA57" s="608"/>
      <c r="JNB57" s="608"/>
      <c r="JNC57" s="608"/>
      <c r="JND57" s="608"/>
      <c r="JNE57" s="608"/>
      <c r="JNF57" s="608"/>
      <c r="JNG57" s="608"/>
      <c r="JNH57" s="608"/>
      <c r="JNI57" s="608"/>
      <c r="JNJ57" s="608"/>
      <c r="JNK57" s="608"/>
      <c r="JNL57" s="608"/>
      <c r="JNM57" s="608"/>
      <c r="JNN57" s="608"/>
      <c r="JNO57" s="608"/>
      <c r="JNP57" s="608"/>
      <c r="JNQ57" s="608"/>
      <c r="JNR57" s="608"/>
      <c r="JNS57" s="608"/>
      <c r="JNT57" s="608"/>
      <c r="JNU57" s="608"/>
      <c r="JNV57" s="608"/>
      <c r="JNW57" s="608"/>
      <c r="JNX57" s="608"/>
      <c r="JNY57" s="608"/>
      <c r="JNZ57" s="608"/>
      <c r="JOA57" s="608"/>
      <c r="JOB57" s="608"/>
      <c r="JOC57" s="608"/>
      <c r="JOD57" s="608"/>
      <c r="JOE57" s="608"/>
      <c r="JOF57" s="608"/>
      <c r="JOG57" s="608"/>
      <c r="JOH57" s="608"/>
      <c r="JOI57" s="608"/>
      <c r="JOJ57" s="608"/>
      <c r="JOK57" s="608"/>
      <c r="JOL57" s="608"/>
      <c r="JOM57" s="608"/>
      <c r="JON57" s="608"/>
      <c r="JOO57" s="608"/>
      <c r="JOP57" s="608"/>
      <c r="JOQ57" s="608"/>
      <c r="JOR57" s="608"/>
      <c r="JOS57" s="608"/>
      <c r="JOT57" s="608"/>
      <c r="JOU57" s="608"/>
      <c r="JOV57" s="608"/>
      <c r="JOW57" s="608"/>
      <c r="JOX57" s="608"/>
      <c r="JOY57" s="608"/>
      <c r="JOZ57" s="608"/>
      <c r="JPA57" s="608"/>
      <c r="JPB57" s="608"/>
      <c r="JPC57" s="608"/>
      <c r="JPD57" s="608"/>
      <c r="JPE57" s="608"/>
      <c r="JPF57" s="608"/>
      <c r="JPG57" s="608"/>
      <c r="JPH57" s="608"/>
      <c r="JPI57" s="608"/>
      <c r="JPJ57" s="608"/>
      <c r="JPK57" s="608"/>
      <c r="JPL57" s="608"/>
      <c r="JPM57" s="608"/>
      <c r="JPN57" s="608"/>
      <c r="JPO57" s="608"/>
      <c r="JPP57" s="608"/>
      <c r="JPQ57" s="608"/>
      <c r="JPR57" s="608"/>
      <c r="JPS57" s="608"/>
      <c r="JPT57" s="608"/>
      <c r="JPU57" s="608"/>
      <c r="JPV57" s="608"/>
      <c r="JPW57" s="608"/>
      <c r="JPX57" s="608"/>
      <c r="JPY57" s="608"/>
      <c r="JPZ57" s="608"/>
      <c r="JQA57" s="608"/>
      <c r="JQB57" s="608"/>
      <c r="JQC57" s="608"/>
      <c r="JQD57" s="608"/>
      <c r="JQE57" s="608"/>
      <c r="JQF57" s="608"/>
      <c r="JQG57" s="608"/>
      <c r="JQH57" s="608"/>
      <c r="JQI57" s="608"/>
      <c r="JQJ57" s="608"/>
      <c r="JQK57" s="608"/>
      <c r="JQL57" s="608"/>
      <c r="JQM57" s="608"/>
      <c r="JQN57" s="608"/>
      <c r="JQO57" s="608"/>
      <c r="JQP57" s="608"/>
      <c r="JQQ57" s="608"/>
      <c r="JQR57" s="608"/>
      <c r="JQS57" s="608"/>
      <c r="JQT57" s="608"/>
      <c r="JQU57" s="608"/>
      <c r="JQV57" s="608"/>
      <c r="JQW57" s="608"/>
      <c r="JQX57" s="608"/>
      <c r="JQY57" s="608"/>
      <c r="JQZ57" s="608"/>
      <c r="JRA57" s="608"/>
      <c r="JRB57" s="608"/>
      <c r="JRC57" s="608"/>
      <c r="JRD57" s="608"/>
      <c r="JRE57" s="608"/>
      <c r="JRF57" s="608"/>
      <c r="JRG57" s="608"/>
      <c r="JRH57" s="608"/>
      <c r="JRI57" s="608"/>
      <c r="JRJ57" s="608"/>
      <c r="JRK57" s="608"/>
      <c r="JRL57" s="608"/>
      <c r="JRM57" s="608"/>
      <c r="JRN57" s="608"/>
      <c r="JRO57" s="608"/>
      <c r="JRP57" s="608"/>
      <c r="JRQ57" s="608"/>
      <c r="JRR57" s="608"/>
      <c r="JRS57" s="608"/>
      <c r="JRT57" s="608"/>
      <c r="JRU57" s="608"/>
      <c r="JRV57" s="608"/>
      <c r="JRW57" s="608"/>
      <c r="JRX57" s="608"/>
      <c r="JRY57" s="608"/>
      <c r="JRZ57" s="608"/>
      <c r="JSA57" s="608"/>
      <c r="JSB57" s="608"/>
      <c r="JSC57" s="608"/>
      <c r="JSD57" s="608"/>
      <c r="JSE57" s="608"/>
      <c r="JSF57" s="608"/>
      <c r="JSG57" s="608"/>
      <c r="JSH57" s="608"/>
      <c r="JSI57" s="608"/>
      <c r="JSJ57" s="608"/>
      <c r="JSK57" s="608"/>
      <c r="JSL57" s="608"/>
      <c r="JSM57" s="608"/>
      <c r="JSN57" s="608"/>
      <c r="JSO57" s="608"/>
      <c r="JSP57" s="608"/>
      <c r="JSQ57" s="608"/>
      <c r="JSR57" s="608"/>
      <c r="JSS57" s="608"/>
      <c r="JST57" s="608"/>
      <c r="JSU57" s="608"/>
      <c r="JSV57" s="608"/>
      <c r="JSW57" s="608"/>
      <c r="JSX57" s="608"/>
      <c r="JSY57" s="608"/>
      <c r="JSZ57" s="608"/>
      <c r="JTA57" s="608"/>
      <c r="JTB57" s="608"/>
      <c r="JTC57" s="608"/>
      <c r="JTD57" s="608"/>
      <c r="JTE57" s="608"/>
      <c r="JTF57" s="608"/>
      <c r="JTG57" s="608"/>
      <c r="JTH57" s="608"/>
      <c r="JTI57" s="608"/>
      <c r="JTJ57" s="608"/>
      <c r="JTK57" s="608"/>
      <c r="JTL57" s="608"/>
      <c r="JTM57" s="608"/>
      <c r="JTN57" s="608"/>
      <c r="JTO57" s="608"/>
      <c r="JTP57" s="608"/>
      <c r="JTQ57" s="608"/>
      <c r="JTR57" s="608"/>
      <c r="JTS57" s="608"/>
      <c r="JTT57" s="608"/>
      <c r="JTU57" s="608"/>
      <c r="JTV57" s="608"/>
      <c r="JTW57" s="608"/>
      <c r="JTX57" s="608"/>
      <c r="JTY57" s="608"/>
      <c r="JTZ57" s="608"/>
      <c r="JUA57" s="608"/>
      <c r="JUB57" s="608"/>
      <c r="JUC57" s="608"/>
      <c r="JUD57" s="608"/>
      <c r="JUE57" s="608"/>
      <c r="JUF57" s="608"/>
      <c r="JUG57" s="608"/>
      <c r="JUH57" s="608"/>
      <c r="JUI57" s="608"/>
      <c r="JUJ57" s="608"/>
      <c r="JUK57" s="608"/>
      <c r="JUL57" s="608"/>
      <c r="JUM57" s="608"/>
      <c r="JUN57" s="608"/>
      <c r="JUO57" s="608"/>
      <c r="JUP57" s="608"/>
      <c r="JUQ57" s="608"/>
      <c r="JUR57" s="608"/>
      <c r="JUS57" s="608"/>
      <c r="JUT57" s="608"/>
      <c r="JUU57" s="608"/>
      <c r="JUV57" s="608"/>
      <c r="JUW57" s="608"/>
      <c r="JUX57" s="608"/>
      <c r="JUY57" s="608"/>
      <c r="JUZ57" s="608"/>
      <c r="JVA57" s="608"/>
      <c r="JVB57" s="608"/>
      <c r="JVC57" s="608"/>
      <c r="JVD57" s="608"/>
      <c r="JVE57" s="608"/>
      <c r="JVF57" s="608"/>
      <c r="JVG57" s="608"/>
      <c r="JVH57" s="608"/>
      <c r="JVI57" s="608"/>
      <c r="JVJ57" s="608"/>
      <c r="JVK57" s="608"/>
      <c r="JVL57" s="608"/>
      <c r="JVM57" s="608"/>
      <c r="JVN57" s="608"/>
      <c r="JVO57" s="608"/>
      <c r="JVP57" s="608"/>
      <c r="JVQ57" s="608"/>
      <c r="JVR57" s="608"/>
      <c r="JVS57" s="608"/>
      <c r="JVT57" s="608"/>
      <c r="JVU57" s="608"/>
      <c r="JVV57" s="608"/>
      <c r="JVW57" s="608"/>
      <c r="JVX57" s="608"/>
      <c r="JVY57" s="608"/>
      <c r="JVZ57" s="608"/>
      <c r="JWA57" s="608"/>
      <c r="JWB57" s="608"/>
      <c r="JWC57" s="608"/>
      <c r="JWD57" s="608"/>
      <c r="JWE57" s="608"/>
      <c r="JWF57" s="608"/>
      <c r="JWG57" s="608"/>
      <c r="JWH57" s="608"/>
      <c r="JWI57" s="608"/>
      <c r="JWJ57" s="608"/>
      <c r="JWK57" s="608"/>
      <c r="JWL57" s="608"/>
      <c r="JWM57" s="608"/>
      <c r="JWN57" s="608"/>
      <c r="JWO57" s="608"/>
      <c r="JWP57" s="608"/>
      <c r="JWQ57" s="608"/>
      <c r="JWR57" s="608"/>
      <c r="JWS57" s="608"/>
      <c r="JWT57" s="608"/>
      <c r="JWU57" s="608"/>
      <c r="JWV57" s="608"/>
      <c r="JWW57" s="608"/>
      <c r="JWX57" s="608"/>
      <c r="JWY57" s="608"/>
      <c r="JWZ57" s="608"/>
      <c r="JXA57" s="608"/>
      <c r="JXB57" s="608"/>
      <c r="JXC57" s="608"/>
      <c r="JXD57" s="608"/>
      <c r="JXE57" s="608"/>
      <c r="JXF57" s="608"/>
      <c r="JXG57" s="608"/>
      <c r="JXH57" s="608"/>
      <c r="JXI57" s="608"/>
      <c r="JXJ57" s="608"/>
      <c r="JXK57" s="608"/>
      <c r="JXL57" s="608"/>
      <c r="JXM57" s="608"/>
      <c r="JXN57" s="608"/>
      <c r="JXO57" s="608"/>
      <c r="JXP57" s="608"/>
      <c r="JXQ57" s="608"/>
      <c r="JXR57" s="608"/>
      <c r="JXS57" s="608"/>
      <c r="JXT57" s="608"/>
      <c r="JXU57" s="608"/>
      <c r="JXV57" s="608"/>
      <c r="JXW57" s="608"/>
      <c r="JXX57" s="608"/>
      <c r="JXY57" s="608"/>
      <c r="JXZ57" s="608"/>
      <c r="JYA57" s="608"/>
      <c r="JYB57" s="608"/>
      <c r="JYC57" s="608"/>
      <c r="JYD57" s="608"/>
      <c r="JYE57" s="608"/>
      <c r="JYF57" s="608"/>
      <c r="JYG57" s="608"/>
      <c r="JYH57" s="608"/>
      <c r="JYI57" s="608"/>
      <c r="JYJ57" s="608"/>
      <c r="JYK57" s="608"/>
      <c r="JYL57" s="608"/>
      <c r="JYM57" s="608"/>
      <c r="JYN57" s="608"/>
      <c r="JYO57" s="608"/>
      <c r="JYP57" s="608"/>
      <c r="JYQ57" s="608"/>
      <c r="JYR57" s="608"/>
      <c r="JYS57" s="608"/>
      <c r="JYT57" s="608"/>
      <c r="JYU57" s="608"/>
      <c r="JYV57" s="608"/>
      <c r="JYW57" s="608"/>
      <c r="JYX57" s="608"/>
      <c r="JYY57" s="608"/>
      <c r="JYZ57" s="608"/>
      <c r="JZA57" s="608"/>
      <c r="JZB57" s="608"/>
      <c r="JZC57" s="608"/>
      <c r="JZD57" s="608"/>
      <c r="JZE57" s="608"/>
      <c r="JZF57" s="608"/>
      <c r="JZG57" s="608"/>
      <c r="JZH57" s="608"/>
      <c r="JZI57" s="608"/>
      <c r="JZJ57" s="608"/>
      <c r="JZK57" s="608"/>
      <c r="JZL57" s="608"/>
      <c r="JZM57" s="608"/>
      <c r="JZN57" s="608"/>
      <c r="JZO57" s="608"/>
      <c r="JZP57" s="608"/>
      <c r="JZQ57" s="608"/>
      <c r="JZR57" s="608"/>
      <c r="JZS57" s="608"/>
      <c r="JZT57" s="608"/>
      <c r="JZU57" s="608"/>
      <c r="JZV57" s="608"/>
      <c r="JZW57" s="608"/>
      <c r="JZX57" s="608"/>
      <c r="JZY57" s="608"/>
      <c r="JZZ57" s="608"/>
      <c r="KAA57" s="608"/>
      <c r="KAB57" s="608"/>
      <c r="KAC57" s="608"/>
      <c r="KAD57" s="608"/>
      <c r="KAE57" s="608"/>
      <c r="KAF57" s="608"/>
      <c r="KAG57" s="608"/>
      <c r="KAH57" s="608"/>
      <c r="KAI57" s="608"/>
      <c r="KAJ57" s="608"/>
      <c r="KAK57" s="608"/>
      <c r="KAL57" s="608"/>
      <c r="KAM57" s="608"/>
      <c r="KAN57" s="608"/>
      <c r="KAO57" s="608"/>
      <c r="KAP57" s="608"/>
      <c r="KAQ57" s="608"/>
      <c r="KAR57" s="608"/>
      <c r="KAS57" s="608"/>
      <c r="KAT57" s="608"/>
      <c r="KAU57" s="608"/>
      <c r="KAV57" s="608"/>
      <c r="KAW57" s="608"/>
      <c r="KAX57" s="608"/>
      <c r="KAY57" s="608"/>
      <c r="KAZ57" s="608"/>
      <c r="KBA57" s="608"/>
      <c r="KBB57" s="608"/>
      <c r="KBC57" s="608"/>
      <c r="KBD57" s="608"/>
      <c r="KBE57" s="608"/>
      <c r="KBF57" s="608"/>
      <c r="KBG57" s="608"/>
      <c r="KBH57" s="608"/>
      <c r="KBI57" s="608"/>
      <c r="KBJ57" s="608"/>
      <c r="KBK57" s="608"/>
      <c r="KBL57" s="608"/>
      <c r="KBM57" s="608"/>
      <c r="KBN57" s="608"/>
      <c r="KBO57" s="608"/>
      <c r="KBP57" s="608"/>
      <c r="KBQ57" s="608"/>
      <c r="KBR57" s="608"/>
      <c r="KBS57" s="608"/>
      <c r="KBT57" s="608"/>
      <c r="KBU57" s="608"/>
      <c r="KBV57" s="608"/>
      <c r="KBW57" s="608"/>
      <c r="KBX57" s="608"/>
      <c r="KBY57" s="608"/>
      <c r="KBZ57" s="608"/>
      <c r="KCA57" s="608"/>
      <c r="KCB57" s="608"/>
      <c r="KCC57" s="608"/>
      <c r="KCD57" s="608"/>
      <c r="KCE57" s="608"/>
      <c r="KCF57" s="608"/>
      <c r="KCG57" s="608"/>
      <c r="KCH57" s="608"/>
      <c r="KCI57" s="608"/>
      <c r="KCJ57" s="608"/>
      <c r="KCK57" s="608"/>
      <c r="KCL57" s="608"/>
      <c r="KCM57" s="608"/>
      <c r="KCN57" s="608"/>
      <c r="KCO57" s="608"/>
      <c r="KCP57" s="608"/>
      <c r="KCQ57" s="608"/>
      <c r="KCR57" s="608"/>
      <c r="KCS57" s="608"/>
      <c r="KCT57" s="608"/>
      <c r="KCU57" s="608"/>
      <c r="KCV57" s="608"/>
      <c r="KCW57" s="608"/>
      <c r="KCX57" s="608"/>
      <c r="KCY57" s="608"/>
      <c r="KCZ57" s="608"/>
      <c r="KDA57" s="608"/>
      <c r="KDB57" s="608"/>
      <c r="KDC57" s="608"/>
      <c r="KDD57" s="608"/>
      <c r="KDE57" s="608"/>
      <c r="KDF57" s="608"/>
      <c r="KDG57" s="608"/>
      <c r="KDH57" s="608"/>
      <c r="KDI57" s="608"/>
      <c r="KDJ57" s="608"/>
      <c r="KDK57" s="608"/>
      <c r="KDL57" s="608"/>
      <c r="KDM57" s="608"/>
      <c r="KDN57" s="608"/>
      <c r="KDO57" s="608"/>
      <c r="KDP57" s="608"/>
      <c r="KDQ57" s="608"/>
      <c r="KDR57" s="608"/>
      <c r="KDS57" s="608"/>
      <c r="KDT57" s="608"/>
      <c r="KDU57" s="608"/>
      <c r="KDV57" s="608"/>
      <c r="KDW57" s="608"/>
      <c r="KDX57" s="608"/>
      <c r="KDY57" s="608"/>
      <c r="KDZ57" s="608"/>
      <c r="KEA57" s="608"/>
      <c r="KEB57" s="608"/>
      <c r="KEC57" s="608"/>
      <c r="KED57" s="608"/>
      <c r="KEE57" s="608"/>
      <c r="KEF57" s="608"/>
      <c r="KEG57" s="608"/>
      <c r="KEH57" s="608"/>
      <c r="KEI57" s="608"/>
      <c r="KEJ57" s="608"/>
      <c r="KEK57" s="608"/>
      <c r="KEL57" s="608"/>
      <c r="KEM57" s="608"/>
      <c r="KEN57" s="608"/>
      <c r="KEO57" s="608"/>
      <c r="KEP57" s="608"/>
      <c r="KEQ57" s="608"/>
      <c r="KER57" s="608"/>
      <c r="KES57" s="608"/>
      <c r="KET57" s="608"/>
      <c r="KEU57" s="608"/>
      <c r="KEV57" s="608"/>
      <c r="KEW57" s="608"/>
      <c r="KEX57" s="608"/>
      <c r="KEY57" s="608"/>
      <c r="KEZ57" s="608"/>
      <c r="KFA57" s="608"/>
      <c r="KFB57" s="608"/>
      <c r="KFC57" s="608"/>
      <c r="KFD57" s="608"/>
      <c r="KFE57" s="608"/>
      <c r="KFF57" s="608"/>
      <c r="KFG57" s="608"/>
      <c r="KFH57" s="608"/>
      <c r="KFI57" s="608"/>
      <c r="KFJ57" s="608"/>
      <c r="KFK57" s="608"/>
      <c r="KFL57" s="608"/>
      <c r="KFM57" s="608"/>
      <c r="KFN57" s="608"/>
      <c r="KFO57" s="608"/>
      <c r="KFP57" s="608"/>
      <c r="KFQ57" s="608"/>
      <c r="KFR57" s="608"/>
      <c r="KFS57" s="608"/>
      <c r="KFT57" s="608"/>
      <c r="KFU57" s="608"/>
      <c r="KFV57" s="608"/>
      <c r="KFW57" s="608"/>
      <c r="KFX57" s="608"/>
      <c r="KFY57" s="608"/>
      <c r="KFZ57" s="608"/>
      <c r="KGA57" s="608"/>
      <c r="KGB57" s="608"/>
      <c r="KGC57" s="608"/>
      <c r="KGD57" s="608"/>
      <c r="KGE57" s="608"/>
      <c r="KGF57" s="608"/>
      <c r="KGG57" s="608"/>
      <c r="KGH57" s="608"/>
      <c r="KGI57" s="608"/>
      <c r="KGJ57" s="608"/>
      <c r="KGK57" s="608"/>
      <c r="KGL57" s="608"/>
      <c r="KGM57" s="608"/>
      <c r="KGN57" s="608"/>
      <c r="KGO57" s="608"/>
      <c r="KGP57" s="608"/>
      <c r="KGQ57" s="608"/>
      <c r="KGR57" s="608"/>
      <c r="KGS57" s="608"/>
      <c r="KGT57" s="608"/>
      <c r="KGU57" s="608"/>
      <c r="KGV57" s="608"/>
      <c r="KGW57" s="608"/>
      <c r="KGX57" s="608"/>
      <c r="KGY57" s="608"/>
      <c r="KGZ57" s="608"/>
      <c r="KHA57" s="608"/>
      <c r="KHB57" s="608"/>
      <c r="KHC57" s="608"/>
      <c r="KHD57" s="608"/>
      <c r="KHE57" s="608"/>
      <c r="KHF57" s="608"/>
      <c r="KHG57" s="608"/>
      <c r="KHH57" s="608"/>
      <c r="KHI57" s="608"/>
      <c r="KHJ57" s="608"/>
      <c r="KHK57" s="608"/>
      <c r="KHL57" s="608"/>
      <c r="KHM57" s="608"/>
      <c r="KHN57" s="608"/>
      <c r="KHO57" s="608"/>
      <c r="KHP57" s="608"/>
      <c r="KHQ57" s="608"/>
      <c r="KHR57" s="608"/>
      <c r="KHS57" s="608"/>
      <c r="KHT57" s="608"/>
      <c r="KHU57" s="608"/>
      <c r="KHV57" s="608"/>
      <c r="KHW57" s="608"/>
      <c r="KHX57" s="608"/>
      <c r="KHY57" s="608"/>
      <c r="KHZ57" s="608"/>
      <c r="KIA57" s="608"/>
      <c r="KIB57" s="608"/>
      <c r="KIC57" s="608"/>
      <c r="KID57" s="608"/>
      <c r="KIE57" s="608"/>
      <c r="KIF57" s="608"/>
      <c r="KIG57" s="608"/>
      <c r="KIH57" s="608"/>
      <c r="KII57" s="608"/>
      <c r="KIJ57" s="608"/>
      <c r="KIK57" s="608"/>
      <c r="KIL57" s="608"/>
      <c r="KIM57" s="608"/>
      <c r="KIN57" s="608"/>
      <c r="KIO57" s="608"/>
      <c r="KIP57" s="608"/>
      <c r="KIQ57" s="608"/>
      <c r="KIR57" s="608"/>
      <c r="KIS57" s="608"/>
      <c r="KIT57" s="608"/>
      <c r="KIU57" s="608"/>
      <c r="KIV57" s="608"/>
      <c r="KIW57" s="608"/>
      <c r="KIX57" s="608"/>
      <c r="KIY57" s="608"/>
      <c r="KIZ57" s="608"/>
      <c r="KJA57" s="608"/>
      <c r="KJB57" s="608"/>
      <c r="KJC57" s="608"/>
      <c r="KJD57" s="608"/>
      <c r="KJE57" s="608"/>
      <c r="KJF57" s="608"/>
      <c r="KJG57" s="608"/>
      <c r="KJH57" s="608"/>
      <c r="KJI57" s="608"/>
      <c r="KJJ57" s="608"/>
      <c r="KJK57" s="608"/>
      <c r="KJL57" s="608"/>
      <c r="KJM57" s="608"/>
      <c r="KJN57" s="608"/>
      <c r="KJO57" s="608"/>
      <c r="KJP57" s="608"/>
      <c r="KJQ57" s="608"/>
      <c r="KJR57" s="608"/>
      <c r="KJS57" s="608"/>
      <c r="KJT57" s="608"/>
      <c r="KJU57" s="608"/>
      <c r="KJV57" s="608"/>
      <c r="KJW57" s="608"/>
      <c r="KJX57" s="608"/>
      <c r="KJY57" s="608"/>
      <c r="KJZ57" s="608"/>
      <c r="KKA57" s="608"/>
      <c r="KKB57" s="608"/>
      <c r="KKC57" s="608"/>
      <c r="KKD57" s="608"/>
      <c r="KKE57" s="608"/>
      <c r="KKF57" s="608"/>
      <c r="KKG57" s="608"/>
      <c r="KKH57" s="608"/>
      <c r="KKI57" s="608"/>
      <c r="KKJ57" s="608"/>
      <c r="KKK57" s="608"/>
      <c r="KKL57" s="608"/>
      <c r="KKM57" s="608"/>
      <c r="KKN57" s="608"/>
      <c r="KKO57" s="608"/>
      <c r="KKP57" s="608"/>
      <c r="KKQ57" s="608"/>
      <c r="KKR57" s="608"/>
      <c r="KKS57" s="608"/>
      <c r="KKT57" s="608"/>
      <c r="KKU57" s="608"/>
      <c r="KKV57" s="608"/>
      <c r="KKW57" s="608"/>
      <c r="KKX57" s="608"/>
      <c r="KKY57" s="608"/>
      <c r="KKZ57" s="608"/>
      <c r="KLA57" s="608"/>
      <c r="KLB57" s="608"/>
      <c r="KLC57" s="608"/>
      <c r="KLD57" s="608"/>
      <c r="KLE57" s="608"/>
      <c r="KLF57" s="608"/>
      <c r="KLG57" s="608"/>
      <c r="KLH57" s="608"/>
      <c r="KLI57" s="608"/>
      <c r="KLJ57" s="608"/>
      <c r="KLK57" s="608"/>
      <c r="KLL57" s="608"/>
      <c r="KLM57" s="608"/>
      <c r="KLN57" s="608"/>
      <c r="KLO57" s="608"/>
      <c r="KLP57" s="608"/>
      <c r="KLQ57" s="608"/>
      <c r="KLR57" s="608"/>
      <c r="KLS57" s="608"/>
      <c r="KLT57" s="608"/>
      <c r="KLU57" s="608"/>
      <c r="KLV57" s="608"/>
      <c r="KLW57" s="608"/>
      <c r="KLX57" s="608"/>
      <c r="KLY57" s="608"/>
      <c r="KLZ57" s="608"/>
      <c r="KMA57" s="608"/>
      <c r="KMB57" s="608"/>
      <c r="KMC57" s="608"/>
      <c r="KMD57" s="608"/>
      <c r="KME57" s="608"/>
      <c r="KMF57" s="608"/>
      <c r="KMG57" s="608"/>
      <c r="KMH57" s="608"/>
      <c r="KMI57" s="608"/>
      <c r="KMJ57" s="608"/>
      <c r="KMK57" s="608"/>
      <c r="KML57" s="608"/>
      <c r="KMM57" s="608"/>
      <c r="KMN57" s="608"/>
      <c r="KMO57" s="608"/>
      <c r="KMP57" s="608"/>
      <c r="KMQ57" s="608"/>
      <c r="KMR57" s="608"/>
      <c r="KMS57" s="608"/>
      <c r="KMT57" s="608"/>
      <c r="KMU57" s="608"/>
      <c r="KMV57" s="608"/>
      <c r="KMW57" s="608"/>
      <c r="KMX57" s="608"/>
      <c r="KMY57" s="608"/>
      <c r="KMZ57" s="608"/>
      <c r="KNA57" s="608"/>
      <c r="KNB57" s="608"/>
      <c r="KNC57" s="608"/>
      <c r="KND57" s="608"/>
      <c r="KNE57" s="608"/>
      <c r="KNF57" s="608"/>
      <c r="KNG57" s="608"/>
      <c r="KNH57" s="608"/>
      <c r="KNI57" s="608"/>
      <c r="KNJ57" s="608"/>
      <c r="KNK57" s="608"/>
      <c r="KNL57" s="608"/>
      <c r="KNM57" s="608"/>
      <c r="KNN57" s="608"/>
      <c r="KNO57" s="608"/>
      <c r="KNP57" s="608"/>
      <c r="KNQ57" s="608"/>
      <c r="KNR57" s="608"/>
      <c r="KNS57" s="608"/>
      <c r="KNT57" s="608"/>
      <c r="KNU57" s="608"/>
      <c r="KNV57" s="608"/>
      <c r="KNW57" s="608"/>
      <c r="KNX57" s="608"/>
      <c r="KNY57" s="608"/>
      <c r="KNZ57" s="608"/>
      <c r="KOA57" s="608"/>
      <c r="KOB57" s="608"/>
      <c r="KOC57" s="608"/>
      <c r="KOD57" s="608"/>
      <c r="KOE57" s="608"/>
      <c r="KOF57" s="608"/>
      <c r="KOG57" s="608"/>
      <c r="KOH57" s="608"/>
      <c r="KOI57" s="608"/>
      <c r="KOJ57" s="608"/>
      <c r="KOK57" s="608"/>
      <c r="KOL57" s="608"/>
      <c r="KOM57" s="608"/>
      <c r="KON57" s="608"/>
      <c r="KOO57" s="608"/>
      <c r="KOP57" s="608"/>
      <c r="KOQ57" s="608"/>
      <c r="KOR57" s="608"/>
      <c r="KOS57" s="608"/>
      <c r="KOT57" s="608"/>
      <c r="KOU57" s="608"/>
      <c r="KOV57" s="608"/>
      <c r="KOW57" s="608"/>
      <c r="KOX57" s="608"/>
      <c r="KOY57" s="608"/>
      <c r="KOZ57" s="608"/>
      <c r="KPA57" s="608"/>
      <c r="KPB57" s="608"/>
      <c r="KPC57" s="608"/>
      <c r="KPD57" s="608"/>
      <c r="KPE57" s="608"/>
      <c r="KPF57" s="608"/>
      <c r="KPG57" s="608"/>
      <c r="KPH57" s="608"/>
      <c r="KPI57" s="608"/>
      <c r="KPJ57" s="608"/>
      <c r="KPK57" s="608"/>
      <c r="KPL57" s="608"/>
      <c r="KPM57" s="608"/>
      <c r="KPN57" s="608"/>
      <c r="KPO57" s="608"/>
      <c r="KPP57" s="608"/>
      <c r="KPQ57" s="608"/>
      <c r="KPR57" s="608"/>
      <c r="KPS57" s="608"/>
      <c r="KPT57" s="608"/>
      <c r="KPU57" s="608"/>
      <c r="KPV57" s="608"/>
      <c r="KPW57" s="608"/>
      <c r="KPX57" s="608"/>
      <c r="KPY57" s="608"/>
      <c r="KPZ57" s="608"/>
      <c r="KQA57" s="608"/>
      <c r="KQB57" s="608"/>
      <c r="KQC57" s="608"/>
      <c r="KQD57" s="608"/>
      <c r="KQE57" s="608"/>
      <c r="KQF57" s="608"/>
      <c r="KQG57" s="608"/>
      <c r="KQH57" s="608"/>
      <c r="KQI57" s="608"/>
      <c r="KQJ57" s="608"/>
      <c r="KQK57" s="608"/>
      <c r="KQL57" s="608"/>
      <c r="KQM57" s="608"/>
      <c r="KQN57" s="608"/>
      <c r="KQO57" s="608"/>
      <c r="KQP57" s="608"/>
      <c r="KQQ57" s="608"/>
      <c r="KQR57" s="608"/>
      <c r="KQS57" s="608"/>
      <c r="KQT57" s="608"/>
      <c r="KQU57" s="608"/>
      <c r="KQV57" s="608"/>
      <c r="KQW57" s="608"/>
      <c r="KQX57" s="608"/>
      <c r="KQY57" s="608"/>
      <c r="KQZ57" s="608"/>
      <c r="KRA57" s="608"/>
      <c r="KRB57" s="608"/>
      <c r="KRC57" s="608"/>
      <c r="KRD57" s="608"/>
      <c r="KRE57" s="608"/>
      <c r="KRF57" s="608"/>
      <c r="KRG57" s="608"/>
      <c r="KRH57" s="608"/>
      <c r="KRI57" s="608"/>
      <c r="KRJ57" s="608"/>
      <c r="KRK57" s="608"/>
      <c r="KRL57" s="608"/>
      <c r="KRM57" s="608"/>
      <c r="KRN57" s="608"/>
      <c r="KRO57" s="608"/>
      <c r="KRP57" s="608"/>
      <c r="KRQ57" s="608"/>
      <c r="KRR57" s="608"/>
      <c r="KRS57" s="608"/>
      <c r="KRT57" s="608"/>
      <c r="KRU57" s="608"/>
      <c r="KRV57" s="608"/>
      <c r="KRW57" s="608"/>
      <c r="KRX57" s="608"/>
      <c r="KRY57" s="608"/>
      <c r="KRZ57" s="608"/>
      <c r="KSA57" s="608"/>
      <c r="KSB57" s="608"/>
      <c r="KSC57" s="608"/>
      <c r="KSD57" s="608"/>
      <c r="KSE57" s="608"/>
      <c r="KSF57" s="608"/>
      <c r="KSG57" s="608"/>
      <c r="KSH57" s="608"/>
      <c r="KSI57" s="608"/>
      <c r="KSJ57" s="608"/>
      <c r="KSK57" s="608"/>
      <c r="KSL57" s="608"/>
      <c r="KSM57" s="608"/>
      <c r="KSN57" s="608"/>
      <c r="KSO57" s="608"/>
      <c r="KSP57" s="608"/>
      <c r="KSQ57" s="608"/>
      <c r="KSR57" s="608"/>
      <c r="KSS57" s="608"/>
      <c r="KST57" s="608"/>
      <c r="KSU57" s="608"/>
      <c r="KSV57" s="608"/>
      <c r="KSW57" s="608"/>
      <c r="KSX57" s="608"/>
      <c r="KSY57" s="608"/>
      <c r="KSZ57" s="608"/>
      <c r="KTA57" s="608"/>
      <c r="KTB57" s="608"/>
      <c r="KTC57" s="608"/>
      <c r="KTD57" s="608"/>
      <c r="KTE57" s="608"/>
      <c r="KTF57" s="608"/>
      <c r="KTG57" s="608"/>
      <c r="KTH57" s="608"/>
      <c r="KTI57" s="608"/>
      <c r="KTJ57" s="608"/>
      <c r="KTK57" s="608"/>
      <c r="KTL57" s="608"/>
      <c r="KTM57" s="608"/>
      <c r="KTN57" s="608"/>
      <c r="KTO57" s="608"/>
      <c r="KTP57" s="608"/>
      <c r="KTQ57" s="608"/>
      <c r="KTR57" s="608"/>
      <c r="KTS57" s="608"/>
      <c r="KTT57" s="608"/>
      <c r="KTU57" s="608"/>
      <c r="KTV57" s="608"/>
      <c r="KTW57" s="608"/>
      <c r="KTX57" s="608"/>
      <c r="KTY57" s="608"/>
      <c r="KTZ57" s="608"/>
      <c r="KUA57" s="608"/>
      <c r="KUB57" s="608"/>
      <c r="KUC57" s="608"/>
      <c r="KUD57" s="608"/>
      <c r="KUE57" s="608"/>
      <c r="KUF57" s="608"/>
      <c r="KUG57" s="608"/>
      <c r="KUH57" s="608"/>
      <c r="KUI57" s="608"/>
      <c r="KUJ57" s="608"/>
      <c r="KUK57" s="608"/>
      <c r="KUL57" s="608"/>
      <c r="KUM57" s="608"/>
      <c r="KUN57" s="608"/>
      <c r="KUO57" s="608"/>
      <c r="KUP57" s="608"/>
      <c r="KUQ57" s="608"/>
      <c r="KUR57" s="608"/>
      <c r="KUS57" s="608"/>
      <c r="KUT57" s="608"/>
      <c r="KUU57" s="608"/>
      <c r="KUV57" s="608"/>
      <c r="KUW57" s="608"/>
      <c r="KUX57" s="608"/>
      <c r="KUY57" s="608"/>
      <c r="KUZ57" s="608"/>
      <c r="KVA57" s="608"/>
      <c r="KVB57" s="608"/>
      <c r="KVC57" s="608"/>
      <c r="KVD57" s="608"/>
      <c r="KVE57" s="608"/>
      <c r="KVF57" s="608"/>
      <c r="KVG57" s="608"/>
      <c r="KVH57" s="608"/>
      <c r="KVI57" s="608"/>
      <c r="KVJ57" s="608"/>
      <c r="KVK57" s="608"/>
      <c r="KVL57" s="608"/>
      <c r="KVM57" s="608"/>
      <c r="KVN57" s="608"/>
      <c r="KVO57" s="608"/>
      <c r="KVP57" s="608"/>
      <c r="KVQ57" s="608"/>
      <c r="KVR57" s="608"/>
      <c r="KVS57" s="608"/>
      <c r="KVT57" s="608"/>
      <c r="KVU57" s="608"/>
      <c r="KVV57" s="608"/>
      <c r="KVW57" s="608"/>
      <c r="KVX57" s="608"/>
      <c r="KVY57" s="608"/>
      <c r="KVZ57" s="608"/>
      <c r="KWA57" s="608"/>
      <c r="KWB57" s="608"/>
      <c r="KWC57" s="608"/>
      <c r="KWD57" s="608"/>
      <c r="KWE57" s="608"/>
      <c r="KWF57" s="608"/>
      <c r="KWG57" s="608"/>
      <c r="KWH57" s="608"/>
      <c r="KWI57" s="608"/>
      <c r="KWJ57" s="608"/>
      <c r="KWK57" s="608"/>
      <c r="KWL57" s="608"/>
      <c r="KWM57" s="608"/>
      <c r="KWN57" s="608"/>
      <c r="KWO57" s="608"/>
      <c r="KWP57" s="608"/>
      <c r="KWQ57" s="608"/>
      <c r="KWR57" s="608"/>
      <c r="KWS57" s="608"/>
      <c r="KWT57" s="608"/>
      <c r="KWU57" s="608"/>
      <c r="KWV57" s="608"/>
      <c r="KWW57" s="608"/>
      <c r="KWX57" s="608"/>
      <c r="KWY57" s="608"/>
      <c r="KWZ57" s="608"/>
      <c r="KXA57" s="608"/>
      <c r="KXB57" s="608"/>
      <c r="KXC57" s="608"/>
      <c r="KXD57" s="608"/>
      <c r="KXE57" s="608"/>
      <c r="KXF57" s="608"/>
      <c r="KXG57" s="608"/>
      <c r="KXH57" s="608"/>
      <c r="KXI57" s="608"/>
      <c r="KXJ57" s="608"/>
      <c r="KXK57" s="608"/>
      <c r="KXL57" s="608"/>
      <c r="KXM57" s="608"/>
      <c r="KXN57" s="608"/>
      <c r="KXO57" s="608"/>
      <c r="KXP57" s="608"/>
      <c r="KXQ57" s="608"/>
      <c r="KXR57" s="608"/>
      <c r="KXS57" s="608"/>
      <c r="KXT57" s="608"/>
      <c r="KXU57" s="608"/>
      <c r="KXV57" s="608"/>
      <c r="KXW57" s="608"/>
      <c r="KXX57" s="608"/>
      <c r="KXY57" s="608"/>
      <c r="KXZ57" s="608"/>
      <c r="KYA57" s="608"/>
      <c r="KYB57" s="608"/>
      <c r="KYC57" s="608"/>
      <c r="KYD57" s="608"/>
      <c r="KYE57" s="608"/>
      <c r="KYF57" s="608"/>
      <c r="KYG57" s="608"/>
      <c r="KYH57" s="608"/>
      <c r="KYI57" s="608"/>
      <c r="KYJ57" s="608"/>
      <c r="KYK57" s="608"/>
      <c r="KYL57" s="608"/>
      <c r="KYM57" s="608"/>
      <c r="KYN57" s="608"/>
      <c r="KYO57" s="608"/>
      <c r="KYP57" s="608"/>
      <c r="KYQ57" s="608"/>
      <c r="KYR57" s="608"/>
      <c r="KYS57" s="608"/>
      <c r="KYT57" s="608"/>
      <c r="KYU57" s="608"/>
      <c r="KYV57" s="608"/>
      <c r="KYW57" s="608"/>
      <c r="KYX57" s="608"/>
      <c r="KYY57" s="608"/>
      <c r="KYZ57" s="608"/>
      <c r="KZA57" s="608"/>
      <c r="KZB57" s="608"/>
      <c r="KZC57" s="608"/>
      <c r="KZD57" s="608"/>
      <c r="KZE57" s="608"/>
      <c r="KZF57" s="608"/>
      <c r="KZG57" s="608"/>
      <c r="KZH57" s="608"/>
      <c r="KZI57" s="608"/>
      <c r="KZJ57" s="608"/>
      <c r="KZK57" s="608"/>
      <c r="KZL57" s="608"/>
      <c r="KZM57" s="608"/>
      <c r="KZN57" s="608"/>
      <c r="KZO57" s="608"/>
      <c r="KZP57" s="608"/>
      <c r="KZQ57" s="608"/>
      <c r="KZR57" s="608"/>
      <c r="KZS57" s="608"/>
      <c r="KZT57" s="608"/>
      <c r="KZU57" s="608"/>
      <c r="KZV57" s="608"/>
      <c r="KZW57" s="608"/>
      <c r="KZX57" s="608"/>
      <c r="KZY57" s="608"/>
      <c r="KZZ57" s="608"/>
      <c r="LAA57" s="608"/>
      <c r="LAB57" s="608"/>
      <c r="LAC57" s="608"/>
      <c r="LAD57" s="608"/>
      <c r="LAE57" s="608"/>
      <c r="LAF57" s="608"/>
      <c r="LAG57" s="608"/>
      <c r="LAH57" s="608"/>
      <c r="LAI57" s="608"/>
      <c r="LAJ57" s="608"/>
      <c r="LAK57" s="608"/>
      <c r="LAL57" s="608"/>
      <c r="LAM57" s="608"/>
      <c r="LAN57" s="608"/>
      <c r="LAO57" s="608"/>
      <c r="LAP57" s="608"/>
      <c r="LAQ57" s="608"/>
      <c r="LAR57" s="608"/>
      <c r="LAS57" s="608"/>
      <c r="LAT57" s="608"/>
      <c r="LAU57" s="608"/>
      <c r="LAV57" s="608"/>
      <c r="LAW57" s="608"/>
      <c r="LAX57" s="608"/>
      <c r="LAY57" s="608"/>
      <c r="LAZ57" s="608"/>
      <c r="LBA57" s="608"/>
      <c r="LBB57" s="608"/>
      <c r="LBC57" s="608"/>
      <c r="LBD57" s="608"/>
      <c r="LBE57" s="608"/>
      <c r="LBF57" s="608"/>
      <c r="LBG57" s="608"/>
      <c r="LBH57" s="608"/>
      <c r="LBI57" s="608"/>
      <c r="LBJ57" s="608"/>
      <c r="LBK57" s="608"/>
      <c r="LBL57" s="608"/>
      <c r="LBM57" s="608"/>
      <c r="LBN57" s="608"/>
      <c r="LBO57" s="608"/>
      <c r="LBP57" s="608"/>
      <c r="LBQ57" s="608"/>
      <c r="LBR57" s="608"/>
      <c r="LBS57" s="608"/>
      <c r="LBT57" s="608"/>
      <c r="LBU57" s="608"/>
      <c r="LBV57" s="608"/>
      <c r="LBW57" s="608"/>
      <c r="LBX57" s="608"/>
      <c r="LBY57" s="608"/>
      <c r="LBZ57" s="608"/>
      <c r="LCA57" s="608"/>
      <c r="LCB57" s="608"/>
      <c r="LCC57" s="608"/>
      <c r="LCD57" s="608"/>
      <c r="LCE57" s="608"/>
      <c r="LCF57" s="608"/>
      <c r="LCG57" s="608"/>
      <c r="LCH57" s="608"/>
      <c r="LCI57" s="608"/>
      <c r="LCJ57" s="608"/>
      <c r="LCK57" s="608"/>
      <c r="LCL57" s="608"/>
      <c r="LCM57" s="608"/>
      <c r="LCN57" s="608"/>
      <c r="LCO57" s="608"/>
      <c r="LCP57" s="608"/>
      <c r="LCQ57" s="608"/>
      <c r="LCR57" s="608"/>
      <c r="LCS57" s="608"/>
      <c r="LCT57" s="608"/>
      <c r="LCU57" s="608"/>
      <c r="LCV57" s="608"/>
      <c r="LCW57" s="608"/>
      <c r="LCX57" s="608"/>
      <c r="LCY57" s="608"/>
      <c r="LCZ57" s="608"/>
      <c r="LDA57" s="608"/>
      <c r="LDB57" s="608"/>
      <c r="LDC57" s="608"/>
      <c r="LDD57" s="608"/>
      <c r="LDE57" s="608"/>
      <c r="LDF57" s="608"/>
      <c r="LDG57" s="608"/>
      <c r="LDH57" s="608"/>
      <c r="LDI57" s="608"/>
      <c r="LDJ57" s="608"/>
      <c r="LDK57" s="608"/>
      <c r="LDL57" s="608"/>
      <c r="LDM57" s="608"/>
      <c r="LDN57" s="608"/>
      <c r="LDO57" s="608"/>
      <c r="LDP57" s="608"/>
      <c r="LDQ57" s="608"/>
      <c r="LDR57" s="608"/>
      <c r="LDS57" s="608"/>
      <c r="LDT57" s="608"/>
      <c r="LDU57" s="608"/>
      <c r="LDV57" s="608"/>
      <c r="LDW57" s="608"/>
      <c r="LDX57" s="608"/>
      <c r="LDY57" s="608"/>
      <c r="LDZ57" s="608"/>
      <c r="LEA57" s="608"/>
      <c r="LEB57" s="608"/>
      <c r="LEC57" s="608"/>
      <c r="LED57" s="608"/>
      <c r="LEE57" s="608"/>
      <c r="LEF57" s="608"/>
      <c r="LEG57" s="608"/>
      <c r="LEH57" s="608"/>
      <c r="LEI57" s="608"/>
      <c r="LEJ57" s="608"/>
      <c r="LEK57" s="608"/>
      <c r="LEL57" s="608"/>
      <c r="LEM57" s="608"/>
      <c r="LEN57" s="608"/>
      <c r="LEO57" s="608"/>
      <c r="LEP57" s="608"/>
      <c r="LEQ57" s="608"/>
      <c r="LER57" s="608"/>
      <c r="LES57" s="608"/>
      <c r="LET57" s="608"/>
      <c r="LEU57" s="608"/>
      <c r="LEV57" s="608"/>
      <c r="LEW57" s="608"/>
      <c r="LEX57" s="608"/>
      <c r="LEY57" s="608"/>
      <c r="LEZ57" s="608"/>
      <c r="LFA57" s="608"/>
      <c r="LFB57" s="608"/>
      <c r="LFC57" s="608"/>
      <c r="LFD57" s="608"/>
      <c r="LFE57" s="608"/>
      <c r="LFF57" s="608"/>
      <c r="LFG57" s="608"/>
      <c r="LFH57" s="608"/>
      <c r="LFI57" s="608"/>
      <c r="LFJ57" s="608"/>
      <c r="LFK57" s="608"/>
      <c r="LFL57" s="608"/>
      <c r="LFM57" s="608"/>
      <c r="LFN57" s="608"/>
      <c r="LFO57" s="608"/>
      <c r="LFP57" s="608"/>
      <c r="LFQ57" s="608"/>
      <c r="LFR57" s="608"/>
      <c r="LFS57" s="608"/>
      <c r="LFT57" s="608"/>
      <c r="LFU57" s="608"/>
      <c r="LFV57" s="608"/>
      <c r="LFW57" s="608"/>
      <c r="LFX57" s="608"/>
      <c r="LFY57" s="608"/>
      <c r="LFZ57" s="608"/>
      <c r="LGA57" s="608"/>
      <c r="LGB57" s="608"/>
      <c r="LGC57" s="608"/>
      <c r="LGD57" s="608"/>
      <c r="LGE57" s="608"/>
      <c r="LGF57" s="608"/>
      <c r="LGG57" s="608"/>
      <c r="LGH57" s="608"/>
      <c r="LGI57" s="608"/>
      <c r="LGJ57" s="608"/>
      <c r="LGK57" s="608"/>
      <c r="LGL57" s="608"/>
      <c r="LGM57" s="608"/>
      <c r="LGN57" s="608"/>
      <c r="LGO57" s="608"/>
      <c r="LGP57" s="608"/>
      <c r="LGQ57" s="608"/>
      <c r="LGR57" s="608"/>
      <c r="LGS57" s="608"/>
      <c r="LGT57" s="608"/>
      <c r="LGU57" s="608"/>
      <c r="LGV57" s="608"/>
      <c r="LGW57" s="608"/>
      <c r="LGX57" s="608"/>
      <c r="LGY57" s="608"/>
      <c r="LGZ57" s="608"/>
      <c r="LHA57" s="608"/>
      <c r="LHB57" s="608"/>
      <c r="LHC57" s="608"/>
      <c r="LHD57" s="608"/>
      <c r="LHE57" s="608"/>
      <c r="LHF57" s="608"/>
      <c r="LHG57" s="608"/>
      <c r="LHH57" s="608"/>
      <c r="LHI57" s="608"/>
      <c r="LHJ57" s="608"/>
      <c r="LHK57" s="608"/>
      <c r="LHL57" s="608"/>
      <c r="LHM57" s="608"/>
      <c r="LHN57" s="608"/>
      <c r="LHO57" s="608"/>
      <c r="LHP57" s="608"/>
      <c r="LHQ57" s="608"/>
      <c r="LHR57" s="608"/>
      <c r="LHS57" s="608"/>
      <c r="LHT57" s="608"/>
      <c r="LHU57" s="608"/>
      <c r="LHV57" s="608"/>
      <c r="LHW57" s="608"/>
      <c r="LHX57" s="608"/>
      <c r="LHY57" s="608"/>
      <c r="LHZ57" s="608"/>
      <c r="LIA57" s="608"/>
      <c r="LIB57" s="608"/>
      <c r="LIC57" s="608"/>
      <c r="LID57" s="608"/>
      <c r="LIE57" s="608"/>
      <c r="LIF57" s="608"/>
      <c r="LIG57" s="608"/>
      <c r="LIH57" s="608"/>
      <c r="LII57" s="608"/>
      <c r="LIJ57" s="608"/>
      <c r="LIK57" s="608"/>
      <c r="LIL57" s="608"/>
      <c r="LIM57" s="608"/>
      <c r="LIN57" s="608"/>
      <c r="LIO57" s="608"/>
      <c r="LIP57" s="608"/>
      <c r="LIQ57" s="608"/>
      <c r="LIR57" s="608"/>
      <c r="LIS57" s="608"/>
      <c r="LIT57" s="608"/>
      <c r="LIU57" s="608"/>
      <c r="LIV57" s="608"/>
      <c r="LIW57" s="608"/>
      <c r="LIX57" s="608"/>
      <c r="LIY57" s="608"/>
      <c r="LIZ57" s="608"/>
      <c r="LJA57" s="608"/>
      <c r="LJB57" s="608"/>
      <c r="LJC57" s="608"/>
      <c r="LJD57" s="608"/>
      <c r="LJE57" s="608"/>
      <c r="LJF57" s="608"/>
      <c r="LJG57" s="608"/>
      <c r="LJH57" s="608"/>
      <c r="LJI57" s="608"/>
      <c r="LJJ57" s="608"/>
      <c r="LJK57" s="608"/>
      <c r="LJL57" s="608"/>
      <c r="LJM57" s="608"/>
      <c r="LJN57" s="608"/>
      <c r="LJO57" s="608"/>
      <c r="LJP57" s="608"/>
      <c r="LJQ57" s="608"/>
      <c r="LJR57" s="608"/>
      <c r="LJS57" s="608"/>
      <c r="LJT57" s="608"/>
      <c r="LJU57" s="608"/>
      <c r="LJV57" s="608"/>
      <c r="LJW57" s="608"/>
      <c r="LJX57" s="608"/>
      <c r="LJY57" s="608"/>
      <c r="LJZ57" s="608"/>
      <c r="LKA57" s="608"/>
      <c r="LKB57" s="608"/>
      <c r="LKC57" s="608"/>
      <c r="LKD57" s="608"/>
      <c r="LKE57" s="608"/>
      <c r="LKF57" s="608"/>
      <c r="LKG57" s="608"/>
      <c r="LKH57" s="608"/>
      <c r="LKI57" s="608"/>
      <c r="LKJ57" s="608"/>
      <c r="LKK57" s="608"/>
      <c r="LKL57" s="608"/>
      <c r="LKM57" s="608"/>
      <c r="LKN57" s="608"/>
      <c r="LKO57" s="608"/>
      <c r="LKP57" s="608"/>
      <c r="LKQ57" s="608"/>
      <c r="LKR57" s="608"/>
      <c r="LKS57" s="608"/>
      <c r="LKT57" s="608"/>
      <c r="LKU57" s="608"/>
      <c r="LKV57" s="608"/>
      <c r="LKW57" s="608"/>
      <c r="LKX57" s="608"/>
      <c r="LKY57" s="608"/>
      <c r="LKZ57" s="608"/>
      <c r="LLA57" s="608"/>
      <c r="LLB57" s="608"/>
      <c r="LLC57" s="608"/>
      <c r="LLD57" s="608"/>
      <c r="LLE57" s="608"/>
      <c r="LLF57" s="608"/>
      <c r="LLG57" s="608"/>
      <c r="LLH57" s="608"/>
      <c r="LLI57" s="608"/>
      <c r="LLJ57" s="608"/>
      <c r="LLK57" s="608"/>
      <c r="LLL57" s="608"/>
      <c r="LLM57" s="608"/>
      <c r="LLN57" s="608"/>
      <c r="LLO57" s="608"/>
      <c r="LLP57" s="608"/>
      <c r="LLQ57" s="608"/>
      <c r="LLR57" s="608"/>
      <c r="LLS57" s="608"/>
      <c r="LLT57" s="608"/>
      <c r="LLU57" s="608"/>
      <c r="LLV57" s="608"/>
      <c r="LLW57" s="608"/>
      <c r="LLX57" s="608"/>
      <c r="LLY57" s="608"/>
      <c r="LLZ57" s="608"/>
      <c r="LMA57" s="608"/>
      <c r="LMB57" s="608"/>
      <c r="LMC57" s="608"/>
      <c r="LMD57" s="608"/>
      <c r="LME57" s="608"/>
      <c r="LMF57" s="608"/>
      <c r="LMG57" s="608"/>
      <c r="LMH57" s="608"/>
      <c r="LMI57" s="608"/>
      <c r="LMJ57" s="608"/>
      <c r="LMK57" s="608"/>
      <c r="LML57" s="608"/>
      <c r="LMM57" s="608"/>
      <c r="LMN57" s="608"/>
      <c r="LMO57" s="608"/>
      <c r="LMP57" s="608"/>
      <c r="LMQ57" s="608"/>
      <c r="LMR57" s="608"/>
      <c r="LMS57" s="608"/>
      <c r="LMT57" s="608"/>
      <c r="LMU57" s="608"/>
      <c r="LMV57" s="608"/>
      <c r="LMW57" s="608"/>
      <c r="LMX57" s="608"/>
      <c r="LMY57" s="608"/>
      <c r="LMZ57" s="608"/>
      <c r="LNA57" s="608"/>
      <c r="LNB57" s="608"/>
      <c r="LNC57" s="608"/>
      <c r="LND57" s="608"/>
      <c r="LNE57" s="608"/>
      <c r="LNF57" s="608"/>
      <c r="LNG57" s="608"/>
      <c r="LNH57" s="608"/>
      <c r="LNI57" s="608"/>
      <c r="LNJ57" s="608"/>
      <c r="LNK57" s="608"/>
      <c r="LNL57" s="608"/>
      <c r="LNM57" s="608"/>
      <c r="LNN57" s="608"/>
      <c r="LNO57" s="608"/>
      <c r="LNP57" s="608"/>
      <c r="LNQ57" s="608"/>
      <c r="LNR57" s="608"/>
      <c r="LNS57" s="608"/>
      <c r="LNT57" s="608"/>
      <c r="LNU57" s="608"/>
      <c r="LNV57" s="608"/>
      <c r="LNW57" s="608"/>
      <c r="LNX57" s="608"/>
      <c r="LNY57" s="608"/>
      <c r="LNZ57" s="608"/>
      <c r="LOA57" s="608"/>
      <c r="LOB57" s="608"/>
      <c r="LOC57" s="608"/>
      <c r="LOD57" s="608"/>
      <c r="LOE57" s="608"/>
      <c r="LOF57" s="608"/>
      <c r="LOG57" s="608"/>
      <c r="LOH57" s="608"/>
      <c r="LOI57" s="608"/>
      <c r="LOJ57" s="608"/>
      <c r="LOK57" s="608"/>
      <c r="LOL57" s="608"/>
      <c r="LOM57" s="608"/>
      <c r="LON57" s="608"/>
      <c r="LOO57" s="608"/>
      <c r="LOP57" s="608"/>
      <c r="LOQ57" s="608"/>
      <c r="LOR57" s="608"/>
      <c r="LOS57" s="608"/>
      <c r="LOT57" s="608"/>
      <c r="LOU57" s="608"/>
      <c r="LOV57" s="608"/>
      <c r="LOW57" s="608"/>
      <c r="LOX57" s="608"/>
      <c r="LOY57" s="608"/>
      <c r="LOZ57" s="608"/>
      <c r="LPA57" s="608"/>
      <c r="LPB57" s="608"/>
      <c r="LPC57" s="608"/>
      <c r="LPD57" s="608"/>
      <c r="LPE57" s="608"/>
      <c r="LPF57" s="608"/>
      <c r="LPG57" s="608"/>
      <c r="LPH57" s="608"/>
      <c r="LPI57" s="608"/>
      <c r="LPJ57" s="608"/>
      <c r="LPK57" s="608"/>
      <c r="LPL57" s="608"/>
      <c r="LPM57" s="608"/>
      <c r="LPN57" s="608"/>
      <c r="LPO57" s="608"/>
      <c r="LPP57" s="608"/>
      <c r="LPQ57" s="608"/>
      <c r="LPR57" s="608"/>
      <c r="LPS57" s="608"/>
      <c r="LPT57" s="608"/>
      <c r="LPU57" s="608"/>
      <c r="LPV57" s="608"/>
      <c r="LPW57" s="608"/>
      <c r="LPX57" s="608"/>
      <c r="LPY57" s="608"/>
      <c r="LPZ57" s="608"/>
      <c r="LQA57" s="608"/>
      <c r="LQB57" s="608"/>
      <c r="LQC57" s="608"/>
      <c r="LQD57" s="608"/>
      <c r="LQE57" s="608"/>
      <c r="LQF57" s="608"/>
      <c r="LQG57" s="608"/>
      <c r="LQH57" s="608"/>
      <c r="LQI57" s="608"/>
      <c r="LQJ57" s="608"/>
      <c r="LQK57" s="608"/>
      <c r="LQL57" s="608"/>
      <c r="LQM57" s="608"/>
      <c r="LQN57" s="608"/>
      <c r="LQO57" s="608"/>
      <c r="LQP57" s="608"/>
      <c r="LQQ57" s="608"/>
      <c r="LQR57" s="608"/>
      <c r="LQS57" s="608"/>
      <c r="LQT57" s="608"/>
      <c r="LQU57" s="608"/>
      <c r="LQV57" s="608"/>
      <c r="LQW57" s="608"/>
      <c r="LQX57" s="608"/>
      <c r="LQY57" s="608"/>
      <c r="LQZ57" s="608"/>
      <c r="LRA57" s="608"/>
      <c r="LRB57" s="608"/>
      <c r="LRC57" s="608"/>
      <c r="LRD57" s="608"/>
      <c r="LRE57" s="608"/>
      <c r="LRF57" s="608"/>
      <c r="LRG57" s="608"/>
      <c r="LRH57" s="608"/>
      <c r="LRI57" s="608"/>
      <c r="LRJ57" s="608"/>
      <c r="LRK57" s="608"/>
      <c r="LRL57" s="608"/>
      <c r="LRM57" s="608"/>
      <c r="LRN57" s="608"/>
      <c r="LRO57" s="608"/>
      <c r="LRP57" s="608"/>
      <c r="LRQ57" s="608"/>
      <c r="LRR57" s="608"/>
      <c r="LRS57" s="608"/>
      <c r="LRT57" s="608"/>
      <c r="LRU57" s="608"/>
      <c r="LRV57" s="608"/>
      <c r="LRW57" s="608"/>
      <c r="LRX57" s="608"/>
      <c r="LRY57" s="608"/>
      <c r="LRZ57" s="608"/>
      <c r="LSA57" s="608"/>
      <c r="LSB57" s="608"/>
      <c r="LSC57" s="608"/>
      <c r="LSD57" s="608"/>
      <c r="LSE57" s="608"/>
      <c r="LSF57" s="608"/>
      <c r="LSG57" s="608"/>
      <c r="LSH57" s="608"/>
      <c r="LSI57" s="608"/>
      <c r="LSJ57" s="608"/>
      <c r="LSK57" s="608"/>
      <c r="LSL57" s="608"/>
      <c r="LSM57" s="608"/>
      <c r="LSN57" s="608"/>
      <c r="LSO57" s="608"/>
      <c r="LSP57" s="608"/>
      <c r="LSQ57" s="608"/>
      <c r="LSR57" s="608"/>
      <c r="LSS57" s="608"/>
      <c r="LST57" s="608"/>
      <c r="LSU57" s="608"/>
      <c r="LSV57" s="608"/>
      <c r="LSW57" s="608"/>
      <c r="LSX57" s="608"/>
      <c r="LSY57" s="608"/>
      <c r="LSZ57" s="608"/>
      <c r="LTA57" s="608"/>
      <c r="LTB57" s="608"/>
      <c r="LTC57" s="608"/>
      <c r="LTD57" s="608"/>
      <c r="LTE57" s="608"/>
      <c r="LTF57" s="608"/>
      <c r="LTG57" s="608"/>
      <c r="LTH57" s="608"/>
      <c r="LTI57" s="608"/>
      <c r="LTJ57" s="608"/>
      <c r="LTK57" s="608"/>
      <c r="LTL57" s="608"/>
      <c r="LTM57" s="608"/>
      <c r="LTN57" s="608"/>
      <c r="LTO57" s="608"/>
      <c r="LTP57" s="608"/>
      <c r="LTQ57" s="608"/>
      <c r="LTR57" s="608"/>
      <c r="LTS57" s="608"/>
      <c r="LTT57" s="608"/>
      <c r="LTU57" s="608"/>
      <c r="LTV57" s="608"/>
      <c r="LTW57" s="608"/>
      <c r="LTX57" s="608"/>
      <c r="LTY57" s="608"/>
      <c r="LTZ57" s="608"/>
      <c r="LUA57" s="608"/>
      <c r="LUB57" s="608"/>
      <c r="LUC57" s="608"/>
      <c r="LUD57" s="608"/>
      <c r="LUE57" s="608"/>
      <c r="LUF57" s="608"/>
      <c r="LUG57" s="608"/>
      <c r="LUH57" s="608"/>
      <c r="LUI57" s="608"/>
      <c r="LUJ57" s="608"/>
      <c r="LUK57" s="608"/>
      <c r="LUL57" s="608"/>
      <c r="LUM57" s="608"/>
      <c r="LUN57" s="608"/>
      <c r="LUO57" s="608"/>
      <c r="LUP57" s="608"/>
      <c r="LUQ57" s="608"/>
      <c r="LUR57" s="608"/>
      <c r="LUS57" s="608"/>
      <c r="LUT57" s="608"/>
      <c r="LUU57" s="608"/>
      <c r="LUV57" s="608"/>
      <c r="LUW57" s="608"/>
      <c r="LUX57" s="608"/>
      <c r="LUY57" s="608"/>
      <c r="LUZ57" s="608"/>
      <c r="LVA57" s="608"/>
      <c r="LVB57" s="608"/>
      <c r="LVC57" s="608"/>
      <c r="LVD57" s="608"/>
      <c r="LVE57" s="608"/>
      <c r="LVF57" s="608"/>
      <c r="LVG57" s="608"/>
      <c r="LVH57" s="608"/>
      <c r="LVI57" s="608"/>
      <c r="LVJ57" s="608"/>
      <c r="LVK57" s="608"/>
      <c r="LVL57" s="608"/>
      <c r="LVM57" s="608"/>
      <c r="LVN57" s="608"/>
      <c r="LVO57" s="608"/>
      <c r="LVP57" s="608"/>
      <c r="LVQ57" s="608"/>
      <c r="LVR57" s="608"/>
      <c r="LVS57" s="608"/>
      <c r="LVT57" s="608"/>
      <c r="LVU57" s="608"/>
      <c r="LVV57" s="608"/>
      <c r="LVW57" s="608"/>
      <c r="LVX57" s="608"/>
      <c r="LVY57" s="608"/>
      <c r="LVZ57" s="608"/>
      <c r="LWA57" s="608"/>
      <c r="LWB57" s="608"/>
      <c r="LWC57" s="608"/>
      <c r="LWD57" s="608"/>
      <c r="LWE57" s="608"/>
      <c r="LWF57" s="608"/>
      <c r="LWG57" s="608"/>
      <c r="LWH57" s="608"/>
      <c r="LWI57" s="608"/>
      <c r="LWJ57" s="608"/>
      <c r="LWK57" s="608"/>
      <c r="LWL57" s="608"/>
      <c r="LWM57" s="608"/>
      <c r="LWN57" s="608"/>
      <c r="LWO57" s="608"/>
      <c r="LWP57" s="608"/>
      <c r="LWQ57" s="608"/>
      <c r="LWR57" s="608"/>
      <c r="LWS57" s="608"/>
      <c r="LWT57" s="608"/>
      <c r="LWU57" s="608"/>
      <c r="LWV57" s="608"/>
      <c r="LWW57" s="608"/>
      <c r="LWX57" s="608"/>
      <c r="LWY57" s="608"/>
      <c r="LWZ57" s="608"/>
      <c r="LXA57" s="608"/>
      <c r="LXB57" s="608"/>
      <c r="LXC57" s="608"/>
      <c r="LXD57" s="608"/>
      <c r="LXE57" s="608"/>
      <c r="LXF57" s="608"/>
      <c r="LXG57" s="608"/>
      <c r="LXH57" s="608"/>
      <c r="LXI57" s="608"/>
      <c r="LXJ57" s="608"/>
      <c r="LXK57" s="608"/>
      <c r="LXL57" s="608"/>
      <c r="LXM57" s="608"/>
      <c r="LXN57" s="608"/>
      <c r="LXO57" s="608"/>
      <c r="LXP57" s="608"/>
      <c r="LXQ57" s="608"/>
      <c r="LXR57" s="608"/>
      <c r="LXS57" s="608"/>
      <c r="LXT57" s="608"/>
      <c r="LXU57" s="608"/>
      <c r="LXV57" s="608"/>
      <c r="LXW57" s="608"/>
      <c r="LXX57" s="608"/>
      <c r="LXY57" s="608"/>
      <c r="LXZ57" s="608"/>
      <c r="LYA57" s="608"/>
      <c r="LYB57" s="608"/>
      <c r="LYC57" s="608"/>
      <c r="LYD57" s="608"/>
      <c r="LYE57" s="608"/>
      <c r="LYF57" s="608"/>
      <c r="LYG57" s="608"/>
      <c r="LYH57" s="608"/>
      <c r="LYI57" s="608"/>
      <c r="LYJ57" s="608"/>
      <c r="LYK57" s="608"/>
      <c r="LYL57" s="608"/>
      <c r="LYM57" s="608"/>
      <c r="LYN57" s="608"/>
      <c r="LYO57" s="608"/>
      <c r="LYP57" s="608"/>
      <c r="LYQ57" s="608"/>
      <c r="LYR57" s="608"/>
      <c r="LYS57" s="608"/>
      <c r="LYT57" s="608"/>
      <c r="LYU57" s="608"/>
      <c r="LYV57" s="608"/>
      <c r="LYW57" s="608"/>
      <c r="LYX57" s="608"/>
      <c r="LYY57" s="608"/>
      <c r="LYZ57" s="608"/>
      <c r="LZA57" s="608"/>
      <c r="LZB57" s="608"/>
      <c r="LZC57" s="608"/>
      <c r="LZD57" s="608"/>
      <c r="LZE57" s="608"/>
      <c r="LZF57" s="608"/>
      <c r="LZG57" s="608"/>
      <c r="LZH57" s="608"/>
      <c r="LZI57" s="608"/>
      <c r="LZJ57" s="608"/>
      <c r="LZK57" s="608"/>
      <c r="LZL57" s="608"/>
      <c r="LZM57" s="608"/>
      <c r="LZN57" s="608"/>
      <c r="LZO57" s="608"/>
      <c r="LZP57" s="608"/>
      <c r="LZQ57" s="608"/>
      <c r="LZR57" s="608"/>
      <c r="LZS57" s="608"/>
      <c r="LZT57" s="608"/>
      <c r="LZU57" s="608"/>
      <c r="LZV57" s="608"/>
      <c r="LZW57" s="608"/>
      <c r="LZX57" s="608"/>
      <c r="LZY57" s="608"/>
      <c r="LZZ57" s="608"/>
      <c r="MAA57" s="608"/>
      <c r="MAB57" s="608"/>
      <c r="MAC57" s="608"/>
      <c r="MAD57" s="608"/>
      <c r="MAE57" s="608"/>
      <c r="MAF57" s="608"/>
      <c r="MAG57" s="608"/>
      <c r="MAH57" s="608"/>
      <c r="MAI57" s="608"/>
      <c r="MAJ57" s="608"/>
      <c r="MAK57" s="608"/>
      <c r="MAL57" s="608"/>
      <c r="MAM57" s="608"/>
      <c r="MAN57" s="608"/>
      <c r="MAO57" s="608"/>
      <c r="MAP57" s="608"/>
      <c r="MAQ57" s="608"/>
      <c r="MAR57" s="608"/>
      <c r="MAS57" s="608"/>
      <c r="MAT57" s="608"/>
      <c r="MAU57" s="608"/>
      <c r="MAV57" s="608"/>
      <c r="MAW57" s="608"/>
      <c r="MAX57" s="608"/>
      <c r="MAY57" s="608"/>
      <c r="MAZ57" s="608"/>
      <c r="MBA57" s="608"/>
      <c r="MBB57" s="608"/>
      <c r="MBC57" s="608"/>
      <c r="MBD57" s="608"/>
      <c r="MBE57" s="608"/>
      <c r="MBF57" s="608"/>
      <c r="MBG57" s="608"/>
      <c r="MBH57" s="608"/>
      <c r="MBI57" s="608"/>
      <c r="MBJ57" s="608"/>
      <c r="MBK57" s="608"/>
      <c r="MBL57" s="608"/>
      <c r="MBM57" s="608"/>
      <c r="MBN57" s="608"/>
      <c r="MBO57" s="608"/>
      <c r="MBP57" s="608"/>
      <c r="MBQ57" s="608"/>
      <c r="MBR57" s="608"/>
      <c r="MBS57" s="608"/>
      <c r="MBT57" s="608"/>
      <c r="MBU57" s="608"/>
      <c r="MBV57" s="608"/>
      <c r="MBW57" s="608"/>
      <c r="MBX57" s="608"/>
      <c r="MBY57" s="608"/>
      <c r="MBZ57" s="608"/>
      <c r="MCA57" s="608"/>
      <c r="MCB57" s="608"/>
      <c r="MCC57" s="608"/>
      <c r="MCD57" s="608"/>
      <c r="MCE57" s="608"/>
      <c r="MCF57" s="608"/>
      <c r="MCG57" s="608"/>
      <c r="MCH57" s="608"/>
      <c r="MCI57" s="608"/>
      <c r="MCJ57" s="608"/>
      <c r="MCK57" s="608"/>
      <c r="MCL57" s="608"/>
      <c r="MCM57" s="608"/>
      <c r="MCN57" s="608"/>
      <c r="MCO57" s="608"/>
      <c r="MCP57" s="608"/>
      <c r="MCQ57" s="608"/>
      <c r="MCR57" s="608"/>
      <c r="MCS57" s="608"/>
      <c r="MCT57" s="608"/>
      <c r="MCU57" s="608"/>
      <c r="MCV57" s="608"/>
      <c r="MCW57" s="608"/>
      <c r="MCX57" s="608"/>
      <c r="MCY57" s="608"/>
      <c r="MCZ57" s="608"/>
      <c r="MDA57" s="608"/>
      <c r="MDB57" s="608"/>
      <c r="MDC57" s="608"/>
      <c r="MDD57" s="608"/>
      <c r="MDE57" s="608"/>
      <c r="MDF57" s="608"/>
      <c r="MDG57" s="608"/>
      <c r="MDH57" s="608"/>
      <c r="MDI57" s="608"/>
      <c r="MDJ57" s="608"/>
      <c r="MDK57" s="608"/>
      <c r="MDL57" s="608"/>
      <c r="MDM57" s="608"/>
      <c r="MDN57" s="608"/>
      <c r="MDO57" s="608"/>
      <c r="MDP57" s="608"/>
      <c r="MDQ57" s="608"/>
      <c r="MDR57" s="608"/>
      <c r="MDS57" s="608"/>
      <c r="MDT57" s="608"/>
      <c r="MDU57" s="608"/>
      <c r="MDV57" s="608"/>
      <c r="MDW57" s="608"/>
      <c r="MDX57" s="608"/>
      <c r="MDY57" s="608"/>
      <c r="MDZ57" s="608"/>
      <c r="MEA57" s="608"/>
      <c r="MEB57" s="608"/>
      <c r="MEC57" s="608"/>
      <c r="MED57" s="608"/>
      <c r="MEE57" s="608"/>
      <c r="MEF57" s="608"/>
      <c r="MEG57" s="608"/>
      <c r="MEH57" s="608"/>
      <c r="MEI57" s="608"/>
      <c r="MEJ57" s="608"/>
      <c r="MEK57" s="608"/>
      <c r="MEL57" s="608"/>
      <c r="MEM57" s="608"/>
      <c r="MEN57" s="608"/>
      <c r="MEO57" s="608"/>
      <c r="MEP57" s="608"/>
      <c r="MEQ57" s="608"/>
      <c r="MER57" s="608"/>
      <c r="MES57" s="608"/>
      <c r="MET57" s="608"/>
      <c r="MEU57" s="608"/>
      <c r="MEV57" s="608"/>
      <c r="MEW57" s="608"/>
      <c r="MEX57" s="608"/>
      <c r="MEY57" s="608"/>
      <c r="MEZ57" s="608"/>
      <c r="MFA57" s="608"/>
      <c r="MFB57" s="608"/>
      <c r="MFC57" s="608"/>
      <c r="MFD57" s="608"/>
      <c r="MFE57" s="608"/>
      <c r="MFF57" s="608"/>
      <c r="MFG57" s="608"/>
      <c r="MFH57" s="608"/>
      <c r="MFI57" s="608"/>
      <c r="MFJ57" s="608"/>
      <c r="MFK57" s="608"/>
      <c r="MFL57" s="608"/>
      <c r="MFM57" s="608"/>
      <c r="MFN57" s="608"/>
      <c r="MFO57" s="608"/>
      <c r="MFP57" s="608"/>
      <c r="MFQ57" s="608"/>
      <c r="MFR57" s="608"/>
      <c r="MFS57" s="608"/>
      <c r="MFT57" s="608"/>
      <c r="MFU57" s="608"/>
      <c r="MFV57" s="608"/>
      <c r="MFW57" s="608"/>
      <c r="MFX57" s="608"/>
      <c r="MFY57" s="608"/>
      <c r="MFZ57" s="608"/>
      <c r="MGA57" s="608"/>
      <c r="MGB57" s="608"/>
      <c r="MGC57" s="608"/>
      <c r="MGD57" s="608"/>
      <c r="MGE57" s="608"/>
      <c r="MGF57" s="608"/>
      <c r="MGG57" s="608"/>
      <c r="MGH57" s="608"/>
      <c r="MGI57" s="608"/>
      <c r="MGJ57" s="608"/>
      <c r="MGK57" s="608"/>
      <c r="MGL57" s="608"/>
      <c r="MGM57" s="608"/>
      <c r="MGN57" s="608"/>
      <c r="MGO57" s="608"/>
      <c r="MGP57" s="608"/>
      <c r="MGQ57" s="608"/>
      <c r="MGR57" s="608"/>
      <c r="MGS57" s="608"/>
      <c r="MGT57" s="608"/>
      <c r="MGU57" s="608"/>
      <c r="MGV57" s="608"/>
      <c r="MGW57" s="608"/>
      <c r="MGX57" s="608"/>
      <c r="MGY57" s="608"/>
      <c r="MGZ57" s="608"/>
      <c r="MHA57" s="608"/>
      <c r="MHB57" s="608"/>
      <c r="MHC57" s="608"/>
      <c r="MHD57" s="608"/>
      <c r="MHE57" s="608"/>
      <c r="MHF57" s="608"/>
      <c r="MHG57" s="608"/>
      <c r="MHH57" s="608"/>
      <c r="MHI57" s="608"/>
      <c r="MHJ57" s="608"/>
      <c r="MHK57" s="608"/>
      <c r="MHL57" s="608"/>
      <c r="MHM57" s="608"/>
      <c r="MHN57" s="608"/>
      <c r="MHO57" s="608"/>
      <c r="MHP57" s="608"/>
      <c r="MHQ57" s="608"/>
      <c r="MHR57" s="608"/>
      <c r="MHS57" s="608"/>
      <c r="MHT57" s="608"/>
      <c r="MHU57" s="608"/>
      <c r="MHV57" s="608"/>
      <c r="MHW57" s="608"/>
      <c r="MHX57" s="608"/>
      <c r="MHY57" s="608"/>
      <c r="MHZ57" s="608"/>
      <c r="MIA57" s="608"/>
      <c r="MIB57" s="608"/>
      <c r="MIC57" s="608"/>
      <c r="MID57" s="608"/>
      <c r="MIE57" s="608"/>
      <c r="MIF57" s="608"/>
      <c r="MIG57" s="608"/>
      <c r="MIH57" s="608"/>
      <c r="MII57" s="608"/>
      <c r="MIJ57" s="608"/>
      <c r="MIK57" s="608"/>
      <c r="MIL57" s="608"/>
      <c r="MIM57" s="608"/>
      <c r="MIN57" s="608"/>
      <c r="MIO57" s="608"/>
      <c r="MIP57" s="608"/>
      <c r="MIQ57" s="608"/>
      <c r="MIR57" s="608"/>
      <c r="MIS57" s="608"/>
      <c r="MIT57" s="608"/>
      <c r="MIU57" s="608"/>
      <c r="MIV57" s="608"/>
      <c r="MIW57" s="608"/>
      <c r="MIX57" s="608"/>
      <c r="MIY57" s="608"/>
      <c r="MIZ57" s="608"/>
      <c r="MJA57" s="608"/>
      <c r="MJB57" s="608"/>
      <c r="MJC57" s="608"/>
      <c r="MJD57" s="608"/>
      <c r="MJE57" s="608"/>
      <c r="MJF57" s="608"/>
      <c r="MJG57" s="608"/>
      <c r="MJH57" s="608"/>
      <c r="MJI57" s="608"/>
      <c r="MJJ57" s="608"/>
      <c r="MJK57" s="608"/>
      <c r="MJL57" s="608"/>
      <c r="MJM57" s="608"/>
      <c r="MJN57" s="608"/>
      <c r="MJO57" s="608"/>
      <c r="MJP57" s="608"/>
      <c r="MJQ57" s="608"/>
      <c r="MJR57" s="608"/>
      <c r="MJS57" s="608"/>
      <c r="MJT57" s="608"/>
      <c r="MJU57" s="608"/>
      <c r="MJV57" s="608"/>
      <c r="MJW57" s="608"/>
      <c r="MJX57" s="608"/>
      <c r="MJY57" s="608"/>
      <c r="MJZ57" s="608"/>
      <c r="MKA57" s="608"/>
      <c r="MKB57" s="608"/>
      <c r="MKC57" s="608"/>
      <c r="MKD57" s="608"/>
      <c r="MKE57" s="608"/>
      <c r="MKF57" s="608"/>
      <c r="MKG57" s="608"/>
      <c r="MKH57" s="608"/>
      <c r="MKI57" s="608"/>
      <c r="MKJ57" s="608"/>
      <c r="MKK57" s="608"/>
      <c r="MKL57" s="608"/>
      <c r="MKM57" s="608"/>
      <c r="MKN57" s="608"/>
      <c r="MKO57" s="608"/>
      <c r="MKP57" s="608"/>
      <c r="MKQ57" s="608"/>
      <c r="MKR57" s="608"/>
      <c r="MKS57" s="608"/>
      <c r="MKT57" s="608"/>
      <c r="MKU57" s="608"/>
      <c r="MKV57" s="608"/>
      <c r="MKW57" s="608"/>
      <c r="MKX57" s="608"/>
      <c r="MKY57" s="608"/>
      <c r="MKZ57" s="608"/>
      <c r="MLA57" s="608"/>
      <c r="MLB57" s="608"/>
      <c r="MLC57" s="608"/>
      <c r="MLD57" s="608"/>
      <c r="MLE57" s="608"/>
      <c r="MLF57" s="608"/>
      <c r="MLG57" s="608"/>
      <c r="MLH57" s="608"/>
      <c r="MLI57" s="608"/>
      <c r="MLJ57" s="608"/>
      <c r="MLK57" s="608"/>
      <c r="MLL57" s="608"/>
      <c r="MLM57" s="608"/>
      <c r="MLN57" s="608"/>
      <c r="MLO57" s="608"/>
      <c r="MLP57" s="608"/>
      <c r="MLQ57" s="608"/>
      <c r="MLR57" s="608"/>
      <c r="MLS57" s="608"/>
      <c r="MLT57" s="608"/>
      <c r="MLU57" s="608"/>
      <c r="MLV57" s="608"/>
      <c r="MLW57" s="608"/>
      <c r="MLX57" s="608"/>
      <c r="MLY57" s="608"/>
      <c r="MLZ57" s="608"/>
      <c r="MMA57" s="608"/>
      <c r="MMB57" s="608"/>
      <c r="MMC57" s="608"/>
      <c r="MMD57" s="608"/>
      <c r="MME57" s="608"/>
      <c r="MMF57" s="608"/>
      <c r="MMG57" s="608"/>
      <c r="MMH57" s="608"/>
      <c r="MMI57" s="608"/>
      <c r="MMJ57" s="608"/>
      <c r="MMK57" s="608"/>
      <c r="MML57" s="608"/>
      <c r="MMM57" s="608"/>
      <c r="MMN57" s="608"/>
      <c r="MMO57" s="608"/>
      <c r="MMP57" s="608"/>
      <c r="MMQ57" s="608"/>
      <c r="MMR57" s="608"/>
      <c r="MMS57" s="608"/>
      <c r="MMT57" s="608"/>
      <c r="MMU57" s="608"/>
      <c r="MMV57" s="608"/>
      <c r="MMW57" s="608"/>
      <c r="MMX57" s="608"/>
      <c r="MMY57" s="608"/>
      <c r="MMZ57" s="608"/>
      <c r="MNA57" s="608"/>
      <c r="MNB57" s="608"/>
      <c r="MNC57" s="608"/>
      <c r="MND57" s="608"/>
      <c r="MNE57" s="608"/>
      <c r="MNF57" s="608"/>
      <c r="MNG57" s="608"/>
      <c r="MNH57" s="608"/>
      <c r="MNI57" s="608"/>
      <c r="MNJ57" s="608"/>
      <c r="MNK57" s="608"/>
      <c r="MNL57" s="608"/>
      <c r="MNM57" s="608"/>
      <c r="MNN57" s="608"/>
      <c r="MNO57" s="608"/>
      <c r="MNP57" s="608"/>
      <c r="MNQ57" s="608"/>
      <c r="MNR57" s="608"/>
      <c r="MNS57" s="608"/>
      <c r="MNT57" s="608"/>
      <c r="MNU57" s="608"/>
      <c r="MNV57" s="608"/>
      <c r="MNW57" s="608"/>
      <c r="MNX57" s="608"/>
      <c r="MNY57" s="608"/>
      <c r="MNZ57" s="608"/>
      <c r="MOA57" s="608"/>
      <c r="MOB57" s="608"/>
      <c r="MOC57" s="608"/>
      <c r="MOD57" s="608"/>
      <c r="MOE57" s="608"/>
      <c r="MOF57" s="608"/>
      <c r="MOG57" s="608"/>
      <c r="MOH57" s="608"/>
      <c r="MOI57" s="608"/>
      <c r="MOJ57" s="608"/>
      <c r="MOK57" s="608"/>
      <c r="MOL57" s="608"/>
      <c r="MOM57" s="608"/>
      <c r="MON57" s="608"/>
      <c r="MOO57" s="608"/>
      <c r="MOP57" s="608"/>
      <c r="MOQ57" s="608"/>
      <c r="MOR57" s="608"/>
      <c r="MOS57" s="608"/>
      <c r="MOT57" s="608"/>
      <c r="MOU57" s="608"/>
      <c r="MOV57" s="608"/>
      <c r="MOW57" s="608"/>
      <c r="MOX57" s="608"/>
      <c r="MOY57" s="608"/>
      <c r="MOZ57" s="608"/>
      <c r="MPA57" s="608"/>
      <c r="MPB57" s="608"/>
      <c r="MPC57" s="608"/>
      <c r="MPD57" s="608"/>
      <c r="MPE57" s="608"/>
      <c r="MPF57" s="608"/>
      <c r="MPG57" s="608"/>
      <c r="MPH57" s="608"/>
      <c r="MPI57" s="608"/>
      <c r="MPJ57" s="608"/>
      <c r="MPK57" s="608"/>
      <c r="MPL57" s="608"/>
      <c r="MPM57" s="608"/>
      <c r="MPN57" s="608"/>
      <c r="MPO57" s="608"/>
      <c r="MPP57" s="608"/>
      <c r="MPQ57" s="608"/>
      <c r="MPR57" s="608"/>
      <c r="MPS57" s="608"/>
      <c r="MPT57" s="608"/>
      <c r="MPU57" s="608"/>
      <c r="MPV57" s="608"/>
      <c r="MPW57" s="608"/>
      <c r="MPX57" s="608"/>
      <c r="MPY57" s="608"/>
      <c r="MPZ57" s="608"/>
      <c r="MQA57" s="608"/>
      <c r="MQB57" s="608"/>
      <c r="MQC57" s="608"/>
      <c r="MQD57" s="608"/>
      <c r="MQE57" s="608"/>
      <c r="MQF57" s="608"/>
      <c r="MQG57" s="608"/>
      <c r="MQH57" s="608"/>
      <c r="MQI57" s="608"/>
      <c r="MQJ57" s="608"/>
      <c r="MQK57" s="608"/>
      <c r="MQL57" s="608"/>
      <c r="MQM57" s="608"/>
      <c r="MQN57" s="608"/>
      <c r="MQO57" s="608"/>
      <c r="MQP57" s="608"/>
      <c r="MQQ57" s="608"/>
      <c r="MQR57" s="608"/>
      <c r="MQS57" s="608"/>
      <c r="MQT57" s="608"/>
      <c r="MQU57" s="608"/>
      <c r="MQV57" s="608"/>
      <c r="MQW57" s="608"/>
      <c r="MQX57" s="608"/>
      <c r="MQY57" s="608"/>
      <c r="MQZ57" s="608"/>
      <c r="MRA57" s="608"/>
      <c r="MRB57" s="608"/>
      <c r="MRC57" s="608"/>
      <c r="MRD57" s="608"/>
      <c r="MRE57" s="608"/>
      <c r="MRF57" s="608"/>
      <c r="MRG57" s="608"/>
      <c r="MRH57" s="608"/>
      <c r="MRI57" s="608"/>
      <c r="MRJ57" s="608"/>
      <c r="MRK57" s="608"/>
      <c r="MRL57" s="608"/>
      <c r="MRM57" s="608"/>
      <c r="MRN57" s="608"/>
      <c r="MRO57" s="608"/>
      <c r="MRP57" s="608"/>
      <c r="MRQ57" s="608"/>
      <c r="MRR57" s="608"/>
      <c r="MRS57" s="608"/>
      <c r="MRT57" s="608"/>
      <c r="MRU57" s="608"/>
      <c r="MRV57" s="608"/>
      <c r="MRW57" s="608"/>
      <c r="MRX57" s="608"/>
      <c r="MRY57" s="608"/>
      <c r="MRZ57" s="608"/>
      <c r="MSA57" s="608"/>
      <c r="MSB57" s="608"/>
      <c r="MSC57" s="608"/>
      <c r="MSD57" s="608"/>
      <c r="MSE57" s="608"/>
      <c r="MSF57" s="608"/>
      <c r="MSG57" s="608"/>
      <c r="MSH57" s="608"/>
      <c r="MSI57" s="608"/>
      <c r="MSJ57" s="608"/>
      <c r="MSK57" s="608"/>
      <c r="MSL57" s="608"/>
      <c r="MSM57" s="608"/>
      <c r="MSN57" s="608"/>
      <c r="MSO57" s="608"/>
      <c r="MSP57" s="608"/>
      <c r="MSQ57" s="608"/>
      <c r="MSR57" s="608"/>
      <c r="MSS57" s="608"/>
      <c r="MST57" s="608"/>
      <c r="MSU57" s="608"/>
      <c r="MSV57" s="608"/>
      <c r="MSW57" s="608"/>
      <c r="MSX57" s="608"/>
      <c r="MSY57" s="608"/>
      <c r="MSZ57" s="608"/>
      <c r="MTA57" s="608"/>
      <c r="MTB57" s="608"/>
      <c r="MTC57" s="608"/>
      <c r="MTD57" s="608"/>
      <c r="MTE57" s="608"/>
      <c r="MTF57" s="608"/>
      <c r="MTG57" s="608"/>
      <c r="MTH57" s="608"/>
      <c r="MTI57" s="608"/>
      <c r="MTJ57" s="608"/>
      <c r="MTK57" s="608"/>
      <c r="MTL57" s="608"/>
      <c r="MTM57" s="608"/>
      <c r="MTN57" s="608"/>
      <c r="MTO57" s="608"/>
      <c r="MTP57" s="608"/>
      <c r="MTQ57" s="608"/>
      <c r="MTR57" s="608"/>
      <c r="MTS57" s="608"/>
      <c r="MTT57" s="608"/>
      <c r="MTU57" s="608"/>
      <c r="MTV57" s="608"/>
      <c r="MTW57" s="608"/>
      <c r="MTX57" s="608"/>
      <c r="MTY57" s="608"/>
      <c r="MTZ57" s="608"/>
      <c r="MUA57" s="608"/>
      <c r="MUB57" s="608"/>
      <c r="MUC57" s="608"/>
      <c r="MUD57" s="608"/>
      <c r="MUE57" s="608"/>
      <c r="MUF57" s="608"/>
      <c r="MUG57" s="608"/>
      <c r="MUH57" s="608"/>
      <c r="MUI57" s="608"/>
      <c r="MUJ57" s="608"/>
      <c r="MUK57" s="608"/>
      <c r="MUL57" s="608"/>
      <c r="MUM57" s="608"/>
      <c r="MUN57" s="608"/>
      <c r="MUO57" s="608"/>
      <c r="MUP57" s="608"/>
      <c r="MUQ57" s="608"/>
      <c r="MUR57" s="608"/>
      <c r="MUS57" s="608"/>
      <c r="MUT57" s="608"/>
      <c r="MUU57" s="608"/>
      <c r="MUV57" s="608"/>
      <c r="MUW57" s="608"/>
      <c r="MUX57" s="608"/>
      <c r="MUY57" s="608"/>
      <c r="MUZ57" s="608"/>
      <c r="MVA57" s="608"/>
      <c r="MVB57" s="608"/>
      <c r="MVC57" s="608"/>
      <c r="MVD57" s="608"/>
      <c r="MVE57" s="608"/>
      <c r="MVF57" s="608"/>
      <c r="MVG57" s="608"/>
      <c r="MVH57" s="608"/>
      <c r="MVI57" s="608"/>
      <c r="MVJ57" s="608"/>
      <c r="MVK57" s="608"/>
      <c r="MVL57" s="608"/>
      <c r="MVM57" s="608"/>
      <c r="MVN57" s="608"/>
      <c r="MVO57" s="608"/>
      <c r="MVP57" s="608"/>
      <c r="MVQ57" s="608"/>
      <c r="MVR57" s="608"/>
      <c r="MVS57" s="608"/>
      <c r="MVT57" s="608"/>
      <c r="MVU57" s="608"/>
      <c r="MVV57" s="608"/>
      <c r="MVW57" s="608"/>
      <c r="MVX57" s="608"/>
      <c r="MVY57" s="608"/>
      <c r="MVZ57" s="608"/>
      <c r="MWA57" s="608"/>
      <c r="MWB57" s="608"/>
      <c r="MWC57" s="608"/>
      <c r="MWD57" s="608"/>
      <c r="MWE57" s="608"/>
      <c r="MWF57" s="608"/>
      <c r="MWG57" s="608"/>
      <c r="MWH57" s="608"/>
      <c r="MWI57" s="608"/>
      <c r="MWJ57" s="608"/>
      <c r="MWK57" s="608"/>
      <c r="MWL57" s="608"/>
      <c r="MWM57" s="608"/>
      <c r="MWN57" s="608"/>
      <c r="MWO57" s="608"/>
      <c r="MWP57" s="608"/>
      <c r="MWQ57" s="608"/>
      <c r="MWR57" s="608"/>
      <c r="MWS57" s="608"/>
      <c r="MWT57" s="608"/>
      <c r="MWU57" s="608"/>
      <c r="MWV57" s="608"/>
      <c r="MWW57" s="608"/>
      <c r="MWX57" s="608"/>
      <c r="MWY57" s="608"/>
      <c r="MWZ57" s="608"/>
      <c r="MXA57" s="608"/>
      <c r="MXB57" s="608"/>
      <c r="MXC57" s="608"/>
      <c r="MXD57" s="608"/>
      <c r="MXE57" s="608"/>
      <c r="MXF57" s="608"/>
      <c r="MXG57" s="608"/>
      <c r="MXH57" s="608"/>
      <c r="MXI57" s="608"/>
      <c r="MXJ57" s="608"/>
      <c r="MXK57" s="608"/>
      <c r="MXL57" s="608"/>
      <c r="MXM57" s="608"/>
      <c r="MXN57" s="608"/>
      <c r="MXO57" s="608"/>
      <c r="MXP57" s="608"/>
      <c r="MXQ57" s="608"/>
      <c r="MXR57" s="608"/>
      <c r="MXS57" s="608"/>
      <c r="MXT57" s="608"/>
      <c r="MXU57" s="608"/>
      <c r="MXV57" s="608"/>
      <c r="MXW57" s="608"/>
      <c r="MXX57" s="608"/>
      <c r="MXY57" s="608"/>
      <c r="MXZ57" s="608"/>
      <c r="MYA57" s="608"/>
      <c r="MYB57" s="608"/>
      <c r="MYC57" s="608"/>
      <c r="MYD57" s="608"/>
      <c r="MYE57" s="608"/>
      <c r="MYF57" s="608"/>
      <c r="MYG57" s="608"/>
      <c r="MYH57" s="608"/>
      <c r="MYI57" s="608"/>
      <c r="MYJ57" s="608"/>
      <c r="MYK57" s="608"/>
      <c r="MYL57" s="608"/>
      <c r="MYM57" s="608"/>
      <c r="MYN57" s="608"/>
      <c r="MYO57" s="608"/>
      <c r="MYP57" s="608"/>
      <c r="MYQ57" s="608"/>
      <c r="MYR57" s="608"/>
      <c r="MYS57" s="608"/>
      <c r="MYT57" s="608"/>
      <c r="MYU57" s="608"/>
      <c r="MYV57" s="608"/>
      <c r="MYW57" s="608"/>
      <c r="MYX57" s="608"/>
      <c r="MYY57" s="608"/>
      <c r="MYZ57" s="608"/>
      <c r="MZA57" s="608"/>
      <c r="MZB57" s="608"/>
      <c r="MZC57" s="608"/>
      <c r="MZD57" s="608"/>
      <c r="MZE57" s="608"/>
      <c r="MZF57" s="608"/>
      <c r="MZG57" s="608"/>
      <c r="MZH57" s="608"/>
      <c r="MZI57" s="608"/>
      <c r="MZJ57" s="608"/>
      <c r="MZK57" s="608"/>
      <c r="MZL57" s="608"/>
      <c r="MZM57" s="608"/>
      <c r="MZN57" s="608"/>
      <c r="MZO57" s="608"/>
      <c r="MZP57" s="608"/>
      <c r="MZQ57" s="608"/>
      <c r="MZR57" s="608"/>
      <c r="MZS57" s="608"/>
      <c r="MZT57" s="608"/>
      <c r="MZU57" s="608"/>
      <c r="MZV57" s="608"/>
      <c r="MZW57" s="608"/>
      <c r="MZX57" s="608"/>
      <c r="MZY57" s="608"/>
      <c r="MZZ57" s="608"/>
      <c r="NAA57" s="608"/>
      <c r="NAB57" s="608"/>
      <c r="NAC57" s="608"/>
      <c r="NAD57" s="608"/>
      <c r="NAE57" s="608"/>
      <c r="NAF57" s="608"/>
      <c r="NAG57" s="608"/>
      <c r="NAH57" s="608"/>
      <c r="NAI57" s="608"/>
      <c r="NAJ57" s="608"/>
      <c r="NAK57" s="608"/>
      <c r="NAL57" s="608"/>
      <c r="NAM57" s="608"/>
      <c r="NAN57" s="608"/>
      <c r="NAO57" s="608"/>
      <c r="NAP57" s="608"/>
      <c r="NAQ57" s="608"/>
      <c r="NAR57" s="608"/>
      <c r="NAS57" s="608"/>
      <c r="NAT57" s="608"/>
      <c r="NAU57" s="608"/>
      <c r="NAV57" s="608"/>
      <c r="NAW57" s="608"/>
      <c r="NAX57" s="608"/>
      <c r="NAY57" s="608"/>
      <c r="NAZ57" s="608"/>
      <c r="NBA57" s="608"/>
      <c r="NBB57" s="608"/>
      <c r="NBC57" s="608"/>
      <c r="NBD57" s="608"/>
      <c r="NBE57" s="608"/>
      <c r="NBF57" s="608"/>
      <c r="NBG57" s="608"/>
      <c r="NBH57" s="608"/>
      <c r="NBI57" s="608"/>
      <c r="NBJ57" s="608"/>
      <c r="NBK57" s="608"/>
      <c r="NBL57" s="608"/>
      <c r="NBM57" s="608"/>
      <c r="NBN57" s="608"/>
      <c r="NBO57" s="608"/>
      <c r="NBP57" s="608"/>
      <c r="NBQ57" s="608"/>
      <c r="NBR57" s="608"/>
      <c r="NBS57" s="608"/>
      <c r="NBT57" s="608"/>
      <c r="NBU57" s="608"/>
      <c r="NBV57" s="608"/>
      <c r="NBW57" s="608"/>
      <c r="NBX57" s="608"/>
      <c r="NBY57" s="608"/>
      <c r="NBZ57" s="608"/>
      <c r="NCA57" s="608"/>
      <c r="NCB57" s="608"/>
      <c r="NCC57" s="608"/>
      <c r="NCD57" s="608"/>
      <c r="NCE57" s="608"/>
      <c r="NCF57" s="608"/>
      <c r="NCG57" s="608"/>
      <c r="NCH57" s="608"/>
      <c r="NCI57" s="608"/>
      <c r="NCJ57" s="608"/>
      <c r="NCK57" s="608"/>
      <c r="NCL57" s="608"/>
      <c r="NCM57" s="608"/>
      <c r="NCN57" s="608"/>
      <c r="NCO57" s="608"/>
      <c r="NCP57" s="608"/>
      <c r="NCQ57" s="608"/>
      <c r="NCR57" s="608"/>
      <c r="NCS57" s="608"/>
      <c r="NCT57" s="608"/>
      <c r="NCU57" s="608"/>
      <c r="NCV57" s="608"/>
      <c r="NCW57" s="608"/>
      <c r="NCX57" s="608"/>
      <c r="NCY57" s="608"/>
      <c r="NCZ57" s="608"/>
      <c r="NDA57" s="608"/>
      <c r="NDB57" s="608"/>
      <c r="NDC57" s="608"/>
      <c r="NDD57" s="608"/>
      <c r="NDE57" s="608"/>
      <c r="NDF57" s="608"/>
      <c r="NDG57" s="608"/>
      <c r="NDH57" s="608"/>
      <c r="NDI57" s="608"/>
      <c r="NDJ57" s="608"/>
      <c r="NDK57" s="608"/>
      <c r="NDL57" s="608"/>
      <c r="NDM57" s="608"/>
      <c r="NDN57" s="608"/>
      <c r="NDO57" s="608"/>
      <c r="NDP57" s="608"/>
      <c r="NDQ57" s="608"/>
      <c r="NDR57" s="608"/>
      <c r="NDS57" s="608"/>
      <c r="NDT57" s="608"/>
      <c r="NDU57" s="608"/>
      <c r="NDV57" s="608"/>
      <c r="NDW57" s="608"/>
      <c r="NDX57" s="608"/>
      <c r="NDY57" s="608"/>
      <c r="NDZ57" s="608"/>
      <c r="NEA57" s="608"/>
      <c r="NEB57" s="608"/>
      <c r="NEC57" s="608"/>
      <c r="NED57" s="608"/>
      <c r="NEE57" s="608"/>
      <c r="NEF57" s="608"/>
      <c r="NEG57" s="608"/>
      <c r="NEH57" s="608"/>
      <c r="NEI57" s="608"/>
      <c r="NEJ57" s="608"/>
      <c r="NEK57" s="608"/>
      <c r="NEL57" s="608"/>
      <c r="NEM57" s="608"/>
      <c r="NEN57" s="608"/>
      <c r="NEO57" s="608"/>
      <c r="NEP57" s="608"/>
      <c r="NEQ57" s="608"/>
      <c r="NER57" s="608"/>
      <c r="NES57" s="608"/>
      <c r="NET57" s="608"/>
      <c r="NEU57" s="608"/>
      <c r="NEV57" s="608"/>
      <c r="NEW57" s="608"/>
      <c r="NEX57" s="608"/>
      <c r="NEY57" s="608"/>
      <c r="NEZ57" s="608"/>
      <c r="NFA57" s="608"/>
      <c r="NFB57" s="608"/>
      <c r="NFC57" s="608"/>
      <c r="NFD57" s="608"/>
      <c r="NFE57" s="608"/>
      <c r="NFF57" s="608"/>
      <c r="NFG57" s="608"/>
      <c r="NFH57" s="608"/>
      <c r="NFI57" s="608"/>
      <c r="NFJ57" s="608"/>
      <c r="NFK57" s="608"/>
      <c r="NFL57" s="608"/>
      <c r="NFM57" s="608"/>
      <c r="NFN57" s="608"/>
      <c r="NFO57" s="608"/>
      <c r="NFP57" s="608"/>
      <c r="NFQ57" s="608"/>
      <c r="NFR57" s="608"/>
      <c r="NFS57" s="608"/>
      <c r="NFT57" s="608"/>
      <c r="NFU57" s="608"/>
      <c r="NFV57" s="608"/>
      <c r="NFW57" s="608"/>
      <c r="NFX57" s="608"/>
      <c r="NFY57" s="608"/>
      <c r="NFZ57" s="608"/>
      <c r="NGA57" s="608"/>
      <c r="NGB57" s="608"/>
      <c r="NGC57" s="608"/>
      <c r="NGD57" s="608"/>
      <c r="NGE57" s="608"/>
      <c r="NGF57" s="608"/>
      <c r="NGG57" s="608"/>
      <c r="NGH57" s="608"/>
      <c r="NGI57" s="608"/>
      <c r="NGJ57" s="608"/>
      <c r="NGK57" s="608"/>
      <c r="NGL57" s="608"/>
      <c r="NGM57" s="608"/>
      <c r="NGN57" s="608"/>
      <c r="NGO57" s="608"/>
      <c r="NGP57" s="608"/>
      <c r="NGQ57" s="608"/>
      <c r="NGR57" s="608"/>
      <c r="NGS57" s="608"/>
      <c r="NGT57" s="608"/>
      <c r="NGU57" s="608"/>
      <c r="NGV57" s="608"/>
      <c r="NGW57" s="608"/>
      <c r="NGX57" s="608"/>
      <c r="NGY57" s="608"/>
      <c r="NGZ57" s="608"/>
      <c r="NHA57" s="608"/>
      <c r="NHB57" s="608"/>
      <c r="NHC57" s="608"/>
      <c r="NHD57" s="608"/>
      <c r="NHE57" s="608"/>
      <c r="NHF57" s="608"/>
      <c r="NHG57" s="608"/>
      <c r="NHH57" s="608"/>
      <c r="NHI57" s="608"/>
      <c r="NHJ57" s="608"/>
      <c r="NHK57" s="608"/>
      <c r="NHL57" s="608"/>
      <c r="NHM57" s="608"/>
      <c r="NHN57" s="608"/>
      <c r="NHO57" s="608"/>
      <c r="NHP57" s="608"/>
      <c r="NHQ57" s="608"/>
      <c r="NHR57" s="608"/>
      <c r="NHS57" s="608"/>
      <c r="NHT57" s="608"/>
      <c r="NHU57" s="608"/>
      <c r="NHV57" s="608"/>
      <c r="NHW57" s="608"/>
      <c r="NHX57" s="608"/>
      <c r="NHY57" s="608"/>
      <c r="NHZ57" s="608"/>
      <c r="NIA57" s="608"/>
      <c r="NIB57" s="608"/>
      <c r="NIC57" s="608"/>
      <c r="NID57" s="608"/>
      <c r="NIE57" s="608"/>
      <c r="NIF57" s="608"/>
      <c r="NIG57" s="608"/>
      <c r="NIH57" s="608"/>
      <c r="NII57" s="608"/>
      <c r="NIJ57" s="608"/>
      <c r="NIK57" s="608"/>
      <c r="NIL57" s="608"/>
      <c r="NIM57" s="608"/>
      <c r="NIN57" s="608"/>
      <c r="NIO57" s="608"/>
      <c r="NIP57" s="608"/>
      <c r="NIQ57" s="608"/>
      <c r="NIR57" s="608"/>
      <c r="NIS57" s="608"/>
      <c r="NIT57" s="608"/>
      <c r="NIU57" s="608"/>
      <c r="NIV57" s="608"/>
      <c r="NIW57" s="608"/>
      <c r="NIX57" s="608"/>
      <c r="NIY57" s="608"/>
      <c r="NIZ57" s="608"/>
      <c r="NJA57" s="608"/>
      <c r="NJB57" s="608"/>
      <c r="NJC57" s="608"/>
      <c r="NJD57" s="608"/>
      <c r="NJE57" s="608"/>
      <c r="NJF57" s="608"/>
      <c r="NJG57" s="608"/>
      <c r="NJH57" s="608"/>
      <c r="NJI57" s="608"/>
      <c r="NJJ57" s="608"/>
      <c r="NJK57" s="608"/>
      <c r="NJL57" s="608"/>
      <c r="NJM57" s="608"/>
      <c r="NJN57" s="608"/>
      <c r="NJO57" s="608"/>
      <c r="NJP57" s="608"/>
      <c r="NJQ57" s="608"/>
      <c r="NJR57" s="608"/>
      <c r="NJS57" s="608"/>
      <c r="NJT57" s="608"/>
      <c r="NJU57" s="608"/>
      <c r="NJV57" s="608"/>
      <c r="NJW57" s="608"/>
      <c r="NJX57" s="608"/>
      <c r="NJY57" s="608"/>
      <c r="NJZ57" s="608"/>
      <c r="NKA57" s="608"/>
      <c r="NKB57" s="608"/>
      <c r="NKC57" s="608"/>
      <c r="NKD57" s="608"/>
      <c r="NKE57" s="608"/>
      <c r="NKF57" s="608"/>
      <c r="NKG57" s="608"/>
      <c r="NKH57" s="608"/>
      <c r="NKI57" s="608"/>
      <c r="NKJ57" s="608"/>
      <c r="NKK57" s="608"/>
      <c r="NKL57" s="608"/>
      <c r="NKM57" s="608"/>
      <c r="NKN57" s="608"/>
      <c r="NKO57" s="608"/>
      <c r="NKP57" s="608"/>
      <c r="NKQ57" s="608"/>
      <c r="NKR57" s="608"/>
      <c r="NKS57" s="608"/>
      <c r="NKT57" s="608"/>
      <c r="NKU57" s="608"/>
      <c r="NKV57" s="608"/>
      <c r="NKW57" s="608"/>
      <c r="NKX57" s="608"/>
      <c r="NKY57" s="608"/>
      <c r="NKZ57" s="608"/>
      <c r="NLA57" s="608"/>
      <c r="NLB57" s="608"/>
      <c r="NLC57" s="608"/>
      <c r="NLD57" s="608"/>
      <c r="NLE57" s="608"/>
      <c r="NLF57" s="608"/>
      <c r="NLG57" s="608"/>
      <c r="NLH57" s="608"/>
      <c r="NLI57" s="608"/>
      <c r="NLJ57" s="608"/>
      <c r="NLK57" s="608"/>
      <c r="NLL57" s="608"/>
      <c r="NLM57" s="608"/>
      <c r="NLN57" s="608"/>
      <c r="NLO57" s="608"/>
      <c r="NLP57" s="608"/>
      <c r="NLQ57" s="608"/>
      <c r="NLR57" s="608"/>
      <c r="NLS57" s="608"/>
      <c r="NLT57" s="608"/>
      <c r="NLU57" s="608"/>
      <c r="NLV57" s="608"/>
      <c r="NLW57" s="608"/>
      <c r="NLX57" s="608"/>
      <c r="NLY57" s="608"/>
      <c r="NLZ57" s="608"/>
      <c r="NMA57" s="608"/>
      <c r="NMB57" s="608"/>
      <c r="NMC57" s="608"/>
      <c r="NMD57" s="608"/>
      <c r="NME57" s="608"/>
      <c r="NMF57" s="608"/>
      <c r="NMG57" s="608"/>
      <c r="NMH57" s="608"/>
      <c r="NMI57" s="608"/>
      <c r="NMJ57" s="608"/>
      <c r="NMK57" s="608"/>
      <c r="NML57" s="608"/>
      <c r="NMM57" s="608"/>
      <c r="NMN57" s="608"/>
      <c r="NMO57" s="608"/>
      <c r="NMP57" s="608"/>
      <c r="NMQ57" s="608"/>
      <c r="NMR57" s="608"/>
      <c r="NMS57" s="608"/>
      <c r="NMT57" s="608"/>
      <c r="NMU57" s="608"/>
      <c r="NMV57" s="608"/>
      <c r="NMW57" s="608"/>
      <c r="NMX57" s="608"/>
      <c r="NMY57" s="608"/>
      <c r="NMZ57" s="608"/>
      <c r="NNA57" s="608"/>
      <c r="NNB57" s="608"/>
      <c r="NNC57" s="608"/>
      <c r="NND57" s="608"/>
      <c r="NNE57" s="608"/>
      <c r="NNF57" s="608"/>
      <c r="NNG57" s="608"/>
      <c r="NNH57" s="608"/>
      <c r="NNI57" s="608"/>
      <c r="NNJ57" s="608"/>
      <c r="NNK57" s="608"/>
      <c r="NNL57" s="608"/>
      <c r="NNM57" s="608"/>
      <c r="NNN57" s="608"/>
      <c r="NNO57" s="608"/>
      <c r="NNP57" s="608"/>
      <c r="NNQ57" s="608"/>
      <c r="NNR57" s="608"/>
      <c r="NNS57" s="608"/>
      <c r="NNT57" s="608"/>
      <c r="NNU57" s="608"/>
      <c r="NNV57" s="608"/>
      <c r="NNW57" s="608"/>
      <c r="NNX57" s="608"/>
      <c r="NNY57" s="608"/>
      <c r="NNZ57" s="608"/>
      <c r="NOA57" s="608"/>
      <c r="NOB57" s="608"/>
      <c r="NOC57" s="608"/>
      <c r="NOD57" s="608"/>
      <c r="NOE57" s="608"/>
      <c r="NOF57" s="608"/>
      <c r="NOG57" s="608"/>
      <c r="NOH57" s="608"/>
      <c r="NOI57" s="608"/>
      <c r="NOJ57" s="608"/>
      <c r="NOK57" s="608"/>
      <c r="NOL57" s="608"/>
      <c r="NOM57" s="608"/>
      <c r="NON57" s="608"/>
      <c r="NOO57" s="608"/>
      <c r="NOP57" s="608"/>
      <c r="NOQ57" s="608"/>
      <c r="NOR57" s="608"/>
      <c r="NOS57" s="608"/>
      <c r="NOT57" s="608"/>
      <c r="NOU57" s="608"/>
      <c r="NOV57" s="608"/>
      <c r="NOW57" s="608"/>
      <c r="NOX57" s="608"/>
      <c r="NOY57" s="608"/>
      <c r="NOZ57" s="608"/>
      <c r="NPA57" s="608"/>
      <c r="NPB57" s="608"/>
      <c r="NPC57" s="608"/>
      <c r="NPD57" s="608"/>
      <c r="NPE57" s="608"/>
      <c r="NPF57" s="608"/>
      <c r="NPG57" s="608"/>
      <c r="NPH57" s="608"/>
      <c r="NPI57" s="608"/>
      <c r="NPJ57" s="608"/>
      <c r="NPK57" s="608"/>
      <c r="NPL57" s="608"/>
      <c r="NPM57" s="608"/>
      <c r="NPN57" s="608"/>
      <c r="NPO57" s="608"/>
      <c r="NPP57" s="608"/>
      <c r="NPQ57" s="608"/>
      <c r="NPR57" s="608"/>
      <c r="NPS57" s="608"/>
      <c r="NPT57" s="608"/>
      <c r="NPU57" s="608"/>
      <c r="NPV57" s="608"/>
      <c r="NPW57" s="608"/>
      <c r="NPX57" s="608"/>
      <c r="NPY57" s="608"/>
      <c r="NPZ57" s="608"/>
      <c r="NQA57" s="608"/>
      <c r="NQB57" s="608"/>
      <c r="NQC57" s="608"/>
      <c r="NQD57" s="608"/>
      <c r="NQE57" s="608"/>
      <c r="NQF57" s="608"/>
      <c r="NQG57" s="608"/>
      <c r="NQH57" s="608"/>
      <c r="NQI57" s="608"/>
      <c r="NQJ57" s="608"/>
      <c r="NQK57" s="608"/>
      <c r="NQL57" s="608"/>
      <c r="NQM57" s="608"/>
      <c r="NQN57" s="608"/>
      <c r="NQO57" s="608"/>
      <c r="NQP57" s="608"/>
      <c r="NQQ57" s="608"/>
      <c r="NQR57" s="608"/>
      <c r="NQS57" s="608"/>
      <c r="NQT57" s="608"/>
      <c r="NQU57" s="608"/>
      <c r="NQV57" s="608"/>
      <c r="NQW57" s="608"/>
      <c r="NQX57" s="608"/>
      <c r="NQY57" s="608"/>
      <c r="NQZ57" s="608"/>
      <c r="NRA57" s="608"/>
      <c r="NRB57" s="608"/>
      <c r="NRC57" s="608"/>
      <c r="NRD57" s="608"/>
      <c r="NRE57" s="608"/>
      <c r="NRF57" s="608"/>
      <c r="NRG57" s="608"/>
      <c r="NRH57" s="608"/>
      <c r="NRI57" s="608"/>
      <c r="NRJ57" s="608"/>
      <c r="NRK57" s="608"/>
      <c r="NRL57" s="608"/>
      <c r="NRM57" s="608"/>
      <c r="NRN57" s="608"/>
      <c r="NRO57" s="608"/>
      <c r="NRP57" s="608"/>
      <c r="NRQ57" s="608"/>
      <c r="NRR57" s="608"/>
      <c r="NRS57" s="608"/>
      <c r="NRT57" s="608"/>
      <c r="NRU57" s="608"/>
      <c r="NRV57" s="608"/>
      <c r="NRW57" s="608"/>
      <c r="NRX57" s="608"/>
      <c r="NRY57" s="608"/>
      <c r="NRZ57" s="608"/>
      <c r="NSA57" s="608"/>
      <c r="NSB57" s="608"/>
      <c r="NSC57" s="608"/>
      <c r="NSD57" s="608"/>
      <c r="NSE57" s="608"/>
      <c r="NSF57" s="608"/>
      <c r="NSG57" s="608"/>
      <c r="NSH57" s="608"/>
      <c r="NSI57" s="608"/>
      <c r="NSJ57" s="608"/>
      <c r="NSK57" s="608"/>
      <c r="NSL57" s="608"/>
      <c r="NSM57" s="608"/>
      <c r="NSN57" s="608"/>
      <c r="NSO57" s="608"/>
      <c r="NSP57" s="608"/>
      <c r="NSQ57" s="608"/>
      <c r="NSR57" s="608"/>
      <c r="NSS57" s="608"/>
      <c r="NST57" s="608"/>
      <c r="NSU57" s="608"/>
      <c r="NSV57" s="608"/>
      <c r="NSW57" s="608"/>
      <c r="NSX57" s="608"/>
      <c r="NSY57" s="608"/>
      <c r="NSZ57" s="608"/>
      <c r="NTA57" s="608"/>
      <c r="NTB57" s="608"/>
      <c r="NTC57" s="608"/>
      <c r="NTD57" s="608"/>
      <c r="NTE57" s="608"/>
      <c r="NTF57" s="608"/>
      <c r="NTG57" s="608"/>
      <c r="NTH57" s="608"/>
      <c r="NTI57" s="608"/>
      <c r="NTJ57" s="608"/>
      <c r="NTK57" s="608"/>
      <c r="NTL57" s="608"/>
      <c r="NTM57" s="608"/>
      <c r="NTN57" s="608"/>
      <c r="NTO57" s="608"/>
      <c r="NTP57" s="608"/>
      <c r="NTQ57" s="608"/>
      <c r="NTR57" s="608"/>
      <c r="NTS57" s="608"/>
      <c r="NTT57" s="608"/>
      <c r="NTU57" s="608"/>
      <c r="NTV57" s="608"/>
      <c r="NTW57" s="608"/>
      <c r="NTX57" s="608"/>
      <c r="NTY57" s="608"/>
      <c r="NTZ57" s="608"/>
      <c r="NUA57" s="608"/>
      <c r="NUB57" s="608"/>
      <c r="NUC57" s="608"/>
      <c r="NUD57" s="608"/>
      <c r="NUE57" s="608"/>
      <c r="NUF57" s="608"/>
      <c r="NUG57" s="608"/>
      <c r="NUH57" s="608"/>
      <c r="NUI57" s="608"/>
      <c r="NUJ57" s="608"/>
      <c r="NUK57" s="608"/>
      <c r="NUL57" s="608"/>
      <c r="NUM57" s="608"/>
      <c r="NUN57" s="608"/>
      <c r="NUO57" s="608"/>
      <c r="NUP57" s="608"/>
      <c r="NUQ57" s="608"/>
      <c r="NUR57" s="608"/>
      <c r="NUS57" s="608"/>
      <c r="NUT57" s="608"/>
      <c r="NUU57" s="608"/>
      <c r="NUV57" s="608"/>
      <c r="NUW57" s="608"/>
      <c r="NUX57" s="608"/>
      <c r="NUY57" s="608"/>
      <c r="NUZ57" s="608"/>
      <c r="NVA57" s="608"/>
      <c r="NVB57" s="608"/>
      <c r="NVC57" s="608"/>
      <c r="NVD57" s="608"/>
      <c r="NVE57" s="608"/>
      <c r="NVF57" s="608"/>
      <c r="NVG57" s="608"/>
      <c r="NVH57" s="608"/>
      <c r="NVI57" s="608"/>
      <c r="NVJ57" s="608"/>
      <c r="NVK57" s="608"/>
      <c r="NVL57" s="608"/>
      <c r="NVM57" s="608"/>
      <c r="NVN57" s="608"/>
      <c r="NVO57" s="608"/>
      <c r="NVP57" s="608"/>
      <c r="NVQ57" s="608"/>
      <c r="NVR57" s="608"/>
      <c r="NVS57" s="608"/>
      <c r="NVT57" s="608"/>
      <c r="NVU57" s="608"/>
      <c r="NVV57" s="608"/>
      <c r="NVW57" s="608"/>
      <c r="NVX57" s="608"/>
      <c r="NVY57" s="608"/>
      <c r="NVZ57" s="608"/>
      <c r="NWA57" s="608"/>
      <c r="NWB57" s="608"/>
      <c r="NWC57" s="608"/>
      <c r="NWD57" s="608"/>
      <c r="NWE57" s="608"/>
      <c r="NWF57" s="608"/>
      <c r="NWG57" s="608"/>
      <c r="NWH57" s="608"/>
      <c r="NWI57" s="608"/>
      <c r="NWJ57" s="608"/>
      <c r="NWK57" s="608"/>
      <c r="NWL57" s="608"/>
      <c r="NWM57" s="608"/>
      <c r="NWN57" s="608"/>
      <c r="NWO57" s="608"/>
      <c r="NWP57" s="608"/>
      <c r="NWQ57" s="608"/>
      <c r="NWR57" s="608"/>
      <c r="NWS57" s="608"/>
      <c r="NWT57" s="608"/>
      <c r="NWU57" s="608"/>
      <c r="NWV57" s="608"/>
      <c r="NWW57" s="608"/>
      <c r="NWX57" s="608"/>
      <c r="NWY57" s="608"/>
      <c r="NWZ57" s="608"/>
      <c r="NXA57" s="608"/>
      <c r="NXB57" s="608"/>
      <c r="NXC57" s="608"/>
      <c r="NXD57" s="608"/>
      <c r="NXE57" s="608"/>
      <c r="NXF57" s="608"/>
      <c r="NXG57" s="608"/>
      <c r="NXH57" s="608"/>
      <c r="NXI57" s="608"/>
      <c r="NXJ57" s="608"/>
      <c r="NXK57" s="608"/>
      <c r="NXL57" s="608"/>
      <c r="NXM57" s="608"/>
      <c r="NXN57" s="608"/>
      <c r="NXO57" s="608"/>
      <c r="NXP57" s="608"/>
      <c r="NXQ57" s="608"/>
      <c r="NXR57" s="608"/>
      <c r="NXS57" s="608"/>
      <c r="NXT57" s="608"/>
      <c r="NXU57" s="608"/>
      <c r="NXV57" s="608"/>
      <c r="NXW57" s="608"/>
      <c r="NXX57" s="608"/>
      <c r="NXY57" s="608"/>
      <c r="NXZ57" s="608"/>
      <c r="NYA57" s="608"/>
      <c r="NYB57" s="608"/>
      <c r="NYC57" s="608"/>
      <c r="NYD57" s="608"/>
      <c r="NYE57" s="608"/>
      <c r="NYF57" s="608"/>
      <c r="NYG57" s="608"/>
      <c r="NYH57" s="608"/>
      <c r="NYI57" s="608"/>
      <c r="NYJ57" s="608"/>
      <c r="NYK57" s="608"/>
      <c r="NYL57" s="608"/>
      <c r="NYM57" s="608"/>
      <c r="NYN57" s="608"/>
      <c r="NYO57" s="608"/>
      <c r="NYP57" s="608"/>
      <c r="NYQ57" s="608"/>
      <c r="NYR57" s="608"/>
      <c r="NYS57" s="608"/>
      <c r="NYT57" s="608"/>
      <c r="NYU57" s="608"/>
      <c r="NYV57" s="608"/>
      <c r="NYW57" s="608"/>
      <c r="NYX57" s="608"/>
      <c r="NYY57" s="608"/>
      <c r="NYZ57" s="608"/>
      <c r="NZA57" s="608"/>
      <c r="NZB57" s="608"/>
      <c r="NZC57" s="608"/>
      <c r="NZD57" s="608"/>
      <c r="NZE57" s="608"/>
      <c r="NZF57" s="608"/>
      <c r="NZG57" s="608"/>
      <c r="NZH57" s="608"/>
      <c r="NZI57" s="608"/>
      <c r="NZJ57" s="608"/>
      <c r="NZK57" s="608"/>
      <c r="NZL57" s="608"/>
      <c r="NZM57" s="608"/>
      <c r="NZN57" s="608"/>
      <c r="NZO57" s="608"/>
      <c r="NZP57" s="608"/>
      <c r="NZQ57" s="608"/>
      <c r="NZR57" s="608"/>
      <c r="NZS57" s="608"/>
      <c r="NZT57" s="608"/>
      <c r="NZU57" s="608"/>
      <c r="NZV57" s="608"/>
      <c r="NZW57" s="608"/>
      <c r="NZX57" s="608"/>
      <c r="NZY57" s="608"/>
      <c r="NZZ57" s="608"/>
      <c r="OAA57" s="608"/>
      <c r="OAB57" s="608"/>
      <c r="OAC57" s="608"/>
      <c r="OAD57" s="608"/>
      <c r="OAE57" s="608"/>
      <c r="OAF57" s="608"/>
      <c r="OAG57" s="608"/>
      <c r="OAH57" s="608"/>
      <c r="OAI57" s="608"/>
      <c r="OAJ57" s="608"/>
      <c r="OAK57" s="608"/>
      <c r="OAL57" s="608"/>
      <c r="OAM57" s="608"/>
      <c r="OAN57" s="608"/>
      <c r="OAO57" s="608"/>
      <c r="OAP57" s="608"/>
      <c r="OAQ57" s="608"/>
      <c r="OAR57" s="608"/>
      <c r="OAS57" s="608"/>
      <c r="OAT57" s="608"/>
      <c r="OAU57" s="608"/>
      <c r="OAV57" s="608"/>
      <c r="OAW57" s="608"/>
      <c r="OAX57" s="608"/>
      <c r="OAY57" s="608"/>
      <c r="OAZ57" s="608"/>
      <c r="OBA57" s="608"/>
      <c r="OBB57" s="608"/>
      <c r="OBC57" s="608"/>
      <c r="OBD57" s="608"/>
      <c r="OBE57" s="608"/>
      <c r="OBF57" s="608"/>
      <c r="OBG57" s="608"/>
      <c r="OBH57" s="608"/>
      <c r="OBI57" s="608"/>
      <c r="OBJ57" s="608"/>
      <c r="OBK57" s="608"/>
      <c r="OBL57" s="608"/>
      <c r="OBM57" s="608"/>
      <c r="OBN57" s="608"/>
      <c r="OBO57" s="608"/>
      <c r="OBP57" s="608"/>
      <c r="OBQ57" s="608"/>
      <c r="OBR57" s="608"/>
      <c r="OBS57" s="608"/>
      <c r="OBT57" s="608"/>
      <c r="OBU57" s="608"/>
      <c r="OBV57" s="608"/>
      <c r="OBW57" s="608"/>
      <c r="OBX57" s="608"/>
      <c r="OBY57" s="608"/>
      <c r="OBZ57" s="608"/>
      <c r="OCA57" s="608"/>
      <c r="OCB57" s="608"/>
      <c r="OCC57" s="608"/>
      <c r="OCD57" s="608"/>
      <c r="OCE57" s="608"/>
      <c r="OCF57" s="608"/>
      <c r="OCG57" s="608"/>
      <c r="OCH57" s="608"/>
      <c r="OCI57" s="608"/>
      <c r="OCJ57" s="608"/>
      <c r="OCK57" s="608"/>
      <c r="OCL57" s="608"/>
      <c r="OCM57" s="608"/>
      <c r="OCN57" s="608"/>
      <c r="OCO57" s="608"/>
      <c r="OCP57" s="608"/>
      <c r="OCQ57" s="608"/>
      <c r="OCR57" s="608"/>
      <c r="OCS57" s="608"/>
      <c r="OCT57" s="608"/>
      <c r="OCU57" s="608"/>
      <c r="OCV57" s="608"/>
      <c r="OCW57" s="608"/>
      <c r="OCX57" s="608"/>
      <c r="OCY57" s="608"/>
      <c r="OCZ57" s="608"/>
      <c r="ODA57" s="608"/>
      <c r="ODB57" s="608"/>
      <c r="ODC57" s="608"/>
      <c r="ODD57" s="608"/>
      <c r="ODE57" s="608"/>
      <c r="ODF57" s="608"/>
      <c r="ODG57" s="608"/>
      <c r="ODH57" s="608"/>
      <c r="ODI57" s="608"/>
      <c r="ODJ57" s="608"/>
      <c r="ODK57" s="608"/>
      <c r="ODL57" s="608"/>
      <c r="ODM57" s="608"/>
      <c r="ODN57" s="608"/>
      <c r="ODO57" s="608"/>
      <c r="ODP57" s="608"/>
      <c r="ODQ57" s="608"/>
      <c r="ODR57" s="608"/>
      <c r="ODS57" s="608"/>
      <c r="ODT57" s="608"/>
      <c r="ODU57" s="608"/>
      <c r="ODV57" s="608"/>
      <c r="ODW57" s="608"/>
      <c r="ODX57" s="608"/>
      <c r="ODY57" s="608"/>
      <c r="ODZ57" s="608"/>
      <c r="OEA57" s="608"/>
      <c r="OEB57" s="608"/>
      <c r="OEC57" s="608"/>
      <c r="OED57" s="608"/>
      <c r="OEE57" s="608"/>
      <c r="OEF57" s="608"/>
      <c r="OEG57" s="608"/>
      <c r="OEH57" s="608"/>
      <c r="OEI57" s="608"/>
      <c r="OEJ57" s="608"/>
      <c r="OEK57" s="608"/>
      <c r="OEL57" s="608"/>
      <c r="OEM57" s="608"/>
      <c r="OEN57" s="608"/>
      <c r="OEO57" s="608"/>
      <c r="OEP57" s="608"/>
      <c r="OEQ57" s="608"/>
      <c r="OER57" s="608"/>
      <c r="OES57" s="608"/>
      <c r="OET57" s="608"/>
      <c r="OEU57" s="608"/>
      <c r="OEV57" s="608"/>
      <c r="OEW57" s="608"/>
      <c r="OEX57" s="608"/>
      <c r="OEY57" s="608"/>
      <c r="OEZ57" s="608"/>
      <c r="OFA57" s="608"/>
      <c r="OFB57" s="608"/>
      <c r="OFC57" s="608"/>
      <c r="OFD57" s="608"/>
      <c r="OFE57" s="608"/>
      <c r="OFF57" s="608"/>
      <c r="OFG57" s="608"/>
      <c r="OFH57" s="608"/>
      <c r="OFI57" s="608"/>
      <c r="OFJ57" s="608"/>
      <c r="OFK57" s="608"/>
      <c r="OFL57" s="608"/>
      <c r="OFM57" s="608"/>
      <c r="OFN57" s="608"/>
      <c r="OFO57" s="608"/>
      <c r="OFP57" s="608"/>
      <c r="OFQ57" s="608"/>
      <c r="OFR57" s="608"/>
      <c r="OFS57" s="608"/>
      <c r="OFT57" s="608"/>
      <c r="OFU57" s="608"/>
      <c r="OFV57" s="608"/>
      <c r="OFW57" s="608"/>
      <c r="OFX57" s="608"/>
      <c r="OFY57" s="608"/>
      <c r="OFZ57" s="608"/>
      <c r="OGA57" s="608"/>
      <c r="OGB57" s="608"/>
      <c r="OGC57" s="608"/>
      <c r="OGD57" s="608"/>
      <c r="OGE57" s="608"/>
      <c r="OGF57" s="608"/>
      <c r="OGG57" s="608"/>
      <c r="OGH57" s="608"/>
      <c r="OGI57" s="608"/>
      <c r="OGJ57" s="608"/>
      <c r="OGK57" s="608"/>
      <c r="OGL57" s="608"/>
      <c r="OGM57" s="608"/>
      <c r="OGN57" s="608"/>
      <c r="OGO57" s="608"/>
      <c r="OGP57" s="608"/>
      <c r="OGQ57" s="608"/>
      <c r="OGR57" s="608"/>
      <c r="OGS57" s="608"/>
      <c r="OGT57" s="608"/>
      <c r="OGU57" s="608"/>
      <c r="OGV57" s="608"/>
      <c r="OGW57" s="608"/>
      <c r="OGX57" s="608"/>
      <c r="OGY57" s="608"/>
      <c r="OGZ57" s="608"/>
      <c r="OHA57" s="608"/>
      <c r="OHB57" s="608"/>
      <c r="OHC57" s="608"/>
      <c r="OHD57" s="608"/>
      <c r="OHE57" s="608"/>
      <c r="OHF57" s="608"/>
      <c r="OHG57" s="608"/>
      <c r="OHH57" s="608"/>
      <c r="OHI57" s="608"/>
      <c r="OHJ57" s="608"/>
      <c r="OHK57" s="608"/>
      <c r="OHL57" s="608"/>
      <c r="OHM57" s="608"/>
      <c r="OHN57" s="608"/>
      <c r="OHO57" s="608"/>
      <c r="OHP57" s="608"/>
      <c r="OHQ57" s="608"/>
      <c r="OHR57" s="608"/>
      <c r="OHS57" s="608"/>
      <c r="OHT57" s="608"/>
      <c r="OHU57" s="608"/>
      <c r="OHV57" s="608"/>
      <c r="OHW57" s="608"/>
      <c r="OHX57" s="608"/>
      <c r="OHY57" s="608"/>
      <c r="OHZ57" s="608"/>
      <c r="OIA57" s="608"/>
      <c r="OIB57" s="608"/>
      <c r="OIC57" s="608"/>
      <c r="OID57" s="608"/>
      <c r="OIE57" s="608"/>
      <c r="OIF57" s="608"/>
      <c r="OIG57" s="608"/>
      <c r="OIH57" s="608"/>
      <c r="OII57" s="608"/>
      <c r="OIJ57" s="608"/>
      <c r="OIK57" s="608"/>
      <c r="OIL57" s="608"/>
      <c r="OIM57" s="608"/>
      <c r="OIN57" s="608"/>
      <c r="OIO57" s="608"/>
      <c r="OIP57" s="608"/>
      <c r="OIQ57" s="608"/>
      <c r="OIR57" s="608"/>
      <c r="OIS57" s="608"/>
      <c r="OIT57" s="608"/>
      <c r="OIU57" s="608"/>
      <c r="OIV57" s="608"/>
      <c r="OIW57" s="608"/>
      <c r="OIX57" s="608"/>
      <c r="OIY57" s="608"/>
      <c r="OIZ57" s="608"/>
      <c r="OJA57" s="608"/>
      <c r="OJB57" s="608"/>
      <c r="OJC57" s="608"/>
      <c r="OJD57" s="608"/>
      <c r="OJE57" s="608"/>
      <c r="OJF57" s="608"/>
      <c r="OJG57" s="608"/>
      <c r="OJH57" s="608"/>
      <c r="OJI57" s="608"/>
      <c r="OJJ57" s="608"/>
      <c r="OJK57" s="608"/>
      <c r="OJL57" s="608"/>
      <c r="OJM57" s="608"/>
      <c r="OJN57" s="608"/>
      <c r="OJO57" s="608"/>
      <c r="OJP57" s="608"/>
      <c r="OJQ57" s="608"/>
      <c r="OJR57" s="608"/>
      <c r="OJS57" s="608"/>
      <c r="OJT57" s="608"/>
      <c r="OJU57" s="608"/>
      <c r="OJV57" s="608"/>
      <c r="OJW57" s="608"/>
      <c r="OJX57" s="608"/>
      <c r="OJY57" s="608"/>
      <c r="OJZ57" s="608"/>
      <c r="OKA57" s="608"/>
      <c r="OKB57" s="608"/>
      <c r="OKC57" s="608"/>
      <c r="OKD57" s="608"/>
      <c r="OKE57" s="608"/>
      <c r="OKF57" s="608"/>
      <c r="OKG57" s="608"/>
      <c r="OKH57" s="608"/>
      <c r="OKI57" s="608"/>
      <c r="OKJ57" s="608"/>
      <c r="OKK57" s="608"/>
      <c r="OKL57" s="608"/>
      <c r="OKM57" s="608"/>
      <c r="OKN57" s="608"/>
      <c r="OKO57" s="608"/>
      <c r="OKP57" s="608"/>
      <c r="OKQ57" s="608"/>
      <c r="OKR57" s="608"/>
      <c r="OKS57" s="608"/>
      <c r="OKT57" s="608"/>
      <c r="OKU57" s="608"/>
      <c r="OKV57" s="608"/>
      <c r="OKW57" s="608"/>
      <c r="OKX57" s="608"/>
      <c r="OKY57" s="608"/>
      <c r="OKZ57" s="608"/>
      <c r="OLA57" s="608"/>
      <c r="OLB57" s="608"/>
      <c r="OLC57" s="608"/>
      <c r="OLD57" s="608"/>
      <c r="OLE57" s="608"/>
      <c r="OLF57" s="608"/>
      <c r="OLG57" s="608"/>
      <c r="OLH57" s="608"/>
      <c r="OLI57" s="608"/>
      <c r="OLJ57" s="608"/>
      <c r="OLK57" s="608"/>
      <c r="OLL57" s="608"/>
      <c r="OLM57" s="608"/>
      <c r="OLN57" s="608"/>
      <c r="OLO57" s="608"/>
      <c r="OLP57" s="608"/>
      <c r="OLQ57" s="608"/>
      <c r="OLR57" s="608"/>
      <c r="OLS57" s="608"/>
      <c r="OLT57" s="608"/>
      <c r="OLU57" s="608"/>
      <c r="OLV57" s="608"/>
      <c r="OLW57" s="608"/>
      <c r="OLX57" s="608"/>
      <c r="OLY57" s="608"/>
      <c r="OLZ57" s="608"/>
      <c r="OMA57" s="608"/>
      <c r="OMB57" s="608"/>
      <c r="OMC57" s="608"/>
      <c r="OMD57" s="608"/>
      <c r="OME57" s="608"/>
      <c r="OMF57" s="608"/>
      <c r="OMG57" s="608"/>
      <c r="OMH57" s="608"/>
      <c r="OMI57" s="608"/>
      <c r="OMJ57" s="608"/>
      <c r="OMK57" s="608"/>
      <c r="OML57" s="608"/>
      <c r="OMM57" s="608"/>
      <c r="OMN57" s="608"/>
      <c r="OMO57" s="608"/>
      <c r="OMP57" s="608"/>
      <c r="OMQ57" s="608"/>
      <c r="OMR57" s="608"/>
      <c r="OMS57" s="608"/>
      <c r="OMT57" s="608"/>
      <c r="OMU57" s="608"/>
      <c r="OMV57" s="608"/>
      <c r="OMW57" s="608"/>
      <c r="OMX57" s="608"/>
      <c r="OMY57" s="608"/>
      <c r="OMZ57" s="608"/>
      <c r="ONA57" s="608"/>
      <c r="ONB57" s="608"/>
      <c r="ONC57" s="608"/>
      <c r="OND57" s="608"/>
      <c r="ONE57" s="608"/>
      <c r="ONF57" s="608"/>
      <c r="ONG57" s="608"/>
      <c r="ONH57" s="608"/>
      <c r="ONI57" s="608"/>
      <c r="ONJ57" s="608"/>
      <c r="ONK57" s="608"/>
      <c r="ONL57" s="608"/>
      <c r="ONM57" s="608"/>
      <c r="ONN57" s="608"/>
      <c r="ONO57" s="608"/>
      <c r="ONP57" s="608"/>
      <c r="ONQ57" s="608"/>
      <c r="ONR57" s="608"/>
      <c r="ONS57" s="608"/>
      <c r="ONT57" s="608"/>
      <c r="ONU57" s="608"/>
      <c r="ONV57" s="608"/>
      <c r="ONW57" s="608"/>
      <c r="ONX57" s="608"/>
      <c r="ONY57" s="608"/>
      <c r="ONZ57" s="608"/>
      <c r="OOA57" s="608"/>
      <c r="OOB57" s="608"/>
      <c r="OOC57" s="608"/>
      <c r="OOD57" s="608"/>
      <c r="OOE57" s="608"/>
      <c r="OOF57" s="608"/>
      <c r="OOG57" s="608"/>
      <c r="OOH57" s="608"/>
      <c r="OOI57" s="608"/>
      <c r="OOJ57" s="608"/>
      <c r="OOK57" s="608"/>
      <c r="OOL57" s="608"/>
      <c r="OOM57" s="608"/>
      <c r="OON57" s="608"/>
      <c r="OOO57" s="608"/>
      <c r="OOP57" s="608"/>
      <c r="OOQ57" s="608"/>
      <c r="OOR57" s="608"/>
      <c r="OOS57" s="608"/>
      <c r="OOT57" s="608"/>
      <c r="OOU57" s="608"/>
      <c r="OOV57" s="608"/>
      <c r="OOW57" s="608"/>
      <c r="OOX57" s="608"/>
      <c r="OOY57" s="608"/>
      <c r="OOZ57" s="608"/>
      <c r="OPA57" s="608"/>
      <c r="OPB57" s="608"/>
      <c r="OPC57" s="608"/>
      <c r="OPD57" s="608"/>
      <c r="OPE57" s="608"/>
      <c r="OPF57" s="608"/>
      <c r="OPG57" s="608"/>
      <c r="OPH57" s="608"/>
      <c r="OPI57" s="608"/>
      <c r="OPJ57" s="608"/>
      <c r="OPK57" s="608"/>
      <c r="OPL57" s="608"/>
      <c r="OPM57" s="608"/>
      <c r="OPN57" s="608"/>
      <c r="OPO57" s="608"/>
      <c r="OPP57" s="608"/>
      <c r="OPQ57" s="608"/>
      <c r="OPR57" s="608"/>
      <c r="OPS57" s="608"/>
      <c r="OPT57" s="608"/>
      <c r="OPU57" s="608"/>
      <c r="OPV57" s="608"/>
      <c r="OPW57" s="608"/>
      <c r="OPX57" s="608"/>
      <c r="OPY57" s="608"/>
      <c r="OPZ57" s="608"/>
      <c r="OQA57" s="608"/>
      <c r="OQB57" s="608"/>
      <c r="OQC57" s="608"/>
      <c r="OQD57" s="608"/>
      <c r="OQE57" s="608"/>
      <c r="OQF57" s="608"/>
      <c r="OQG57" s="608"/>
      <c r="OQH57" s="608"/>
      <c r="OQI57" s="608"/>
      <c r="OQJ57" s="608"/>
      <c r="OQK57" s="608"/>
      <c r="OQL57" s="608"/>
      <c r="OQM57" s="608"/>
      <c r="OQN57" s="608"/>
      <c r="OQO57" s="608"/>
      <c r="OQP57" s="608"/>
      <c r="OQQ57" s="608"/>
      <c r="OQR57" s="608"/>
      <c r="OQS57" s="608"/>
      <c r="OQT57" s="608"/>
      <c r="OQU57" s="608"/>
      <c r="OQV57" s="608"/>
      <c r="OQW57" s="608"/>
      <c r="OQX57" s="608"/>
      <c r="OQY57" s="608"/>
      <c r="OQZ57" s="608"/>
      <c r="ORA57" s="608"/>
      <c r="ORB57" s="608"/>
      <c r="ORC57" s="608"/>
      <c r="ORD57" s="608"/>
      <c r="ORE57" s="608"/>
      <c r="ORF57" s="608"/>
      <c r="ORG57" s="608"/>
      <c r="ORH57" s="608"/>
      <c r="ORI57" s="608"/>
      <c r="ORJ57" s="608"/>
      <c r="ORK57" s="608"/>
      <c r="ORL57" s="608"/>
      <c r="ORM57" s="608"/>
      <c r="ORN57" s="608"/>
      <c r="ORO57" s="608"/>
      <c r="ORP57" s="608"/>
      <c r="ORQ57" s="608"/>
      <c r="ORR57" s="608"/>
      <c r="ORS57" s="608"/>
      <c r="ORT57" s="608"/>
      <c r="ORU57" s="608"/>
      <c r="ORV57" s="608"/>
      <c r="ORW57" s="608"/>
      <c r="ORX57" s="608"/>
      <c r="ORY57" s="608"/>
      <c r="ORZ57" s="608"/>
      <c r="OSA57" s="608"/>
      <c r="OSB57" s="608"/>
      <c r="OSC57" s="608"/>
      <c r="OSD57" s="608"/>
      <c r="OSE57" s="608"/>
      <c r="OSF57" s="608"/>
      <c r="OSG57" s="608"/>
      <c r="OSH57" s="608"/>
      <c r="OSI57" s="608"/>
      <c r="OSJ57" s="608"/>
      <c r="OSK57" s="608"/>
      <c r="OSL57" s="608"/>
      <c r="OSM57" s="608"/>
      <c r="OSN57" s="608"/>
      <c r="OSO57" s="608"/>
      <c r="OSP57" s="608"/>
      <c r="OSQ57" s="608"/>
      <c r="OSR57" s="608"/>
      <c r="OSS57" s="608"/>
      <c r="OST57" s="608"/>
      <c r="OSU57" s="608"/>
      <c r="OSV57" s="608"/>
      <c r="OSW57" s="608"/>
      <c r="OSX57" s="608"/>
      <c r="OSY57" s="608"/>
      <c r="OSZ57" s="608"/>
      <c r="OTA57" s="608"/>
      <c r="OTB57" s="608"/>
      <c r="OTC57" s="608"/>
      <c r="OTD57" s="608"/>
      <c r="OTE57" s="608"/>
      <c r="OTF57" s="608"/>
      <c r="OTG57" s="608"/>
      <c r="OTH57" s="608"/>
      <c r="OTI57" s="608"/>
      <c r="OTJ57" s="608"/>
      <c r="OTK57" s="608"/>
      <c r="OTL57" s="608"/>
      <c r="OTM57" s="608"/>
      <c r="OTN57" s="608"/>
      <c r="OTO57" s="608"/>
      <c r="OTP57" s="608"/>
      <c r="OTQ57" s="608"/>
      <c r="OTR57" s="608"/>
      <c r="OTS57" s="608"/>
      <c r="OTT57" s="608"/>
      <c r="OTU57" s="608"/>
      <c r="OTV57" s="608"/>
      <c r="OTW57" s="608"/>
      <c r="OTX57" s="608"/>
      <c r="OTY57" s="608"/>
      <c r="OTZ57" s="608"/>
      <c r="OUA57" s="608"/>
      <c r="OUB57" s="608"/>
      <c r="OUC57" s="608"/>
      <c r="OUD57" s="608"/>
      <c r="OUE57" s="608"/>
      <c r="OUF57" s="608"/>
      <c r="OUG57" s="608"/>
      <c r="OUH57" s="608"/>
      <c r="OUI57" s="608"/>
      <c r="OUJ57" s="608"/>
      <c r="OUK57" s="608"/>
      <c r="OUL57" s="608"/>
      <c r="OUM57" s="608"/>
      <c r="OUN57" s="608"/>
      <c r="OUO57" s="608"/>
      <c r="OUP57" s="608"/>
      <c r="OUQ57" s="608"/>
      <c r="OUR57" s="608"/>
      <c r="OUS57" s="608"/>
      <c r="OUT57" s="608"/>
      <c r="OUU57" s="608"/>
      <c r="OUV57" s="608"/>
      <c r="OUW57" s="608"/>
      <c r="OUX57" s="608"/>
      <c r="OUY57" s="608"/>
      <c r="OUZ57" s="608"/>
      <c r="OVA57" s="608"/>
      <c r="OVB57" s="608"/>
      <c r="OVC57" s="608"/>
      <c r="OVD57" s="608"/>
      <c r="OVE57" s="608"/>
      <c r="OVF57" s="608"/>
      <c r="OVG57" s="608"/>
      <c r="OVH57" s="608"/>
      <c r="OVI57" s="608"/>
      <c r="OVJ57" s="608"/>
      <c r="OVK57" s="608"/>
      <c r="OVL57" s="608"/>
      <c r="OVM57" s="608"/>
      <c r="OVN57" s="608"/>
      <c r="OVO57" s="608"/>
      <c r="OVP57" s="608"/>
      <c r="OVQ57" s="608"/>
      <c r="OVR57" s="608"/>
      <c r="OVS57" s="608"/>
      <c r="OVT57" s="608"/>
      <c r="OVU57" s="608"/>
      <c r="OVV57" s="608"/>
      <c r="OVW57" s="608"/>
      <c r="OVX57" s="608"/>
      <c r="OVY57" s="608"/>
      <c r="OVZ57" s="608"/>
      <c r="OWA57" s="608"/>
      <c r="OWB57" s="608"/>
      <c r="OWC57" s="608"/>
      <c r="OWD57" s="608"/>
      <c r="OWE57" s="608"/>
      <c r="OWF57" s="608"/>
      <c r="OWG57" s="608"/>
      <c r="OWH57" s="608"/>
      <c r="OWI57" s="608"/>
      <c r="OWJ57" s="608"/>
      <c r="OWK57" s="608"/>
      <c r="OWL57" s="608"/>
      <c r="OWM57" s="608"/>
      <c r="OWN57" s="608"/>
      <c r="OWO57" s="608"/>
      <c r="OWP57" s="608"/>
      <c r="OWQ57" s="608"/>
      <c r="OWR57" s="608"/>
      <c r="OWS57" s="608"/>
      <c r="OWT57" s="608"/>
      <c r="OWU57" s="608"/>
      <c r="OWV57" s="608"/>
      <c r="OWW57" s="608"/>
      <c r="OWX57" s="608"/>
      <c r="OWY57" s="608"/>
      <c r="OWZ57" s="608"/>
      <c r="OXA57" s="608"/>
      <c r="OXB57" s="608"/>
      <c r="OXC57" s="608"/>
      <c r="OXD57" s="608"/>
      <c r="OXE57" s="608"/>
      <c r="OXF57" s="608"/>
      <c r="OXG57" s="608"/>
      <c r="OXH57" s="608"/>
      <c r="OXI57" s="608"/>
      <c r="OXJ57" s="608"/>
      <c r="OXK57" s="608"/>
      <c r="OXL57" s="608"/>
      <c r="OXM57" s="608"/>
      <c r="OXN57" s="608"/>
      <c r="OXO57" s="608"/>
      <c r="OXP57" s="608"/>
      <c r="OXQ57" s="608"/>
      <c r="OXR57" s="608"/>
      <c r="OXS57" s="608"/>
      <c r="OXT57" s="608"/>
      <c r="OXU57" s="608"/>
      <c r="OXV57" s="608"/>
      <c r="OXW57" s="608"/>
      <c r="OXX57" s="608"/>
      <c r="OXY57" s="608"/>
      <c r="OXZ57" s="608"/>
      <c r="OYA57" s="608"/>
      <c r="OYB57" s="608"/>
      <c r="OYC57" s="608"/>
      <c r="OYD57" s="608"/>
      <c r="OYE57" s="608"/>
      <c r="OYF57" s="608"/>
      <c r="OYG57" s="608"/>
      <c r="OYH57" s="608"/>
      <c r="OYI57" s="608"/>
      <c r="OYJ57" s="608"/>
      <c r="OYK57" s="608"/>
      <c r="OYL57" s="608"/>
      <c r="OYM57" s="608"/>
      <c r="OYN57" s="608"/>
      <c r="OYO57" s="608"/>
      <c r="OYP57" s="608"/>
      <c r="OYQ57" s="608"/>
      <c r="OYR57" s="608"/>
      <c r="OYS57" s="608"/>
      <c r="OYT57" s="608"/>
      <c r="OYU57" s="608"/>
      <c r="OYV57" s="608"/>
      <c r="OYW57" s="608"/>
      <c r="OYX57" s="608"/>
      <c r="OYY57" s="608"/>
      <c r="OYZ57" s="608"/>
      <c r="OZA57" s="608"/>
      <c r="OZB57" s="608"/>
      <c r="OZC57" s="608"/>
      <c r="OZD57" s="608"/>
      <c r="OZE57" s="608"/>
      <c r="OZF57" s="608"/>
      <c r="OZG57" s="608"/>
      <c r="OZH57" s="608"/>
      <c r="OZI57" s="608"/>
      <c r="OZJ57" s="608"/>
      <c r="OZK57" s="608"/>
      <c r="OZL57" s="608"/>
      <c r="OZM57" s="608"/>
      <c r="OZN57" s="608"/>
      <c r="OZO57" s="608"/>
      <c r="OZP57" s="608"/>
      <c r="OZQ57" s="608"/>
      <c r="OZR57" s="608"/>
      <c r="OZS57" s="608"/>
      <c r="OZT57" s="608"/>
      <c r="OZU57" s="608"/>
      <c r="OZV57" s="608"/>
      <c r="OZW57" s="608"/>
      <c r="OZX57" s="608"/>
      <c r="OZY57" s="608"/>
      <c r="OZZ57" s="608"/>
      <c r="PAA57" s="608"/>
      <c r="PAB57" s="608"/>
      <c r="PAC57" s="608"/>
      <c r="PAD57" s="608"/>
      <c r="PAE57" s="608"/>
      <c r="PAF57" s="608"/>
      <c r="PAG57" s="608"/>
      <c r="PAH57" s="608"/>
      <c r="PAI57" s="608"/>
      <c r="PAJ57" s="608"/>
      <c r="PAK57" s="608"/>
      <c r="PAL57" s="608"/>
      <c r="PAM57" s="608"/>
      <c r="PAN57" s="608"/>
      <c r="PAO57" s="608"/>
      <c r="PAP57" s="608"/>
      <c r="PAQ57" s="608"/>
      <c r="PAR57" s="608"/>
      <c r="PAS57" s="608"/>
      <c r="PAT57" s="608"/>
      <c r="PAU57" s="608"/>
      <c r="PAV57" s="608"/>
      <c r="PAW57" s="608"/>
      <c r="PAX57" s="608"/>
      <c r="PAY57" s="608"/>
      <c r="PAZ57" s="608"/>
      <c r="PBA57" s="608"/>
      <c r="PBB57" s="608"/>
      <c r="PBC57" s="608"/>
      <c r="PBD57" s="608"/>
      <c r="PBE57" s="608"/>
      <c r="PBF57" s="608"/>
      <c r="PBG57" s="608"/>
      <c r="PBH57" s="608"/>
      <c r="PBI57" s="608"/>
      <c r="PBJ57" s="608"/>
      <c r="PBK57" s="608"/>
      <c r="PBL57" s="608"/>
      <c r="PBM57" s="608"/>
      <c r="PBN57" s="608"/>
      <c r="PBO57" s="608"/>
      <c r="PBP57" s="608"/>
      <c r="PBQ57" s="608"/>
      <c r="PBR57" s="608"/>
      <c r="PBS57" s="608"/>
      <c r="PBT57" s="608"/>
      <c r="PBU57" s="608"/>
      <c r="PBV57" s="608"/>
      <c r="PBW57" s="608"/>
      <c r="PBX57" s="608"/>
      <c r="PBY57" s="608"/>
      <c r="PBZ57" s="608"/>
      <c r="PCA57" s="608"/>
      <c r="PCB57" s="608"/>
      <c r="PCC57" s="608"/>
      <c r="PCD57" s="608"/>
      <c r="PCE57" s="608"/>
      <c r="PCF57" s="608"/>
      <c r="PCG57" s="608"/>
      <c r="PCH57" s="608"/>
      <c r="PCI57" s="608"/>
      <c r="PCJ57" s="608"/>
      <c r="PCK57" s="608"/>
      <c r="PCL57" s="608"/>
      <c r="PCM57" s="608"/>
      <c r="PCN57" s="608"/>
      <c r="PCO57" s="608"/>
      <c r="PCP57" s="608"/>
      <c r="PCQ57" s="608"/>
      <c r="PCR57" s="608"/>
      <c r="PCS57" s="608"/>
      <c r="PCT57" s="608"/>
      <c r="PCU57" s="608"/>
      <c r="PCV57" s="608"/>
      <c r="PCW57" s="608"/>
      <c r="PCX57" s="608"/>
      <c r="PCY57" s="608"/>
      <c r="PCZ57" s="608"/>
      <c r="PDA57" s="608"/>
      <c r="PDB57" s="608"/>
      <c r="PDC57" s="608"/>
      <c r="PDD57" s="608"/>
      <c r="PDE57" s="608"/>
      <c r="PDF57" s="608"/>
      <c r="PDG57" s="608"/>
      <c r="PDH57" s="608"/>
      <c r="PDI57" s="608"/>
      <c r="PDJ57" s="608"/>
      <c r="PDK57" s="608"/>
      <c r="PDL57" s="608"/>
      <c r="PDM57" s="608"/>
      <c r="PDN57" s="608"/>
      <c r="PDO57" s="608"/>
      <c r="PDP57" s="608"/>
      <c r="PDQ57" s="608"/>
      <c r="PDR57" s="608"/>
      <c r="PDS57" s="608"/>
      <c r="PDT57" s="608"/>
      <c r="PDU57" s="608"/>
      <c r="PDV57" s="608"/>
      <c r="PDW57" s="608"/>
      <c r="PDX57" s="608"/>
      <c r="PDY57" s="608"/>
      <c r="PDZ57" s="608"/>
      <c r="PEA57" s="608"/>
      <c r="PEB57" s="608"/>
      <c r="PEC57" s="608"/>
      <c r="PED57" s="608"/>
      <c r="PEE57" s="608"/>
      <c r="PEF57" s="608"/>
      <c r="PEG57" s="608"/>
      <c r="PEH57" s="608"/>
      <c r="PEI57" s="608"/>
      <c r="PEJ57" s="608"/>
      <c r="PEK57" s="608"/>
      <c r="PEL57" s="608"/>
      <c r="PEM57" s="608"/>
      <c r="PEN57" s="608"/>
      <c r="PEO57" s="608"/>
      <c r="PEP57" s="608"/>
      <c r="PEQ57" s="608"/>
      <c r="PER57" s="608"/>
      <c r="PES57" s="608"/>
      <c r="PET57" s="608"/>
      <c r="PEU57" s="608"/>
      <c r="PEV57" s="608"/>
      <c r="PEW57" s="608"/>
      <c r="PEX57" s="608"/>
      <c r="PEY57" s="608"/>
      <c r="PEZ57" s="608"/>
      <c r="PFA57" s="608"/>
      <c r="PFB57" s="608"/>
      <c r="PFC57" s="608"/>
      <c r="PFD57" s="608"/>
      <c r="PFE57" s="608"/>
      <c r="PFF57" s="608"/>
      <c r="PFG57" s="608"/>
      <c r="PFH57" s="608"/>
      <c r="PFI57" s="608"/>
      <c r="PFJ57" s="608"/>
      <c r="PFK57" s="608"/>
      <c r="PFL57" s="608"/>
      <c r="PFM57" s="608"/>
      <c r="PFN57" s="608"/>
      <c r="PFO57" s="608"/>
      <c r="PFP57" s="608"/>
      <c r="PFQ57" s="608"/>
      <c r="PFR57" s="608"/>
      <c r="PFS57" s="608"/>
      <c r="PFT57" s="608"/>
      <c r="PFU57" s="608"/>
      <c r="PFV57" s="608"/>
      <c r="PFW57" s="608"/>
      <c r="PFX57" s="608"/>
      <c r="PFY57" s="608"/>
      <c r="PFZ57" s="608"/>
      <c r="PGA57" s="608"/>
      <c r="PGB57" s="608"/>
      <c r="PGC57" s="608"/>
      <c r="PGD57" s="608"/>
      <c r="PGE57" s="608"/>
      <c r="PGF57" s="608"/>
      <c r="PGG57" s="608"/>
      <c r="PGH57" s="608"/>
      <c r="PGI57" s="608"/>
      <c r="PGJ57" s="608"/>
      <c r="PGK57" s="608"/>
      <c r="PGL57" s="608"/>
      <c r="PGM57" s="608"/>
      <c r="PGN57" s="608"/>
      <c r="PGO57" s="608"/>
      <c r="PGP57" s="608"/>
      <c r="PGQ57" s="608"/>
      <c r="PGR57" s="608"/>
      <c r="PGS57" s="608"/>
      <c r="PGT57" s="608"/>
      <c r="PGU57" s="608"/>
      <c r="PGV57" s="608"/>
      <c r="PGW57" s="608"/>
      <c r="PGX57" s="608"/>
      <c r="PGY57" s="608"/>
      <c r="PGZ57" s="608"/>
      <c r="PHA57" s="608"/>
      <c r="PHB57" s="608"/>
      <c r="PHC57" s="608"/>
      <c r="PHD57" s="608"/>
      <c r="PHE57" s="608"/>
      <c r="PHF57" s="608"/>
      <c r="PHG57" s="608"/>
      <c r="PHH57" s="608"/>
      <c r="PHI57" s="608"/>
      <c r="PHJ57" s="608"/>
      <c r="PHK57" s="608"/>
      <c r="PHL57" s="608"/>
      <c r="PHM57" s="608"/>
      <c r="PHN57" s="608"/>
      <c r="PHO57" s="608"/>
      <c r="PHP57" s="608"/>
      <c r="PHQ57" s="608"/>
      <c r="PHR57" s="608"/>
      <c r="PHS57" s="608"/>
      <c r="PHT57" s="608"/>
      <c r="PHU57" s="608"/>
      <c r="PHV57" s="608"/>
      <c r="PHW57" s="608"/>
      <c r="PHX57" s="608"/>
      <c r="PHY57" s="608"/>
      <c r="PHZ57" s="608"/>
      <c r="PIA57" s="608"/>
      <c r="PIB57" s="608"/>
      <c r="PIC57" s="608"/>
      <c r="PID57" s="608"/>
      <c r="PIE57" s="608"/>
      <c r="PIF57" s="608"/>
      <c r="PIG57" s="608"/>
      <c r="PIH57" s="608"/>
      <c r="PII57" s="608"/>
      <c r="PIJ57" s="608"/>
      <c r="PIK57" s="608"/>
      <c r="PIL57" s="608"/>
      <c r="PIM57" s="608"/>
      <c r="PIN57" s="608"/>
      <c r="PIO57" s="608"/>
      <c r="PIP57" s="608"/>
      <c r="PIQ57" s="608"/>
      <c r="PIR57" s="608"/>
      <c r="PIS57" s="608"/>
      <c r="PIT57" s="608"/>
      <c r="PIU57" s="608"/>
      <c r="PIV57" s="608"/>
      <c r="PIW57" s="608"/>
      <c r="PIX57" s="608"/>
      <c r="PIY57" s="608"/>
      <c r="PIZ57" s="608"/>
      <c r="PJA57" s="608"/>
      <c r="PJB57" s="608"/>
      <c r="PJC57" s="608"/>
      <c r="PJD57" s="608"/>
      <c r="PJE57" s="608"/>
      <c r="PJF57" s="608"/>
      <c r="PJG57" s="608"/>
      <c r="PJH57" s="608"/>
      <c r="PJI57" s="608"/>
      <c r="PJJ57" s="608"/>
      <c r="PJK57" s="608"/>
      <c r="PJL57" s="608"/>
      <c r="PJM57" s="608"/>
      <c r="PJN57" s="608"/>
      <c r="PJO57" s="608"/>
      <c r="PJP57" s="608"/>
      <c r="PJQ57" s="608"/>
      <c r="PJR57" s="608"/>
      <c r="PJS57" s="608"/>
      <c r="PJT57" s="608"/>
      <c r="PJU57" s="608"/>
      <c r="PJV57" s="608"/>
      <c r="PJW57" s="608"/>
      <c r="PJX57" s="608"/>
      <c r="PJY57" s="608"/>
      <c r="PJZ57" s="608"/>
      <c r="PKA57" s="608"/>
      <c r="PKB57" s="608"/>
      <c r="PKC57" s="608"/>
      <c r="PKD57" s="608"/>
      <c r="PKE57" s="608"/>
      <c r="PKF57" s="608"/>
      <c r="PKG57" s="608"/>
      <c r="PKH57" s="608"/>
      <c r="PKI57" s="608"/>
      <c r="PKJ57" s="608"/>
      <c r="PKK57" s="608"/>
      <c r="PKL57" s="608"/>
      <c r="PKM57" s="608"/>
      <c r="PKN57" s="608"/>
      <c r="PKO57" s="608"/>
      <c r="PKP57" s="608"/>
      <c r="PKQ57" s="608"/>
      <c r="PKR57" s="608"/>
      <c r="PKS57" s="608"/>
      <c r="PKT57" s="608"/>
      <c r="PKU57" s="608"/>
      <c r="PKV57" s="608"/>
      <c r="PKW57" s="608"/>
      <c r="PKX57" s="608"/>
      <c r="PKY57" s="608"/>
      <c r="PKZ57" s="608"/>
      <c r="PLA57" s="608"/>
      <c r="PLB57" s="608"/>
      <c r="PLC57" s="608"/>
      <c r="PLD57" s="608"/>
      <c r="PLE57" s="608"/>
      <c r="PLF57" s="608"/>
      <c r="PLG57" s="608"/>
      <c r="PLH57" s="608"/>
      <c r="PLI57" s="608"/>
      <c r="PLJ57" s="608"/>
      <c r="PLK57" s="608"/>
      <c r="PLL57" s="608"/>
      <c r="PLM57" s="608"/>
      <c r="PLN57" s="608"/>
      <c r="PLO57" s="608"/>
      <c r="PLP57" s="608"/>
      <c r="PLQ57" s="608"/>
      <c r="PLR57" s="608"/>
      <c r="PLS57" s="608"/>
      <c r="PLT57" s="608"/>
      <c r="PLU57" s="608"/>
      <c r="PLV57" s="608"/>
      <c r="PLW57" s="608"/>
      <c r="PLX57" s="608"/>
      <c r="PLY57" s="608"/>
      <c r="PLZ57" s="608"/>
      <c r="PMA57" s="608"/>
      <c r="PMB57" s="608"/>
      <c r="PMC57" s="608"/>
      <c r="PMD57" s="608"/>
      <c r="PME57" s="608"/>
      <c r="PMF57" s="608"/>
      <c r="PMG57" s="608"/>
      <c r="PMH57" s="608"/>
      <c r="PMI57" s="608"/>
      <c r="PMJ57" s="608"/>
      <c r="PMK57" s="608"/>
      <c r="PML57" s="608"/>
      <c r="PMM57" s="608"/>
      <c r="PMN57" s="608"/>
      <c r="PMO57" s="608"/>
      <c r="PMP57" s="608"/>
      <c r="PMQ57" s="608"/>
      <c r="PMR57" s="608"/>
      <c r="PMS57" s="608"/>
      <c r="PMT57" s="608"/>
      <c r="PMU57" s="608"/>
      <c r="PMV57" s="608"/>
      <c r="PMW57" s="608"/>
      <c r="PMX57" s="608"/>
      <c r="PMY57" s="608"/>
      <c r="PMZ57" s="608"/>
      <c r="PNA57" s="608"/>
      <c r="PNB57" s="608"/>
      <c r="PNC57" s="608"/>
      <c r="PND57" s="608"/>
      <c r="PNE57" s="608"/>
      <c r="PNF57" s="608"/>
      <c r="PNG57" s="608"/>
      <c r="PNH57" s="608"/>
      <c r="PNI57" s="608"/>
      <c r="PNJ57" s="608"/>
      <c r="PNK57" s="608"/>
      <c r="PNL57" s="608"/>
      <c r="PNM57" s="608"/>
      <c r="PNN57" s="608"/>
      <c r="PNO57" s="608"/>
      <c r="PNP57" s="608"/>
      <c r="PNQ57" s="608"/>
      <c r="PNR57" s="608"/>
      <c r="PNS57" s="608"/>
      <c r="PNT57" s="608"/>
      <c r="PNU57" s="608"/>
      <c r="PNV57" s="608"/>
      <c r="PNW57" s="608"/>
      <c r="PNX57" s="608"/>
      <c r="PNY57" s="608"/>
      <c r="PNZ57" s="608"/>
      <c r="POA57" s="608"/>
      <c r="POB57" s="608"/>
      <c r="POC57" s="608"/>
      <c r="POD57" s="608"/>
      <c r="POE57" s="608"/>
      <c r="POF57" s="608"/>
      <c r="POG57" s="608"/>
      <c r="POH57" s="608"/>
      <c r="POI57" s="608"/>
      <c r="POJ57" s="608"/>
      <c r="POK57" s="608"/>
      <c r="POL57" s="608"/>
      <c r="POM57" s="608"/>
      <c r="PON57" s="608"/>
      <c r="POO57" s="608"/>
      <c r="POP57" s="608"/>
      <c r="POQ57" s="608"/>
      <c r="POR57" s="608"/>
      <c r="POS57" s="608"/>
      <c r="POT57" s="608"/>
      <c r="POU57" s="608"/>
      <c r="POV57" s="608"/>
      <c r="POW57" s="608"/>
      <c r="POX57" s="608"/>
      <c r="POY57" s="608"/>
      <c r="POZ57" s="608"/>
      <c r="PPA57" s="608"/>
      <c r="PPB57" s="608"/>
      <c r="PPC57" s="608"/>
      <c r="PPD57" s="608"/>
      <c r="PPE57" s="608"/>
      <c r="PPF57" s="608"/>
      <c r="PPG57" s="608"/>
      <c r="PPH57" s="608"/>
      <c r="PPI57" s="608"/>
      <c r="PPJ57" s="608"/>
      <c r="PPK57" s="608"/>
      <c r="PPL57" s="608"/>
      <c r="PPM57" s="608"/>
      <c r="PPN57" s="608"/>
      <c r="PPO57" s="608"/>
      <c r="PPP57" s="608"/>
      <c r="PPQ57" s="608"/>
      <c r="PPR57" s="608"/>
      <c r="PPS57" s="608"/>
      <c r="PPT57" s="608"/>
      <c r="PPU57" s="608"/>
      <c r="PPV57" s="608"/>
      <c r="PPW57" s="608"/>
      <c r="PPX57" s="608"/>
      <c r="PPY57" s="608"/>
      <c r="PPZ57" s="608"/>
      <c r="PQA57" s="608"/>
      <c r="PQB57" s="608"/>
      <c r="PQC57" s="608"/>
      <c r="PQD57" s="608"/>
      <c r="PQE57" s="608"/>
      <c r="PQF57" s="608"/>
      <c r="PQG57" s="608"/>
      <c r="PQH57" s="608"/>
      <c r="PQI57" s="608"/>
      <c r="PQJ57" s="608"/>
      <c r="PQK57" s="608"/>
      <c r="PQL57" s="608"/>
      <c r="PQM57" s="608"/>
      <c r="PQN57" s="608"/>
      <c r="PQO57" s="608"/>
      <c r="PQP57" s="608"/>
      <c r="PQQ57" s="608"/>
      <c r="PQR57" s="608"/>
      <c r="PQS57" s="608"/>
      <c r="PQT57" s="608"/>
      <c r="PQU57" s="608"/>
      <c r="PQV57" s="608"/>
      <c r="PQW57" s="608"/>
      <c r="PQX57" s="608"/>
      <c r="PQY57" s="608"/>
      <c r="PQZ57" s="608"/>
      <c r="PRA57" s="608"/>
      <c r="PRB57" s="608"/>
      <c r="PRC57" s="608"/>
      <c r="PRD57" s="608"/>
      <c r="PRE57" s="608"/>
      <c r="PRF57" s="608"/>
      <c r="PRG57" s="608"/>
      <c r="PRH57" s="608"/>
      <c r="PRI57" s="608"/>
      <c r="PRJ57" s="608"/>
      <c r="PRK57" s="608"/>
      <c r="PRL57" s="608"/>
      <c r="PRM57" s="608"/>
      <c r="PRN57" s="608"/>
      <c r="PRO57" s="608"/>
      <c r="PRP57" s="608"/>
      <c r="PRQ57" s="608"/>
      <c r="PRR57" s="608"/>
      <c r="PRS57" s="608"/>
      <c r="PRT57" s="608"/>
      <c r="PRU57" s="608"/>
      <c r="PRV57" s="608"/>
      <c r="PRW57" s="608"/>
      <c r="PRX57" s="608"/>
      <c r="PRY57" s="608"/>
      <c r="PRZ57" s="608"/>
      <c r="PSA57" s="608"/>
      <c r="PSB57" s="608"/>
      <c r="PSC57" s="608"/>
      <c r="PSD57" s="608"/>
      <c r="PSE57" s="608"/>
      <c r="PSF57" s="608"/>
      <c r="PSG57" s="608"/>
      <c r="PSH57" s="608"/>
      <c r="PSI57" s="608"/>
      <c r="PSJ57" s="608"/>
      <c r="PSK57" s="608"/>
      <c r="PSL57" s="608"/>
      <c r="PSM57" s="608"/>
      <c r="PSN57" s="608"/>
      <c r="PSO57" s="608"/>
      <c r="PSP57" s="608"/>
      <c r="PSQ57" s="608"/>
      <c r="PSR57" s="608"/>
      <c r="PSS57" s="608"/>
      <c r="PST57" s="608"/>
      <c r="PSU57" s="608"/>
      <c r="PSV57" s="608"/>
      <c r="PSW57" s="608"/>
      <c r="PSX57" s="608"/>
      <c r="PSY57" s="608"/>
      <c r="PSZ57" s="608"/>
      <c r="PTA57" s="608"/>
      <c r="PTB57" s="608"/>
      <c r="PTC57" s="608"/>
      <c r="PTD57" s="608"/>
      <c r="PTE57" s="608"/>
      <c r="PTF57" s="608"/>
      <c r="PTG57" s="608"/>
      <c r="PTH57" s="608"/>
      <c r="PTI57" s="608"/>
      <c r="PTJ57" s="608"/>
      <c r="PTK57" s="608"/>
      <c r="PTL57" s="608"/>
      <c r="PTM57" s="608"/>
      <c r="PTN57" s="608"/>
      <c r="PTO57" s="608"/>
      <c r="PTP57" s="608"/>
      <c r="PTQ57" s="608"/>
      <c r="PTR57" s="608"/>
      <c r="PTS57" s="608"/>
      <c r="PTT57" s="608"/>
      <c r="PTU57" s="608"/>
      <c r="PTV57" s="608"/>
      <c r="PTW57" s="608"/>
      <c r="PTX57" s="608"/>
      <c r="PTY57" s="608"/>
      <c r="PTZ57" s="608"/>
      <c r="PUA57" s="608"/>
      <c r="PUB57" s="608"/>
      <c r="PUC57" s="608"/>
      <c r="PUD57" s="608"/>
      <c r="PUE57" s="608"/>
      <c r="PUF57" s="608"/>
      <c r="PUG57" s="608"/>
      <c r="PUH57" s="608"/>
      <c r="PUI57" s="608"/>
      <c r="PUJ57" s="608"/>
      <c r="PUK57" s="608"/>
      <c r="PUL57" s="608"/>
      <c r="PUM57" s="608"/>
      <c r="PUN57" s="608"/>
      <c r="PUO57" s="608"/>
      <c r="PUP57" s="608"/>
      <c r="PUQ57" s="608"/>
      <c r="PUR57" s="608"/>
      <c r="PUS57" s="608"/>
      <c r="PUT57" s="608"/>
      <c r="PUU57" s="608"/>
      <c r="PUV57" s="608"/>
      <c r="PUW57" s="608"/>
      <c r="PUX57" s="608"/>
      <c r="PUY57" s="608"/>
      <c r="PUZ57" s="608"/>
      <c r="PVA57" s="608"/>
      <c r="PVB57" s="608"/>
      <c r="PVC57" s="608"/>
      <c r="PVD57" s="608"/>
      <c r="PVE57" s="608"/>
      <c r="PVF57" s="608"/>
      <c r="PVG57" s="608"/>
      <c r="PVH57" s="608"/>
      <c r="PVI57" s="608"/>
      <c r="PVJ57" s="608"/>
      <c r="PVK57" s="608"/>
      <c r="PVL57" s="608"/>
      <c r="PVM57" s="608"/>
      <c r="PVN57" s="608"/>
      <c r="PVO57" s="608"/>
      <c r="PVP57" s="608"/>
      <c r="PVQ57" s="608"/>
      <c r="PVR57" s="608"/>
      <c r="PVS57" s="608"/>
      <c r="PVT57" s="608"/>
      <c r="PVU57" s="608"/>
      <c r="PVV57" s="608"/>
      <c r="PVW57" s="608"/>
      <c r="PVX57" s="608"/>
      <c r="PVY57" s="608"/>
      <c r="PVZ57" s="608"/>
      <c r="PWA57" s="608"/>
      <c r="PWB57" s="608"/>
      <c r="PWC57" s="608"/>
      <c r="PWD57" s="608"/>
      <c r="PWE57" s="608"/>
      <c r="PWF57" s="608"/>
      <c r="PWG57" s="608"/>
      <c r="PWH57" s="608"/>
      <c r="PWI57" s="608"/>
      <c r="PWJ57" s="608"/>
      <c r="PWK57" s="608"/>
      <c r="PWL57" s="608"/>
      <c r="PWM57" s="608"/>
      <c r="PWN57" s="608"/>
      <c r="PWO57" s="608"/>
      <c r="PWP57" s="608"/>
      <c r="PWQ57" s="608"/>
      <c r="PWR57" s="608"/>
      <c r="PWS57" s="608"/>
      <c r="PWT57" s="608"/>
      <c r="PWU57" s="608"/>
      <c r="PWV57" s="608"/>
      <c r="PWW57" s="608"/>
      <c r="PWX57" s="608"/>
      <c r="PWY57" s="608"/>
      <c r="PWZ57" s="608"/>
      <c r="PXA57" s="608"/>
      <c r="PXB57" s="608"/>
      <c r="PXC57" s="608"/>
      <c r="PXD57" s="608"/>
      <c r="PXE57" s="608"/>
      <c r="PXF57" s="608"/>
      <c r="PXG57" s="608"/>
      <c r="PXH57" s="608"/>
      <c r="PXI57" s="608"/>
      <c r="PXJ57" s="608"/>
      <c r="PXK57" s="608"/>
      <c r="PXL57" s="608"/>
      <c r="PXM57" s="608"/>
      <c r="PXN57" s="608"/>
      <c r="PXO57" s="608"/>
      <c r="PXP57" s="608"/>
      <c r="PXQ57" s="608"/>
      <c r="PXR57" s="608"/>
      <c r="PXS57" s="608"/>
      <c r="PXT57" s="608"/>
      <c r="PXU57" s="608"/>
      <c r="PXV57" s="608"/>
      <c r="PXW57" s="608"/>
      <c r="PXX57" s="608"/>
      <c r="PXY57" s="608"/>
      <c r="PXZ57" s="608"/>
      <c r="PYA57" s="608"/>
      <c r="PYB57" s="608"/>
      <c r="PYC57" s="608"/>
      <c r="PYD57" s="608"/>
      <c r="PYE57" s="608"/>
      <c r="PYF57" s="608"/>
      <c r="PYG57" s="608"/>
      <c r="PYH57" s="608"/>
      <c r="PYI57" s="608"/>
      <c r="PYJ57" s="608"/>
      <c r="PYK57" s="608"/>
      <c r="PYL57" s="608"/>
      <c r="PYM57" s="608"/>
      <c r="PYN57" s="608"/>
      <c r="PYO57" s="608"/>
      <c r="PYP57" s="608"/>
      <c r="PYQ57" s="608"/>
      <c r="PYR57" s="608"/>
      <c r="PYS57" s="608"/>
      <c r="PYT57" s="608"/>
      <c r="PYU57" s="608"/>
      <c r="PYV57" s="608"/>
      <c r="PYW57" s="608"/>
      <c r="PYX57" s="608"/>
      <c r="PYY57" s="608"/>
      <c r="PYZ57" s="608"/>
      <c r="PZA57" s="608"/>
      <c r="PZB57" s="608"/>
      <c r="PZC57" s="608"/>
      <c r="PZD57" s="608"/>
      <c r="PZE57" s="608"/>
      <c r="PZF57" s="608"/>
      <c r="PZG57" s="608"/>
      <c r="PZH57" s="608"/>
      <c r="PZI57" s="608"/>
      <c r="PZJ57" s="608"/>
      <c r="PZK57" s="608"/>
      <c r="PZL57" s="608"/>
      <c r="PZM57" s="608"/>
      <c r="PZN57" s="608"/>
      <c r="PZO57" s="608"/>
      <c r="PZP57" s="608"/>
      <c r="PZQ57" s="608"/>
      <c r="PZR57" s="608"/>
      <c r="PZS57" s="608"/>
      <c r="PZT57" s="608"/>
      <c r="PZU57" s="608"/>
      <c r="PZV57" s="608"/>
      <c r="PZW57" s="608"/>
      <c r="PZX57" s="608"/>
      <c r="PZY57" s="608"/>
      <c r="PZZ57" s="608"/>
      <c r="QAA57" s="608"/>
      <c r="QAB57" s="608"/>
      <c r="QAC57" s="608"/>
      <c r="QAD57" s="608"/>
      <c r="QAE57" s="608"/>
      <c r="QAF57" s="608"/>
      <c r="QAG57" s="608"/>
      <c r="QAH57" s="608"/>
      <c r="QAI57" s="608"/>
      <c r="QAJ57" s="608"/>
      <c r="QAK57" s="608"/>
      <c r="QAL57" s="608"/>
      <c r="QAM57" s="608"/>
      <c r="QAN57" s="608"/>
      <c r="QAO57" s="608"/>
      <c r="QAP57" s="608"/>
      <c r="QAQ57" s="608"/>
      <c r="QAR57" s="608"/>
      <c r="QAS57" s="608"/>
      <c r="QAT57" s="608"/>
      <c r="QAU57" s="608"/>
      <c r="QAV57" s="608"/>
      <c r="QAW57" s="608"/>
      <c r="QAX57" s="608"/>
      <c r="QAY57" s="608"/>
      <c r="QAZ57" s="608"/>
      <c r="QBA57" s="608"/>
      <c r="QBB57" s="608"/>
      <c r="QBC57" s="608"/>
      <c r="QBD57" s="608"/>
      <c r="QBE57" s="608"/>
      <c r="QBF57" s="608"/>
      <c r="QBG57" s="608"/>
      <c r="QBH57" s="608"/>
      <c r="QBI57" s="608"/>
      <c r="QBJ57" s="608"/>
      <c r="QBK57" s="608"/>
      <c r="QBL57" s="608"/>
      <c r="QBM57" s="608"/>
      <c r="QBN57" s="608"/>
      <c r="QBO57" s="608"/>
      <c r="QBP57" s="608"/>
      <c r="QBQ57" s="608"/>
      <c r="QBR57" s="608"/>
      <c r="QBS57" s="608"/>
      <c r="QBT57" s="608"/>
      <c r="QBU57" s="608"/>
      <c r="QBV57" s="608"/>
      <c r="QBW57" s="608"/>
      <c r="QBX57" s="608"/>
      <c r="QBY57" s="608"/>
      <c r="QBZ57" s="608"/>
      <c r="QCA57" s="608"/>
      <c r="QCB57" s="608"/>
      <c r="QCC57" s="608"/>
      <c r="QCD57" s="608"/>
      <c r="QCE57" s="608"/>
      <c r="QCF57" s="608"/>
      <c r="QCG57" s="608"/>
      <c r="QCH57" s="608"/>
      <c r="QCI57" s="608"/>
      <c r="QCJ57" s="608"/>
      <c r="QCK57" s="608"/>
      <c r="QCL57" s="608"/>
      <c r="QCM57" s="608"/>
      <c r="QCN57" s="608"/>
      <c r="QCO57" s="608"/>
      <c r="QCP57" s="608"/>
      <c r="QCQ57" s="608"/>
      <c r="QCR57" s="608"/>
      <c r="QCS57" s="608"/>
      <c r="QCT57" s="608"/>
      <c r="QCU57" s="608"/>
      <c r="QCV57" s="608"/>
      <c r="QCW57" s="608"/>
      <c r="QCX57" s="608"/>
      <c r="QCY57" s="608"/>
      <c r="QCZ57" s="608"/>
      <c r="QDA57" s="608"/>
      <c r="QDB57" s="608"/>
      <c r="QDC57" s="608"/>
      <c r="QDD57" s="608"/>
      <c r="QDE57" s="608"/>
      <c r="QDF57" s="608"/>
      <c r="QDG57" s="608"/>
      <c r="QDH57" s="608"/>
      <c r="QDI57" s="608"/>
      <c r="QDJ57" s="608"/>
      <c r="QDK57" s="608"/>
      <c r="QDL57" s="608"/>
      <c r="QDM57" s="608"/>
      <c r="QDN57" s="608"/>
      <c r="QDO57" s="608"/>
      <c r="QDP57" s="608"/>
      <c r="QDQ57" s="608"/>
      <c r="QDR57" s="608"/>
      <c r="QDS57" s="608"/>
      <c r="QDT57" s="608"/>
      <c r="QDU57" s="608"/>
      <c r="QDV57" s="608"/>
      <c r="QDW57" s="608"/>
      <c r="QDX57" s="608"/>
      <c r="QDY57" s="608"/>
      <c r="QDZ57" s="608"/>
      <c r="QEA57" s="608"/>
      <c r="QEB57" s="608"/>
      <c r="QEC57" s="608"/>
      <c r="QED57" s="608"/>
      <c r="QEE57" s="608"/>
      <c r="QEF57" s="608"/>
      <c r="QEG57" s="608"/>
      <c r="QEH57" s="608"/>
      <c r="QEI57" s="608"/>
      <c r="QEJ57" s="608"/>
      <c r="QEK57" s="608"/>
      <c r="QEL57" s="608"/>
      <c r="QEM57" s="608"/>
      <c r="QEN57" s="608"/>
      <c r="QEO57" s="608"/>
      <c r="QEP57" s="608"/>
      <c r="QEQ57" s="608"/>
      <c r="QER57" s="608"/>
      <c r="QES57" s="608"/>
      <c r="QET57" s="608"/>
      <c r="QEU57" s="608"/>
      <c r="QEV57" s="608"/>
      <c r="QEW57" s="608"/>
      <c r="QEX57" s="608"/>
      <c r="QEY57" s="608"/>
      <c r="QEZ57" s="608"/>
      <c r="QFA57" s="608"/>
      <c r="QFB57" s="608"/>
      <c r="QFC57" s="608"/>
      <c r="QFD57" s="608"/>
      <c r="QFE57" s="608"/>
      <c r="QFF57" s="608"/>
      <c r="QFG57" s="608"/>
      <c r="QFH57" s="608"/>
      <c r="QFI57" s="608"/>
      <c r="QFJ57" s="608"/>
      <c r="QFK57" s="608"/>
      <c r="QFL57" s="608"/>
      <c r="QFM57" s="608"/>
      <c r="QFN57" s="608"/>
      <c r="QFO57" s="608"/>
      <c r="QFP57" s="608"/>
      <c r="QFQ57" s="608"/>
      <c r="QFR57" s="608"/>
      <c r="QFS57" s="608"/>
      <c r="QFT57" s="608"/>
      <c r="QFU57" s="608"/>
      <c r="QFV57" s="608"/>
      <c r="QFW57" s="608"/>
      <c r="QFX57" s="608"/>
      <c r="QFY57" s="608"/>
      <c r="QFZ57" s="608"/>
      <c r="QGA57" s="608"/>
      <c r="QGB57" s="608"/>
      <c r="QGC57" s="608"/>
      <c r="QGD57" s="608"/>
      <c r="QGE57" s="608"/>
      <c r="QGF57" s="608"/>
      <c r="QGG57" s="608"/>
      <c r="QGH57" s="608"/>
      <c r="QGI57" s="608"/>
      <c r="QGJ57" s="608"/>
      <c r="QGK57" s="608"/>
      <c r="QGL57" s="608"/>
      <c r="QGM57" s="608"/>
      <c r="QGN57" s="608"/>
      <c r="QGO57" s="608"/>
      <c r="QGP57" s="608"/>
      <c r="QGQ57" s="608"/>
      <c r="QGR57" s="608"/>
      <c r="QGS57" s="608"/>
      <c r="QGT57" s="608"/>
      <c r="QGU57" s="608"/>
      <c r="QGV57" s="608"/>
      <c r="QGW57" s="608"/>
      <c r="QGX57" s="608"/>
      <c r="QGY57" s="608"/>
      <c r="QGZ57" s="608"/>
      <c r="QHA57" s="608"/>
      <c r="QHB57" s="608"/>
      <c r="QHC57" s="608"/>
      <c r="QHD57" s="608"/>
      <c r="QHE57" s="608"/>
      <c r="QHF57" s="608"/>
      <c r="QHG57" s="608"/>
      <c r="QHH57" s="608"/>
      <c r="QHI57" s="608"/>
      <c r="QHJ57" s="608"/>
      <c r="QHK57" s="608"/>
      <c r="QHL57" s="608"/>
      <c r="QHM57" s="608"/>
      <c r="QHN57" s="608"/>
      <c r="QHO57" s="608"/>
      <c r="QHP57" s="608"/>
      <c r="QHQ57" s="608"/>
      <c r="QHR57" s="608"/>
      <c r="QHS57" s="608"/>
      <c r="QHT57" s="608"/>
      <c r="QHU57" s="608"/>
      <c r="QHV57" s="608"/>
      <c r="QHW57" s="608"/>
      <c r="QHX57" s="608"/>
      <c r="QHY57" s="608"/>
      <c r="QHZ57" s="608"/>
      <c r="QIA57" s="608"/>
      <c r="QIB57" s="608"/>
      <c r="QIC57" s="608"/>
      <c r="QID57" s="608"/>
      <c r="QIE57" s="608"/>
      <c r="QIF57" s="608"/>
      <c r="QIG57" s="608"/>
      <c r="QIH57" s="608"/>
      <c r="QII57" s="608"/>
      <c r="QIJ57" s="608"/>
      <c r="QIK57" s="608"/>
      <c r="QIL57" s="608"/>
      <c r="QIM57" s="608"/>
      <c r="QIN57" s="608"/>
      <c r="QIO57" s="608"/>
      <c r="QIP57" s="608"/>
      <c r="QIQ57" s="608"/>
      <c r="QIR57" s="608"/>
      <c r="QIS57" s="608"/>
      <c r="QIT57" s="608"/>
      <c r="QIU57" s="608"/>
      <c r="QIV57" s="608"/>
      <c r="QIW57" s="608"/>
      <c r="QIX57" s="608"/>
      <c r="QIY57" s="608"/>
      <c r="QIZ57" s="608"/>
      <c r="QJA57" s="608"/>
      <c r="QJB57" s="608"/>
      <c r="QJC57" s="608"/>
      <c r="QJD57" s="608"/>
      <c r="QJE57" s="608"/>
      <c r="QJF57" s="608"/>
      <c r="QJG57" s="608"/>
      <c r="QJH57" s="608"/>
      <c r="QJI57" s="608"/>
      <c r="QJJ57" s="608"/>
      <c r="QJK57" s="608"/>
      <c r="QJL57" s="608"/>
      <c r="QJM57" s="608"/>
      <c r="QJN57" s="608"/>
      <c r="QJO57" s="608"/>
      <c r="QJP57" s="608"/>
      <c r="QJQ57" s="608"/>
      <c r="QJR57" s="608"/>
      <c r="QJS57" s="608"/>
      <c r="QJT57" s="608"/>
      <c r="QJU57" s="608"/>
      <c r="QJV57" s="608"/>
      <c r="QJW57" s="608"/>
      <c r="QJX57" s="608"/>
      <c r="QJY57" s="608"/>
      <c r="QJZ57" s="608"/>
      <c r="QKA57" s="608"/>
      <c r="QKB57" s="608"/>
      <c r="QKC57" s="608"/>
      <c r="QKD57" s="608"/>
      <c r="QKE57" s="608"/>
      <c r="QKF57" s="608"/>
      <c r="QKG57" s="608"/>
      <c r="QKH57" s="608"/>
      <c r="QKI57" s="608"/>
      <c r="QKJ57" s="608"/>
      <c r="QKK57" s="608"/>
      <c r="QKL57" s="608"/>
      <c r="QKM57" s="608"/>
      <c r="QKN57" s="608"/>
      <c r="QKO57" s="608"/>
      <c r="QKP57" s="608"/>
      <c r="QKQ57" s="608"/>
      <c r="QKR57" s="608"/>
      <c r="QKS57" s="608"/>
      <c r="QKT57" s="608"/>
      <c r="QKU57" s="608"/>
      <c r="QKV57" s="608"/>
      <c r="QKW57" s="608"/>
      <c r="QKX57" s="608"/>
      <c r="QKY57" s="608"/>
      <c r="QKZ57" s="608"/>
      <c r="QLA57" s="608"/>
      <c r="QLB57" s="608"/>
      <c r="QLC57" s="608"/>
      <c r="QLD57" s="608"/>
      <c r="QLE57" s="608"/>
      <c r="QLF57" s="608"/>
      <c r="QLG57" s="608"/>
      <c r="QLH57" s="608"/>
      <c r="QLI57" s="608"/>
      <c r="QLJ57" s="608"/>
      <c r="QLK57" s="608"/>
      <c r="QLL57" s="608"/>
      <c r="QLM57" s="608"/>
      <c r="QLN57" s="608"/>
      <c r="QLO57" s="608"/>
      <c r="QLP57" s="608"/>
      <c r="QLQ57" s="608"/>
      <c r="QLR57" s="608"/>
      <c r="QLS57" s="608"/>
      <c r="QLT57" s="608"/>
      <c r="QLU57" s="608"/>
      <c r="QLV57" s="608"/>
      <c r="QLW57" s="608"/>
      <c r="QLX57" s="608"/>
      <c r="QLY57" s="608"/>
      <c r="QLZ57" s="608"/>
      <c r="QMA57" s="608"/>
      <c r="QMB57" s="608"/>
      <c r="QMC57" s="608"/>
      <c r="QMD57" s="608"/>
      <c r="QME57" s="608"/>
      <c r="QMF57" s="608"/>
      <c r="QMG57" s="608"/>
      <c r="QMH57" s="608"/>
      <c r="QMI57" s="608"/>
      <c r="QMJ57" s="608"/>
      <c r="QMK57" s="608"/>
      <c r="QML57" s="608"/>
      <c r="QMM57" s="608"/>
      <c r="QMN57" s="608"/>
      <c r="QMO57" s="608"/>
      <c r="QMP57" s="608"/>
      <c r="QMQ57" s="608"/>
      <c r="QMR57" s="608"/>
      <c r="QMS57" s="608"/>
      <c r="QMT57" s="608"/>
      <c r="QMU57" s="608"/>
      <c r="QMV57" s="608"/>
      <c r="QMW57" s="608"/>
      <c r="QMX57" s="608"/>
      <c r="QMY57" s="608"/>
      <c r="QMZ57" s="608"/>
      <c r="QNA57" s="608"/>
      <c r="QNB57" s="608"/>
      <c r="QNC57" s="608"/>
      <c r="QND57" s="608"/>
      <c r="QNE57" s="608"/>
      <c r="QNF57" s="608"/>
      <c r="QNG57" s="608"/>
      <c r="QNH57" s="608"/>
      <c r="QNI57" s="608"/>
      <c r="QNJ57" s="608"/>
      <c r="QNK57" s="608"/>
      <c r="QNL57" s="608"/>
      <c r="QNM57" s="608"/>
      <c r="QNN57" s="608"/>
      <c r="QNO57" s="608"/>
      <c r="QNP57" s="608"/>
      <c r="QNQ57" s="608"/>
      <c r="QNR57" s="608"/>
      <c r="QNS57" s="608"/>
      <c r="QNT57" s="608"/>
      <c r="QNU57" s="608"/>
      <c r="QNV57" s="608"/>
      <c r="QNW57" s="608"/>
      <c r="QNX57" s="608"/>
      <c r="QNY57" s="608"/>
      <c r="QNZ57" s="608"/>
      <c r="QOA57" s="608"/>
      <c r="QOB57" s="608"/>
      <c r="QOC57" s="608"/>
      <c r="QOD57" s="608"/>
      <c r="QOE57" s="608"/>
      <c r="QOF57" s="608"/>
      <c r="QOG57" s="608"/>
      <c r="QOH57" s="608"/>
      <c r="QOI57" s="608"/>
      <c r="QOJ57" s="608"/>
      <c r="QOK57" s="608"/>
      <c r="QOL57" s="608"/>
      <c r="QOM57" s="608"/>
      <c r="QON57" s="608"/>
      <c r="QOO57" s="608"/>
      <c r="QOP57" s="608"/>
      <c r="QOQ57" s="608"/>
      <c r="QOR57" s="608"/>
      <c r="QOS57" s="608"/>
      <c r="QOT57" s="608"/>
      <c r="QOU57" s="608"/>
      <c r="QOV57" s="608"/>
      <c r="QOW57" s="608"/>
      <c r="QOX57" s="608"/>
      <c r="QOY57" s="608"/>
      <c r="QOZ57" s="608"/>
      <c r="QPA57" s="608"/>
      <c r="QPB57" s="608"/>
      <c r="QPC57" s="608"/>
      <c r="QPD57" s="608"/>
      <c r="QPE57" s="608"/>
      <c r="QPF57" s="608"/>
      <c r="QPG57" s="608"/>
      <c r="QPH57" s="608"/>
      <c r="QPI57" s="608"/>
      <c r="QPJ57" s="608"/>
      <c r="QPK57" s="608"/>
      <c r="QPL57" s="608"/>
      <c r="QPM57" s="608"/>
      <c r="QPN57" s="608"/>
      <c r="QPO57" s="608"/>
      <c r="QPP57" s="608"/>
      <c r="QPQ57" s="608"/>
      <c r="QPR57" s="608"/>
      <c r="QPS57" s="608"/>
      <c r="QPT57" s="608"/>
      <c r="QPU57" s="608"/>
      <c r="QPV57" s="608"/>
      <c r="QPW57" s="608"/>
      <c r="QPX57" s="608"/>
      <c r="QPY57" s="608"/>
      <c r="QPZ57" s="608"/>
      <c r="QQA57" s="608"/>
      <c r="QQB57" s="608"/>
      <c r="QQC57" s="608"/>
      <c r="QQD57" s="608"/>
      <c r="QQE57" s="608"/>
      <c r="QQF57" s="608"/>
      <c r="QQG57" s="608"/>
      <c r="QQH57" s="608"/>
      <c r="QQI57" s="608"/>
      <c r="QQJ57" s="608"/>
      <c r="QQK57" s="608"/>
      <c r="QQL57" s="608"/>
      <c r="QQM57" s="608"/>
      <c r="QQN57" s="608"/>
      <c r="QQO57" s="608"/>
      <c r="QQP57" s="608"/>
      <c r="QQQ57" s="608"/>
      <c r="QQR57" s="608"/>
      <c r="QQS57" s="608"/>
      <c r="QQT57" s="608"/>
      <c r="QQU57" s="608"/>
      <c r="QQV57" s="608"/>
      <c r="QQW57" s="608"/>
      <c r="QQX57" s="608"/>
      <c r="QQY57" s="608"/>
      <c r="QQZ57" s="608"/>
      <c r="QRA57" s="608"/>
      <c r="QRB57" s="608"/>
      <c r="QRC57" s="608"/>
      <c r="QRD57" s="608"/>
      <c r="QRE57" s="608"/>
      <c r="QRF57" s="608"/>
      <c r="QRG57" s="608"/>
      <c r="QRH57" s="608"/>
      <c r="QRI57" s="608"/>
      <c r="QRJ57" s="608"/>
      <c r="QRK57" s="608"/>
      <c r="QRL57" s="608"/>
      <c r="QRM57" s="608"/>
      <c r="QRN57" s="608"/>
      <c r="QRO57" s="608"/>
      <c r="QRP57" s="608"/>
      <c r="QRQ57" s="608"/>
      <c r="QRR57" s="608"/>
      <c r="QRS57" s="608"/>
      <c r="QRT57" s="608"/>
      <c r="QRU57" s="608"/>
      <c r="QRV57" s="608"/>
      <c r="QRW57" s="608"/>
      <c r="QRX57" s="608"/>
      <c r="QRY57" s="608"/>
      <c r="QRZ57" s="608"/>
      <c r="QSA57" s="608"/>
      <c r="QSB57" s="608"/>
      <c r="QSC57" s="608"/>
      <c r="QSD57" s="608"/>
      <c r="QSE57" s="608"/>
      <c r="QSF57" s="608"/>
      <c r="QSG57" s="608"/>
      <c r="QSH57" s="608"/>
      <c r="QSI57" s="608"/>
      <c r="QSJ57" s="608"/>
      <c r="QSK57" s="608"/>
      <c r="QSL57" s="608"/>
      <c r="QSM57" s="608"/>
      <c r="QSN57" s="608"/>
      <c r="QSO57" s="608"/>
      <c r="QSP57" s="608"/>
      <c r="QSQ57" s="608"/>
      <c r="QSR57" s="608"/>
      <c r="QSS57" s="608"/>
      <c r="QST57" s="608"/>
      <c r="QSU57" s="608"/>
      <c r="QSV57" s="608"/>
      <c r="QSW57" s="608"/>
      <c r="QSX57" s="608"/>
      <c r="QSY57" s="608"/>
      <c r="QSZ57" s="608"/>
      <c r="QTA57" s="608"/>
      <c r="QTB57" s="608"/>
      <c r="QTC57" s="608"/>
      <c r="QTD57" s="608"/>
      <c r="QTE57" s="608"/>
      <c r="QTF57" s="608"/>
      <c r="QTG57" s="608"/>
      <c r="QTH57" s="608"/>
      <c r="QTI57" s="608"/>
      <c r="QTJ57" s="608"/>
      <c r="QTK57" s="608"/>
      <c r="QTL57" s="608"/>
      <c r="QTM57" s="608"/>
      <c r="QTN57" s="608"/>
      <c r="QTO57" s="608"/>
      <c r="QTP57" s="608"/>
      <c r="QTQ57" s="608"/>
      <c r="QTR57" s="608"/>
      <c r="QTS57" s="608"/>
      <c r="QTT57" s="608"/>
      <c r="QTU57" s="608"/>
      <c r="QTV57" s="608"/>
      <c r="QTW57" s="608"/>
      <c r="QTX57" s="608"/>
      <c r="QTY57" s="608"/>
      <c r="QTZ57" s="608"/>
      <c r="QUA57" s="608"/>
      <c r="QUB57" s="608"/>
      <c r="QUC57" s="608"/>
      <c r="QUD57" s="608"/>
      <c r="QUE57" s="608"/>
      <c r="QUF57" s="608"/>
      <c r="QUG57" s="608"/>
      <c r="QUH57" s="608"/>
      <c r="QUI57" s="608"/>
      <c r="QUJ57" s="608"/>
      <c r="QUK57" s="608"/>
      <c r="QUL57" s="608"/>
      <c r="QUM57" s="608"/>
      <c r="QUN57" s="608"/>
      <c r="QUO57" s="608"/>
      <c r="QUP57" s="608"/>
      <c r="QUQ57" s="608"/>
      <c r="QUR57" s="608"/>
      <c r="QUS57" s="608"/>
      <c r="QUT57" s="608"/>
      <c r="QUU57" s="608"/>
      <c r="QUV57" s="608"/>
      <c r="QUW57" s="608"/>
      <c r="QUX57" s="608"/>
      <c r="QUY57" s="608"/>
      <c r="QUZ57" s="608"/>
      <c r="QVA57" s="608"/>
      <c r="QVB57" s="608"/>
      <c r="QVC57" s="608"/>
      <c r="QVD57" s="608"/>
      <c r="QVE57" s="608"/>
      <c r="QVF57" s="608"/>
      <c r="QVG57" s="608"/>
      <c r="QVH57" s="608"/>
      <c r="QVI57" s="608"/>
      <c r="QVJ57" s="608"/>
      <c r="QVK57" s="608"/>
      <c r="QVL57" s="608"/>
      <c r="QVM57" s="608"/>
      <c r="QVN57" s="608"/>
      <c r="QVO57" s="608"/>
      <c r="QVP57" s="608"/>
      <c r="QVQ57" s="608"/>
      <c r="QVR57" s="608"/>
      <c r="QVS57" s="608"/>
      <c r="QVT57" s="608"/>
      <c r="QVU57" s="608"/>
      <c r="QVV57" s="608"/>
      <c r="QVW57" s="608"/>
      <c r="QVX57" s="608"/>
      <c r="QVY57" s="608"/>
      <c r="QVZ57" s="608"/>
      <c r="QWA57" s="608"/>
      <c r="QWB57" s="608"/>
      <c r="QWC57" s="608"/>
      <c r="QWD57" s="608"/>
      <c r="QWE57" s="608"/>
      <c r="QWF57" s="608"/>
      <c r="QWG57" s="608"/>
      <c r="QWH57" s="608"/>
      <c r="QWI57" s="608"/>
      <c r="QWJ57" s="608"/>
      <c r="QWK57" s="608"/>
      <c r="QWL57" s="608"/>
      <c r="QWM57" s="608"/>
      <c r="QWN57" s="608"/>
      <c r="QWO57" s="608"/>
      <c r="QWP57" s="608"/>
      <c r="QWQ57" s="608"/>
      <c r="QWR57" s="608"/>
      <c r="QWS57" s="608"/>
      <c r="QWT57" s="608"/>
      <c r="QWU57" s="608"/>
      <c r="QWV57" s="608"/>
      <c r="QWW57" s="608"/>
      <c r="QWX57" s="608"/>
      <c r="QWY57" s="608"/>
      <c r="QWZ57" s="608"/>
      <c r="QXA57" s="608"/>
      <c r="QXB57" s="608"/>
      <c r="QXC57" s="608"/>
      <c r="QXD57" s="608"/>
      <c r="QXE57" s="608"/>
      <c r="QXF57" s="608"/>
      <c r="QXG57" s="608"/>
      <c r="QXH57" s="608"/>
      <c r="QXI57" s="608"/>
      <c r="QXJ57" s="608"/>
      <c r="QXK57" s="608"/>
      <c r="QXL57" s="608"/>
      <c r="QXM57" s="608"/>
      <c r="QXN57" s="608"/>
      <c r="QXO57" s="608"/>
      <c r="QXP57" s="608"/>
      <c r="QXQ57" s="608"/>
      <c r="QXR57" s="608"/>
      <c r="QXS57" s="608"/>
      <c r="QXT57" s="608"/>
      <c r="QXU57" s="608"/>
      <c r="QXV57" s="608"/>
      <c r="QXW57" s="608"/>
      <c r="QXX57" s="608"/>
      <c r="QXY57" s="608"/>
      <c r="QXZ57" s="608"/>
      <c r="QYA57" s="608"/>
      <c r="QYB57" s="608"/>
      <c r="QYC57" s="608"/>
      <c r="QYD57" s="608"/>
      <c r="QYE57" s="608"/>
      <c r="QYF57" s="608"/>
      <c r="QYG57" s="608"/>
      <c r="QYH57" s="608"/>
      <c r="QYI57" s="608"/>
      <c r="QYJ57" s="608"/>
      <c r="QYK57" s="608"/>
      <c r="QYL57" s="608"/>
      <c r="QYM57" s="608"/>
      <c r="QYN57" s="608"/>
      <c r="QYO57" s="608"/>
      <c r="QYP57" s="608"/>
      <c r="QYQ57" s="608"/>
      <c r="QYR57" s="608"/>
      <c r="QYS57" s="608"/>
      <c r="QYT57" s="608"/>
      <c r="QYU57" s="608"/>
      <c r="QYV57" s="608"/>
      <c r="QYW57" s="608"/>
      <c r="QYX57" s="608"/>
      <c r="QYY57" s="608"/>
      <c r="QYZ57" s="608"/>
      <c r="QZA57" s="608"/>
      <c r="QZB57" s="608"/>
      <c r="QZC57" s="608"/>
      <c r="QZD57" s="608"/>
      <c r="QZE57" s="608"/>
      <c r="QZF57" s="608"/>
      <c r="QZG57" s="608"/>
      <c r="QZH57" s="608"/>
      <c r="QZI57" s="608"/>
      <c r="QZJ57" s="608"/>
      <c r="QZK57" s="608"/>
      <c r="QZL57" s="608"/>
      <c r="QZM57" s="608"/>
      <c r="QZN57" s="608"/>
      <c r="QZO57" s="608"/>
      <c r="QZP57" s="608"/>
      <c r="QZQ57" s="608"/>
      <c r="QZR57" s="608"/>
      <c r="QZS57" s="608"/>
      <c r="QZT57" s="608"/>
      <c r="QZU57" s="608"/>
      <c r="QZV57" s="608"/>
      <c r="QZW57" s="608"/>
      <c r="QZX57" s="608"/>
      <c r="QZY57" s="608"/>
      <c r="QZZ57" s="608"/>
      <c r="RAA57" s="608"/>
      <c r="RAB57" s="608"/>
      <c r="RAC57" s="608"/>
      <c r="RAD57" s="608"/>
      <c r="RAE57" s="608"/>
      <c r="RAF57" s="608"/>
      <c r="RAG57" s="608"/>
      <c r="RAH57" s="608"/>
      <c r="RAI57" s="608"/>
      <c r="RAJ57" s="608"/>
      <c r="RAK57" s="608"/>
      <c r="RAL57" s="608"/>
      <c r="RAM57" s="608"/>
      <c r="RAN57" s="608"/>
      <c r="RAO57" s="608"/>
      <c r="RAP57" s="608"/>
      <c r="RAQ57" s="608"/>
      <c r="RAR57" s="608"/>
      <c r="RAS57" s="608"/>
      <c r="RAT57" s="608"/>
      <c r="RAU57" s="608"/>
      <c r="RAV57" s="608"/>
      <c r="RAW57" s="608"/>
      <c r="RAX57" s="608"/>
      <c r="RAY57" s="608"/>
      <c r="RAZ57" s="608"/>
      <c r="RBA57" s="608"/>
      <c r="RBB57" s="608"/>
      <c r="RBC57" s="608"/>
      <c r="RBD57" s="608"/>
      <c r="RBE57" s="608"/>
      <c r="RBF57" s="608"/>
      <c r="RBG57" s="608"/>
      <c r="RBH57" s="608"/>
      <c r="RBI57" s="608"/>
      <c r="RBJ57" s="608"/>
      <c r="RBK57" s="608"/>
      <c r="RBL57" s="608"/>
      <c r="RBM57" s="608"/>
      <c r="RBN57" s="608"/>
      <c r="RBO57" s="608"/>
      <c r="RBP57" s="608"/>
      <c r="RBQ57" s="608"/>
      <c r="RBR57" s="608"/>
      <c r="RBS57" s="608"/>
      <c r="RBT57" s="608"/>
      <c r="RBU57" s="608"/>
      <c r="RBV57" s="608"/>
      <c r="RBW57" s="608"/>
      <c r="RBX57" s="608"/>
      <c r="RBY57" s="608"/>
      <c r="RBZ57" s="608"/>
      <c r="RCA57" s="608"/>
      <c r="RCB57" s="608"/>
      <c r="RCC57" s="608"/>
      <c r="RCD57" s="608"/>
      <c r="RCE57" s="608"/>
      <c r="RCF57" s="608"/>
      <c r="RCG57" s="608"/>
      <c r="RCH57" s="608"/>
      <c r="RCI57" s="608"/>
      <c r="RCJ57" s="608"/>
      <c r="RCK57" s="608"/>
      <c r="RCL57" s="608"/>
      <c r="RCM57" s="608"/>
      <c r="RCN57" s="608"/>
      <c r="RCO57" s="608"/>
      <c r="RCP57" s="608"/>
      <c r="RCQ57" s="608"/>
      <c r="RCR57" s="608"/>
      <c r="RCS57" s="608"/>
      <c r="RCT57" s="608"/>
      <c r="RCU57" s="608"/>
      <c r="RCV57" s="608"/>
      <c r="RCW57" s="608"/>
      <c r="RCX57" s="608"/>
      <c r="RCY57" s="608"/>
      <c r="RCZ57" s="608"/>
      <c r="RDA57" s="608"/>
      <c r="RDB57" s="608"/>
      <c r="RDC57" s="608"/>
      <c r="RDD57" s="608"/>
      <c r="RDE57" s="608"/>
      <c r="RDF57" s="608"/>
      <c r="RDG57" s="608"/>
      <c r="RDH57" s="608"/>
      <c r="RDI57" s="608"/>
      <c r="RDJ57" s="608"/>
      <c r="RDK57" s="608"/>
      <c r="RDL57" s="608"/>
      <c r="RDM57" s="608"/>
      <c r="RDN57" s="608"/>
      <c r="RDO57" s="608"/>
      <c r="RDP57" s="608"/>
      <c r="RDQ57" s="608"/>
      <c r="RDR57" s="608"/>
      <c r="RDS57" s="608"/>
      <c r="RDT57" s="608"/>
      <c r="RDU57" s="608"/>
      <c r="RDV57" s="608"/>
      <c r="RDW57" s="608"/>
      <c r="RDX57" s="608"/>
      <c r="RDY57" s="608"/>
      <c r="RDZ57" s="608"/>
      <c r="REA57" s="608"/>
      <c r="REB57" s="608"/>
      <c r="REC57" s="608"/>
      <c r="RED57" s="608"/>
      <c r="REE57" s="608"/>
      <c r="REF57" s="608"/>
      <c r="REG57" s="608"/>
      <c r="REH57" s="608"/>
      <c r="REI57" s="608"/>
      <c r="REJ57" s="608"/>
      <c r="REK57" s="608"/>
      <c r="REL57" s="608"/>
      <c r="REM57" s="608"/>
      <c r="REN57" s="608"/>
      <c r="REO57" s="608"/>
      <c r="REP57" s="608"/>
      <c r="REQ57" s="608"/>
      <c r="RER57" s="608"/>
      <c r="RES57" s="608"/>
      <c r="RET57" s="608"/>
      <c r="REU57" s="608"/>
      <c r="REV57" s="608"/>
      <c r="REW57" s="608"/>
      <c r="REX57" s="608"/>
      <c r="REY57" s="608"/>
      <c r="REZ57" s="608"/>
      <c r="RFA57" s="608"/>
      <c r="RFB57" s="608"/>
      <c r="RFC57" s="608"/>
      <c r="RFD57" s="608"/>
      <c r="RFE57" s="608"/>
      <c r="RFF57" s="608"/>
      <c r="RFG57" s="608"/>
      <c r="RFH57" s="608"/>
      <c r="RFI57" s="608"/>
      <c r="RFJ57" s="608"/>
      <c r="RFK57" s="608"/>
      <c r="RFL57" s="608"/>
      <c r="RFM57" s="608"/>
      <c r="RFN57" s="608"/>
      <c r="RFO57" s="608"/>
      <c r="RFP57" s="608"/>
      <c r="RFQ57" s="608"/>
      <c r="RFR57" s="608"/>
      <c r="RFS57" s="608"/>
      <c r="RFT57" s="608"/>
      <c r="RFU57" s="608"/>
      <c r="RFV57" s="608"/>
      <c r="RFW57" s="608"/>
      <c r="RFX57" s="608"/>
      <c r="RFY57" s="608"/>
      <c r="RFZ57" s="608"/>
      <c r="RGA57" s="608"/>
      <c r="RGB57" s="608"/>
      <c r="RGC57" s="608"/>
      <c r="RGD57" s="608"/>
      <c r="RGE57" s="608"/>
      <c r="RGF57" s="608"/>
      <c r="RGG57" s="608"/>
      <c r="RGH57" s="608"/>
      <c r="RGI57" s="608"/>
      <c r="RGJ57" s="608"/>
      <c r="RGK57" s="608"/>
      <c r="RGL57" s="608"/>
      <c r="RGM57" s="608"/>
      <c r="RGN57" s="608"/>
      <c r="RGO57" s="608"/>
      <c r="RGP57" s="608"/>
      <c r="RGQ57" s="608"/>
      <c r="RGR57" s="608"/>
      <c r="RGS57" s="608"/>
      <c r="RGT57" s="608"/>
      <c r="RGU57" s="608"/>
      <c r="RGV57" s="608"/>
      <c r="RGW57" s="608"/>
      <c r="RGX57" s="608"/>
      <c r="RGY57" s="608"/>
      <c r="RGZ57" s="608"/>
      <c r="RHA57" s="608"/>
      <c r="RHB57" s="608"/>
      <c r="RHC57" s="608"/>
      <c r="RHD57" s="608"/>
      <c r="RHE57" s="608"/>
      <c r="RHF57" s="608"/>
      <c r="RHG57" s="608"/>
      <c r="RHH57" s="608"/>
      <c r="RHI57" s="608"/>
      <c r="RHJ57" s="608"/>
      <c r="RHK57" s="608"/>
      <c r="RHL57" s="608"/>
      <c r="RHM57" s="608"/>
      <c r="RHN57" s="608"/>
      <c r="RHO57" s="608"/>
      <c r="RHP57" s="608"/>
      <c r="RHQ57" s="608"/>
      <c r="RHR57" s="608"/>
      <c r="RHS57" s="608"/>
      <c r="RHT57" s="608"/>
      <c r="RHU57" s="608"/>
      <c r="RHV57" s="608"/>
      <c r="RHW57" s="608"/>
      <c r="RHX57" s="608"/>
      <c r="RHY57" s="608"/>
      <c r="RHZ57" s="608"/>
      <c r="RIA57" s="608"/>
      <c r="RIB57" s="608"/>
      <c r="RIC57" s="608"/>
      <c r="RID57" s="608"/>
      <c r="RIE57" s="608"/>
      <c r="RIF57" s="608"/>
      <c r="RIG57" s="608"/>
      <c r="RIH57" s="608"/>
      <c r="RII57" s="608"/>
      <c r="RIJ57" s="608"/>
      <c r="RIK57" s="608"/>
      <c r="RIL57" s="608"/>
      <c r="RIM57" s="608"/>
      <c r="RIN57" s="608"/>
      <c r="RIO57" s="608"/>
      <c r="RIP57" s="608"/>
      <c r="RIQ57" s="608"/>
      <c r="RIR57" s="608"/>
      <c r="RIS57" s="608"/>
      <c r="RIT57" s="608"/>
      <c r="RIU57" s="608"/>
      <c r="RIV57" s="608"/>
      <c r="RIW57" s="608"/>
      <c r="RIX57" s="608"/>
      <c r="RIY57" s="608"/>
      <c r="RIZ57" s="608"/>
      <c r="RJA57" s="608"/>
      <c r="RJB57" s="608"/>
      <c r="RJC57" s="608"/>
      <c r="RJD57" s="608"/>
      <c r="RJE57" s="608"/>
      <c r="RJF57" s="608"/>
      <c r="RJG57" s="608"/>
      <c r="RJH57" s="608"/>
      <c r="RJI57" s="608"/>
      <c r="RJJ57" s="608"/>
      <c r="RJK57" s="608"/>
      <c r="RJL57" s="608"/>
      <c r="RJM57" s="608"/>
      <c r="RJN57" s="608"/>
      <c r="RJO57" s="608"/>
      <c r="RJP57" s="608"/>
      <c r="RJQ57" s="608"/>
      <c r="RJR57" s="608"/>
      <c r="RJS57" s="608"/>
      <c r="RJT57" s="608"/>
      <c r="RJU57" s="608"/>
      <c r="RJV57" s="608"/>
      <c r="RJW57" s="608"/>
      <c r="RJX57" s="608"/>
      <c r="RJY57" s="608"/>
      <c r="RJZ57" s="608"/>
      <c r="RKA57" s="608"/>
      <c r="RKB57" s="608"/>
      <c r="RKC57" s="608"/>
      <c r="RKD57" s="608"/>
      <c r="RKE57" s="608"/>
      <c r="RKF57" s="608"/>
      <c r="RKG57" s="608"/>
      <c r="RKH57" s="608"/>
      <c r="RKI57" s="608"/>
      <c r="RKJ57" s="608"/>
      <c r="RKK57" s="608"/>
      <c r="RKL57" s="608"/>
      <c r="RKM57" s="608"/>
      <c r="RKN57" s="608"/>
      <c r="RKO57" s="608"/>
      <c r="RKP57" s="608"/>
      <c r="RKQ57" s="608"/>
      <c r="RKR57" s="608"/>
      <c r="RKS57" s="608"/>
      <c r="RKT57" s="608"/>
      <c r="RKU57" s="608"/>
      <c r="RKV57" s="608"/>
      <c r="RKW57" s="608"/>
      <c r="RKX57" s="608"/>
      <c r="RKY57" s="608"/>
      <c r="RKZ57" s="608"/>
      <c r="RLA57" s="608"/>
      <c r="RLB57" s="608"/>
      <c r="RLC57" s="608"/>
      <c r="RLD57" s="608"/>
      <c r="RLE57" s="608"/>
      <c r="RLF57" s="608"/>
      <c r="RLG57" s="608"/>
      <c r="RLH57" s="608"/>
      <c r="RLI57" s="608"/>
      <c r="RLJ57" s="608"/>
      <c r="RLK57" s="608"/>
      <c r="RLL57" s="608"/>
      <c r="RLM57" s="608"/>
      <c r="RLN57" s="608"/>
      <c r="RLO57" s="608"/>
      <c r="RLP57" s="608"/>
      <c r="RLQ57" s="608"/>
      <c r="RLR57" s="608"/>
      <c r="RLS57" s="608"/>
      <c r="RLT57" s="608"/>
      <c r="RLU57" s="608"/>
      <c r="RLV57" s="608"/>
      <c r="RLW57" s="608"/>
      <c r="RLX57" s="608"/>
      <c r="RLY57" s="608"/>
      <c r="RLZ57" s="608"/>
      <c r="RMA57" s="608"/>
      <c r="RMB57" s="608"/>
      <c r="RMC57" s="608"/>
      <c r="RMD57" s="608"/>
      <c r="RME57" s="608"/>
      <c r="RMF57" s="608"/>
      <c r="RMG57" s="608"/>
      <c r="RMH57" s="608"/>
      <c r="RMI57" s="608"/>
      <c r="RMJ57" s="608"/>
      <c r="RMK57" s="608"/>
      <c r="RML57" s="608"/>
      <c r="RMM57" s="608"/>
      <c r="RMN57" s="608"/>
      <c r="RMO57" s="608"/>
      <c r="RMP57" s="608"/>
      <c r="RMQ57" s="608"/>
      <c r="RMR57" s="608"/>
      <c r="RMS57" s="608"/>
      <c r="RMT57" s="608"/>
      <c r="RMU57" s="608"/>
      <c r="RMV57" s="608"/>
      <c r="RMW57" s="608"/>
      <c r="RMX57" s="608"/>
      <c r="RMY57" s="608"/>
      <c r="RMZ57" s="608"/>
      <c r="RNA57" s="608"/>
      <c r="RNB57" s="608"/>
      <c r="RNC57" s="608"/>
      <c r="RND57" s="608"/>
      <c r="RNE57" s="608"/>
      <c r="RNF57" s="608"/>
      <c r="RNG57" s="608"/>
      <c r="RNH57" s="608"/>
      <c r="RNI57" s="608"/>
      <c r="RNJ57" s="608"/>
      <c r="RNK57" s="608"/>
      <c r="RNL57" s="608"/>
      <c r="RNM57" s="608"/>
      <c r="RNN57" s="608"/>
      <c r="RNO57" s="608"/>
      <c r="RNP57" s="608"/>
      <c r="RNQ57" s="608"/>
      <c r="RNR57" s="608"/>
      <c r="RNS57" s="608"/>
      <c r="RNT57" s="608"/>
      <c r="RNU57" s="608"/>
      <c r="RNV57" s="608"/>
      <c r="RNW57" s="608"/>
      <c r="RNX57" s="608"/>
      <c r="RNY57" s="608"/>
      <c r="RNZ57" s="608"/>
      <c r="ROA57" s="608"/>
      <c r="ROB57" s="608"/>
      <c r="ROC57" s="608"/>
      <c r="ROD57" s="608"/>
      <c r="ROE57" s="608"/>
      <c r="ROF57" s="608"/>
      <c r="ROG57" s="608"/>
      <c r="ROH57" s="608"/>
      <c r="ROI57" s="608"/>
      <c r="ROJ57" s="608"/>
      <c r="ROK57" s="608"/>
      <c r="ROL57" s="608"/>
      <c r="ROM57" s="608"/>
      <c r="RON57" s="608"/>
      <c r="ROO57" s="608"/>
      <c r="ROP57" s="608"/>
      <c r="ROQ57" s="608"/>
      <c r="ROR57" s="608"/>
      <c r="ROS57" s="608"/>
      <c r="ROT57" s="608"/>
      <c r="ROU57" s="608"/>
      <c r="ROV57" s="608"/>
      <c r="ROW57" s="608"/>
      <c r="ROX57" s="608"/>
      <c r="ROY57" s="608"/>
      <c r="ROZ57" s="608"/>
      <c r="RPA57" s="608"/>
      <c r="RPB57" s="608"/>
      <c r="RPC57" s="608"/>
      <c r="RPD57" s="608"/>
      <c r="RPE57" s="608"/>
      <c r="RPF57" s="608"/>
      <c r="RPG57" s="608"/>
      <c r="RPH57" s="608"/>
      <c r="RPI57" s="608"/>
      <c r="RPJ57" s="608"/>
      <c r="RPK57" s="608"/>
      <c r="RPL57" s="608"/>
      <c r="RPM57" s="608"/>
      <c r="RPN57" s="608"/>
      <c r="RPO57" s="608"/>
      <c r="RPP57" s="608"/>
      <c r="RPQ57" s="608"/>
      <c r="RPR57" s="608"/>
      <c r="RPS57" s="608"/>
      <c r="RPT57" s="608"/>
      <c r="RPU57" s="608"/>
      <c r="RPV57" s="608"/>
      <c r="RPW57" s="608"/>
      <c r="RPX57" s="608"/>
      <c r="RPY57" s="608"/>
      <c r="RPZ57" s="608"/>
      <c r="RQA57" s="608"/>
      <c r="RQB57" s="608"/>
      <c r="RQC57" s="608"/>
      <c r="RQD57" s="608"/>
      <c r="RQE57" s="608"/>
      <c r="RQF57" s="608"/>
      <c r="RQG57" s="608"/>
      <c r="RQH57" s="608"/>
      <c r="RQI57" s="608"/>
      <c r="RQJ57" s="608"/>
      <c r="RQK57" s="608"/>
      <c r="RQL57" s="608"/>
      <c r="RQM57" s="608"/>
      <c r="RQN57" s="608"/>
      <c r="RQO57" s="608"/>
      <c r="RQP57" s="608"/>
      <c r="RQQ57" s="608"/>
      <c r="RQR57" s="608"/>
      <c r="RQS57" s="608"/>
      <c r="RQT57" s="608"/>
      <c r="RQU57" s="608"/>
      <c r="RQV57" s="608"/>
      <c r="RQW57" s="608"/>
      <c r="RQX57" s="608"/>
      <c r="RQY57" s="608"/>
      <c r="RQZ57" s="608"/>
      <c r="RRA57" s="608"/>
      <c r="RRB57" s="608"/>
      <c r="RRC57" s="608"/>
      <c r="RRD57" s="608"/>
      <c r="RRE57" s="608"/>
      <c r="RRF57" s="608"/>
      <c r="RRG57" s="608"/>
      <c r="RRH57" s="608"/>
      <c r="RRI57" s="608"/>
      <c r="RRJ57" s="608"/>
      <c r="RRK57" s="608"/>
      <c r="RRL57" s="608"/>
      <c r="RRM57" s="608"/>
      <c r="RRN57" s="608"/>
      <c r="RRO57" s="608"/>
      <c r="RRP57" s="608"/>
      <c r="RRQ57" s="608"/>
      <c r="RRR57" s="608"/>
      <c r="RRS57" s="608"/>
      <c r="RRT57" s="608"/>
      <c r="RRU57" s="608"/>
      <c r="RRV57" s="608"/>
      <c r="RRW57" s="608"/>
      <c r="RRX57" s="608"/>
      <c r="RRY57" s="608"/>
      <c r="RRZ57" s="608"/>
      <c r="RSA57" s="608"/>
      <c r="RSB57" s="608"/>
      <c r="RSC57" s="608"/>
      <c r="RSD57" s="608"/>
      <c r="RSE57" s="608"/>
      <c r="RSF57" s="608"/>
      <c r="RSG57" s="608"/>
      <c r="RSH57" s="608"/>
      <c r="RSI57" s="608"/>
      <c r="RSJ57" s="608"/>
      <c r="RSK57" s="608"/>
      <c r="RSL57" s="608"/>
      <c r="RSM57" s="608"/>
      <c r="RSN57" s="608"/>
      <c r="RSO57" s="608"/>
      <c r="RSP57" s="608"/>
      <c r="RSQ57" s="608"/>
      <c r="RSR57" s="608"/>
      <c r="RSS57" s="608"/>
      <c r="RST57" s="608"/>
      <c r="RSU57" s="608"/>
      <c r="RSV57" s="608"/>
      <c r="RSW57" s="608"/>
      <c r="RSX57" s="608"/>
      <c r="RSY57" s="608"/>
      <c r="RSZ57" s="608"/>
      <c r="RTA57" s="608"/>
      <c r="RTB57" s="608"/>
      <c r="RTC57" s="608"/>
      <c r="RTD57" s="608"/>
      <c r="RTE57" s="608"/>
      <c r="RTF57" s="608"/>
      <c r="RTG57" s="608"/>
      <c r="RTH57" s="608"/>
      <c r="RTI57" s="608"/>
      <c r="RTJ57" s="608"/>
      <c r="RTK57" s="608"/>
      <c r="RTL57" s="608"/>
      <c r="RTM57" s="608"/>
      <c r="RTN57" s="608"/>
      <c r="RTO57" s="608"/>
      <c r="RTP57" s="608"/>
      <c r="RTQ57" s="608"/>
      <c r="RTR57" s="608"/>
      <c r="RTS57" s="608"/>
      <c r="RTT57" s="608"/>
      <c r="RTU57" s="608"/>
      <c r="RTV57" s="608"/>
      <c r="RTW57" s="608"/>
      <c r="RTX57" s="608"/>
      <c r="RTY57" s="608"/>
      <c r="RTZ57" s="608"/>
      <c r="RUA57" s="608"/>
      <c r="RUB57" s="608"/>
      <c r="RUC57" s="608"/>
      <c r="RUD57" s="608"/>
      <c r="RUE57" s="608"/>
      <c r="RUF57" s="608"/>
      <c r="RUG57" s="608"/>
      <c r="RUH57" s="608"/>
      <c r="RUI57" s="608"/>
      <c r="RUJ57" s="608"/>
      <c r="RUK57" s="608"/>
      <c r="RUL57" s="608"/>
      <c r="RUM57" s="608"/>
      <c r="RUN57" s="608"/>
      <c r="RUO57" s="608"/>
      <c r="RUP57" s="608"/>
      <c r="RUQ57" s="608"/>
      <c r="RUR57" s="608"/>
      <c r="RUS57" s="608"/>
      <c r="RUT57" s="608"/>
      <c r="RUU57" s="608"/>
      <c r="RUV57" s="608"/>
      <c r="RUW57" s="608"/>
      <c r="RUX57" s="608"/>
      <c r="RUY57" s="608"/>
      <c r="RUZ57" s="608"/>
      <c r="RVA57" s="608"/>
      <c r="RVB57" s="608"/>
      <c r="RVC57" s="608"/>
      <c r="RVD57" s="608"/>
      <c r="RVE57" s="608"/>
      <c r="RVF57" s="608"/>
      <c r="RVG57" s="608"/>
      <c r="RVH57" s="608"/>
      <c r="RVI57" s="608"/>
      <c r="RVJ57" s="608"/>
      <c r="RVK57" s="608"/>
      <c r="RVL57" s="608"/>
      <c r="RVM57" s="608"/>
      <c r="RVN57" s="608"/>
      <c r="RVO57" s="608"/>
      <c r="RVP57" s="608"/>
      <c r="RVQ57" s="608"/>
      <c r="RVR57" s="608"/>
      <c r="RVS57" s="608"/>
      <c r="RVT57" s="608"/>
      <c r="RVU57" s="608"/>
      <c r="RVV57" s="608"/>
      <c r="RVW57" s="608"/>
      <c r="RVX57" s="608"/>
      <c r="RVY57" s="608"/>
      <c r="RVZ57" s="608"/>
      <c r="RWA57" s="608"/>
      <c r="RWB57" s="608"/>
      <c r="RWC57" s="608"/>
      <c r="RWD57" s="608"/>
      <c r="RWE57" s="608"/>
      <c r="RWF57" s="608"/>
      <c r="RWG57" s="608"/>
      <c r="RWH57" s="608"/>
      <c r="RWI57" s="608"/>
      <c r="RWJ57" s="608"/>
      <c r="RWK57" s="608"/>
      <c r="RWL57" s="608"/>
      <c r="RWM57" s="608"/>
      <c r="RWN57" s="608"/>
      <c r="RWO57" s="608"/>
      <c r="RWP57" s="608"/>
      <c r="RWQ57" s="608"/>
      <c r="RWR57" s="608"/>
      <c r="RWS57" s="608"/>
      <c r="RWT57" s="608"/>
      <c r="RWU57" s="608"/>
      <c r="RWV57" s="608"/>
      <c r="RWW57" s="608"/>
      <c r="RWX57" s="608"/>
      <c r="RWY57" s="608"/>
      <c r="RWZ57" s="608"/>
      <c r="RXA57" s="608"/>
      <c r="RXB57" s="608"/>
      <c r="RXC57" s="608"/>
      <c r="RXD57" s="608"/>
      <c r="RXE57" s="608"/>
      <c r="RXF57" s="608"/>
      <c r="RXG57" s="608"/>
      <c r="RXH57" s="608"/>
      <c r="RXI57" s="608"/>
      <c r="RXJ57" s="608"/>
      <c r="RXK57" s="608"/>
      <c r="RXL57" s="608"/>
      <c r="RXM57" s="608"/>
      <c r="RXN57" s="608"/>
      <c r="RXO57" s="608"/>
      <c r="RXP57" s="608"/>
      <c r="RXQ57" s="608"/>
      <c r="RXR57" s="608"/>
      <c r="RXS57" s="608"/>
      <c r="RXT57" s="608"/>
      <c r="RXU57" s="608"/>
      <c r="RXV57" s="608"/>
      <c r="RXW57" s="608"/>
      <c r="RXX57" s="608"/>
      <c r="RXY57" s="608"/>
      <c r="RXZ57" s="608"/>
      <c r="RYA57" s="608"/>
      <c r="RYB57" s="608"/>
      <c r="RYC57" s="608"/>
      <c r="RYD57" s="608"/>
      <c r="RYE57" s="608"/>
      <c r="RYF57" s="608"/>
      <c r="RYG57" s="608"/>
      <c r="RYH57" s="608"/>
      <c r="RYI57" s="608"/>
      <c r="RYJ57" s="608"/>
      <c r="RYK57" s="608"/>
      <c r="RYL57" s="608"/>
      <c r="RYM57" s="608"/>
      <c r="RYN57" s="608"/>
      <c r="RYO57" s="608"/>
      <c r="RYP57" s="608"/>
      <c r="RYQ57" s="608"/>
      <c r="RYR57" s="608"/>
      <c r="RYS57" s="608"/>
      <c r="RYT57" s="608"/>
      <c r="RYU57" s="608"/>
      <c r="RYV57" s="608"/>
      <c r="RYW57" s="608"/>
      <c r="RYX57" s="608"/>
      <c r="RYY57" s="608"/>
      <c r="RYZ57" s="608"/>
      <c r="RZA57" s="608"/>
      <c r="RZB57" s="608"/>
      <c r="RZC57" s="608"/>
      <c r="RZD57" s="608"/>
      <c r="RZE57" s="608"/>
      <c r="RZF57" s="608"/>
      <c r="RZG57" s="608"/>
      <c r="RZH57" s="608"/>
      <c r="RZI57" s="608"/>
      <c r="RZJ57" s="608"/>
      <c r="RZK57" s="608"/>
      <c r="RZL57" s="608"/>
      <c r="RZM57" s="608"/>
      <c r="RZN57" s="608"/>
      <c r="RZO57" s="608"/>
      <c r="RZP57" s="608"/>
      <c r="RZQ57" s="608"/>
      <c r="RZR57" s="608"/>
      <c r="RZS57" s="608"/>
      <c r="RZT57" s="608"/>
      <c r="RZU57" s="608"/>
      <c r="RZV57" s="608"/>
      <c r="RZW57" s="608"/>
      <c r="RZX57" s="608"/>
      <c r="RZY57" s="608"/>
      <c r="RZZ57" s="608"/>
      <c r="SAA57" s="608"/>
      <c r="SAB57" s="608"/>
      <c r="SAC57" s="608"/>
      <c r="SAD57" s="608"/>
      <c r="SAE57" s="608"/>
      <c r="SAF57" s="608"/>
      <c r="SAG57" s="608"/>
      <c r="SAH57" s="608"/>
      <c r="SAI57" s="608"/>
      <c r="SAJ57" s="608"/>
      <c r="SAK57" s="608"/>
      <c r="SAL57" s="608"/>
      <c r="SAM57" s="608"/>
      <c r="SAN57" s="608"/>
      <c r="SAO57" s="608"/>
      <c r="SAP57" s="608"/>
      <c r="SAQ57" s="608"/>
      <c r="SAR57" s="608"/>
      <c r="SAS57" s="608"/>
      <c r="SAT57" s="608"/>
      <c r="SAU57" s="608"/>
      <c r="SAV57" s="608"/>
      <c r="SAW57" s="608"/>
      <c r="SAX57" s="608"/>
      <c r="SAY57" s="608"/>
      <c r="SAZ57" s="608"/>
      <c r="SBA57" s="608"/>
      <c r="SBB57" s="608"/>
      <c r="SBC57" s="608"/>
      <c r="SBD57" s="608"/>
      <c r="SBE57" s="608"/>
      <c r="SBF57" s="608"/>
      <c r="SBG57" s="608"/>
      <c r="SBH57" s="608"/>
      <c r="SBI57" s="608"/>
      <c r="SBJ57" s="608"/>
      <c r="SBK57" s="608"/>
      <c r="SBL57" s="608"/>
      <c r="SBM57" s="608"/>
      <c r="SBN57" s="608"/>
      <c r="SBO57" s="608"/>
      <c r="SBP57" s="608"/>
      <c r="SBQ57" s="608"/>
      <c r="SBR57" s="608"/>
      <c r="SBS57" s="608"/>
      <c r="SBT57" s="608"/>
      <c r="SBU57" s="608"/>
      <c r="SBV57" s="608"/>
      <c r="SBW57" s="608"/>
      <c r="SBX57" s="608"/>
      <c r="SBY57" s="608"/>
      <c r="SBZ57" s="608"/>
      <c r="SCA57" s="608"/>
      <c r="SCB57" s="608"/>
      <c r="SCC57" s="608"/>
      <c r="SCD57" s="608"/>
      <c r="SCE57" s="608"/>
      <c r="SCF57" s="608"/>
      <c r="SCG57" s="608"/>
      <c r="SCH57" s="608"/>
      <c r="SCI57" s="608"/>
      <c r="SCJ57" s="608"/>
      <c r="SCK57" s="608"/>
      <c r="SCL57" s="608"/>
      <c r="SCM57" s="608"/>
      <c r="SCN57" s="608"/>
      <c r="SCO57" s="608"/>
      <c r="SCP57" s="608"/>
      <c r="SCQ57" s="608"/>
      <c r="SCR57" s="608"/>
      <c r="SCS57" s="608"/>
      <c r="SCT57" s="608"/>
      <c r="SCU57" s="608"/>
      <c r="SCV57" s="608"/>
      <c r="SCW57" s="608"/>
      <c r="SCX57" s="608"/>
      <c r="SCY57" s="608"/>
      <c r="SCZ57" s="608"/>
      <c r="SDA57" s="608"/>
      <c r="SDB57" s="608"/>
      <c r="SDC57" s="608"/>
      <c r="SDD57" s="608"/>
      <c r="SDE57" s="608"/>
      <c r="SDF57" s="608"/>
      <c r="SDG57" s="608"/>
      <c r="SDH57" s="608"/>
      <c r="SDI57" s="608"/>
      <c r="SDJ57" s="608"/>
      <c r="SDK57" s="608"/>
      <c r="SDL57" s="608"/>
      <c r="SDM57" s="608"/>
      <c r="SDN57" s="608"/>
      <c r="SDO57" s="608"/>
      <c r="SDP57" s="608"/>
      <c r="SDQ57" s="608"/>
      <c r="SDR57" s="608"/>
      <c r="SDS57" s="608"/>
      <c r="SDT57" s="608"/>
      <c r="SDU57" s="608"/>
      <c r="SDV57" s="608"/>
      <c r="SDW57" s="608"/>
      <c r="SDX57" s="608"/>
      <c r="SDY57" s="608"/>
      <c r="SDZ57" s="608"/>
      <c r="SEA57" s="608"/>
      <c r="SEB57" s="608"/>
      <c r="SEC57" s="608"/>
      <c r="SED57" s="608"/>
      <c r="SEE57" s="608"/>
      <c r="SEF57" s="608"/>
      <c r="SEG57" s="608"/>
      <c r="SEH57" s="608"/>
      <c r="SEI57" s="608"/>
      <c r="SEJ57" s="608"/>
      <c r="SEK57" s="608"/>
      <c r="SEL57" s="608"/>
      <c r="SEM57" s="608"/>
      <c r="SEN57" s="608"/>
      <c r="SEO57" s="608"/>
      <c r="SEP57" s="608"/>
      <c r="SEQ57" s="608"/>
      <c r="SER57" s="608"/>
      <c r="SES57" s="608"/>
      <c r="SET57" s="608"/>
      <c r="SEU57" s="608"/>
      <c r="SEV57" s="608"/>
      <c r="SEW57" s="608"/>
      <c r="SEX57" s="608"/>
      <c r="SEY57" s="608"/>
      <c r="SEZ57" s="608"/>
      <c r="SFA57" s="608"/>
      <c r="SFB57" s="608"/>
      <c r="SFC57" s="608"/>
      <c r="SFD57" s="608"/>
      <c r="SFE57" s="608"/>
      <c r="SFF57" s="608"/>
      <c r="SFG57" s="608"/>
      <c r="SFH57" s="608"/>
      <c r="SFI57" s="608"/>
      <c r="SFJ57" s="608"/>
      <c r="SFK57" s="608"/>
      <c r="SFL57" s="608"/>
      <c r="SFM57" s="608"/>
      <c r="SFN57" s="608"/>
      <c r="SFO57" s="608"/>
      <c r="SFP57" s="608"/>
      <c r="SFQ57" s="608"/>
      <c r="SFR57" s="608"/>
      <c r="SFS57" s="608"/>
      <c r="SFT57" s="608"/>
      <c r="SFU57" s="608"/>
      <c r="SFV57" s="608"/>
      <c r="SFW57" s="608"/>
      <c r="SFX57" s="608"/>
      <c r="SFY57" s="608"/>
      <c r="SFZ57" s="608"/>
      <c r="SGA57" s="608"/>
      <c r="SGB57" s="608"/>
      <c r="SGC57" s="608"/>
      <c r="SGD57" s="608"/>
      <c r="SGE57" s="608"/>
      <c r="SGF57" s="608"/>
      <c r="SGG57" s="608"/>
      <c r="SGH57" s="608"/>
      <c r="SGI57" s="608"/>
      <c r="SGJ57" s="608"/>
      <c r="SGK57" s="608"/>
      <c r="SGL57" s="608"/>
      <c r="SGM57" s="608"/>
      <c r="SGN57" s="608"/>
      <c r="SGO57" s="608"/>
      <c r="SGP57" s="608"/>
      <c r="SGQ57" s="608"/>
      <c r="SGR57" s="608"/>
      <c r="SGS57" s="608"/>
      <c r="SGT57" s="608"/>
      <c r="SGU57" s="608"/>
      <c r="SGV57" s="608"/>
      <c r="SGW57" s="608"/>
      <c r="SGX57" s="608"/>
      <c r="SGY57" s="608"/>
      <c r="SGZ57" s="608"/>
      <c r="SHA57" s="608"/>
      <c r="SHB57" s="608"/>
      <c r="SHC57" s="608"/>
      <c r="SHD57" s="608"/>
      <c r="SHE57" s="608"/>
      <c r="SHF57" s="608"/>
      <c r="SHG57" s="608"/>
      <c r="SHH57" s="608"/>
      <c r="SHI57" s="608"/>
      <c r="SHJ57" s="608"/>
      <c r="SHK57" s="608"/>
      <c r="SHL57" s="608"/>
      <c r="SHM57" s="608"/>
      <c r="SHN57" s="608"/>
      <c r="SHO57" s="608"/>
      <c r="SHP57" s="608"/>
      <c r="SHQ57" s="608"/>
      <c r="SHR57" s="608"/>
      <c r="SHS57" s="608"/>
      <c r="SHT57" s="608"/>
      <c r="SHU57" s="608"/>
      <c r="SHV57" s="608"/>
      <c r="SHW57" s="608"/>
      <c r="SHX57" s="608"/>
      <c r="SHY57" s="608"/>
      <c r="SHZ57" s="608"/>
      <c r="SIA57" s="608"/>
      <c r="SIB57" s="608"/>
      <c r="SIC57" s="608"/>
      <c r="SID57" s="608"/>
      <c r="SIE57" s="608"/>
      <c r="SIF57" s="608"/>
      <c r="SIG57" s="608"/>
      <c r="SIH57" s="608"/>
      <c r="SII57" s="608"/>
      <c r="SIJ57" s="608"/>
      <c r="SIK57" s="608"/>
      <c r="SIL57" s="608"/>
      <c r="SIM57" s="608"/>
      <c r="SIN57" s="608"/>
      <c r="SIO57" s="608"/>
      <c r="SIP57" s="608"/>
      <c r="SIQ57" s="608"/>
      <c r="SIR57" s="608"/>
      <c r="SIS57" s="608"/>
      <c r="SIT57" s="608"/>
      <c r="SIU57" s="608"/>
      <c r="SIV57" s="608"/>
      <c r="SIW57" s="608"/>
      <c r="SIX57" s="608"/>
      <c r="SIY57" s="608"/>
      <c r="SIZ57" s="608"/>
      <c r="SJA57" s="608"/>
      <c r="SJB57" s="608"/>
      <c r="SJC57" s="608"/>
      <c r="SJD57" s="608"/>
      <c r="SJE57" s="608"/>
      <c r="SJF57" s="608"/>
      <c r="SJG57" s="608"/>
      <c r="SJH57" s="608"/>
      <c r="SJI57" s="608"/>
      <c r="SJJ57" s="608"/>
      <c r="SJK57" s="608"/>
      <c r="SJL57" s="608"/>
      <c r="SJM57" s="608"/>
      <c r="SJN57" s="608"/>
      <c r="SJO57" s="608"/>
      <c r="SJP57" s="608"/>
      <c r="SJQ57" s="608"/>
      <c r="SJR57" s="608"/>
      <c r="SJS57" s="608"/>
      <c r="SJT57" s="608"/>
      <c r="SJU57" s="608"/>
      <c r="SJV57" s="608"/>
      <c r="SJW57" s="608"/>
      <c r="SJX57" s="608"/>
      <c r="SJY57" s="608"/>
      <c r="SJZ57" s="608"/>
      <c r="SKA57" s="608"/>
      <c r="SKB57" s="608"/>
      <c r="SKC57" s="608"/>
      <c r="SKD57" s="608"/>
      <c r="SKE57" s="608"/>
      <c r="SKF57" s="608"/>
      <c r="SKG57" s="608"/>
      <c r="SKH57" s="608"/>
      <c r="SKI57" s="608"/>
      <c r="SKJ57" s="608"/>
      <c r="SKK57" s="608"/>
      <c r="SKL57" s="608"/>
      <c r="SKM57" s="608"/>
      <c r="SKN57" s="608"/>
      <c r="SKO57" s="608"/>
      <c r="SKP57" s="608"/>
      <c r="SKQ57" s="608"/>
      <c r="SKR57" s="608"/>
      <c r="SKS57" s="608"/>
      <c r="SKT57" s="608"/>
      <c r="SKU57" s="608"/>
      <c r="SKV57" s="608"/>
      <c r="SKW57" s="608"/>
      <c r="SKX57" s="608"/>
      <c r="SKY57" s="608"/>
      <c r="SKZ57" s="608"/>
      <c r="SLA57" s="608"/>
      <c r="SLB57" s="608"/>
      <c r="SLC57" s="608"/>
      <c r="SLD57" s="608"/>
      <c r="SLE57" s="608"/>
      <c r="SLF57" s="608"/>
      <c r="SLG57" s="608"/>
      <c r="SLH57" s="608"/>
      <c r="SLI57" s="608"/>
      <c r="SLJ57" s="608"/>
      <c r="SLK57" s="608"/>
      <c r="SLL57" s="608"/>
      <c r="SLM57" s="608"/>
      <c r="SLN57" s="608"/>
      <c r="SLO57" s="608"/>
      <c r="SLP57" s="608"/>
      <c r="SLQ57" s="608"/>
      <c r="SLR57" s="608"/>
      <c r="SLS57" s="608"/>
      <c r="SLT57" s="608"/>
      <c r="SLU57" s="608"/>
      <c r="SLV57" s="608"/>
      <c r="SLW57" s="608"/>
      <c r="SLX57" s="608"/>
      <c r="SLY57" s="608"/>
      <c r="SLZ57" s="608"/>
      <c r="SMA57" s="608"/>
      <c r="SMB57" s="608"/>
      <c r="SMC57" s="608"/>
      <c r="SMD57" s="608"/>
      <c r="SME57" s="608"/>
      <c r="SMF57" s="608"/>
      <c r="SMG57" s="608"/>
      <c r="SMH57" s="608"/>
      <c r="SMI57" s="608"/>
      <c r="SMJ57" s="608"/>
      <c r="SMK57" s="608"/>
      <c r="SML57" s="608"/>
      <c r="SMM57" s="608"/>
      <c r="SMN57" s="608"/>
      <c r="SMO57" s="608"/>
      <c r="SMP57" s="608"/>
      <c r="SMQ57" s="608"/>
      <c r="SMR57" s="608"/>
      <c r="SMS57" s="608"/>
      <c r="SMT57" s="608"/>
      <c r="SMU57" s="608"/>
      <c r="SMV57" s="608"/>
      <c r="SMW57" s="608"/>
      <c r="SMX57" s="608"/>
      <c r="SMY57" s="608"/>
      <c r="SMZ57" s="608"/>
      <c r="SNA57" s="608"/>
      <c r="SNB57" s="608"/>
      <c r="SNC57" s="608"/>
      <c r="SND57" s="608"/>
      <c r="SNE57" s="608"/>
      <c r="SNF57" s="608"/>
      <c r="SNG57" s="608"/>
      <c r="SNH57" s="608"/>
      <c r="SNI57" s="608"/>
      <c r="SNJ57" s="608"/>
      <c r="SNK57" s="608"/>
      <c r="SNL57" s="608"/>
      <c r="SNM57" s="608"/>
      <c r="SNN57" s="608"/>
      <c r="SNO57" s="608"/>
      <c r="SNP57" s="608"/>
      <c r="SNQ57" s="608"/>
      <c r="SNR57" s="608"/>
      <c r="SNS57" s="608"/>
      <c r="SNT57" s="608"/>
      <c r="SNU57" s="608"/>
      <c r="SNV57" s="608"/>
      <c r="SNW57" s="608"/>
      <c r="SNX57" s="608"/>
      <c r="SNY57" s="608"/>
      <c r="SNZ57" s="608"/>
      <c r="SOA57" s="608"/>
      <c r="SOB57" s="608"/>
      <c r="SOC57" s="608"/>
      <c r="SOD57" s="608"/>
      <c r="SOE57" s="608"/>
      <c r="SOF57" s="608"/>
      <c r="SOG57" s="608"/>
      <c r="SOH57" s="608"/>
      <c r="SOI57" s="608"/>
      <c r="SOJ57" s="608"/>
      <c r="SOK57" s="608"/>
      <c r="SOL57" s="608"/>
      <c r="SOM57" s="608"/>
      <c r="SON57" s="608"/>
      <c r="SOO57" s="608"/>
      <c r="SOP57" s="608"/>
      <c r="SOQ57" s="608"/>
      <c r="SOR57" s="608"/>
      <c r="SOS57" s="608"/>
      <c r="SOT57" s="608"/>
      <c r="SOU57" s="608"/>
      <c r="SOV57" s="608"/>
      <c r="SOW57" s="608"/>
      <c r="SOX57" s="608"/>
      <c r="SOY57" s="608"/>
      <c r="SOZ57" s="608"/>
      <c r="SPA57" s="608"/>
      <c r="SPB57" s="608"/>
      <c r="SPC57" s="608"/>
      <c r="SPD57" s="608"/>
      <c r="SPE57" s="608"/>
      <c r="SPF57" s="608"/>
      <c r="SPG57" s="608"/>
      <c r="SPH57" s="608"/>
      <c r="SPI57" s="608"/>
      <c r="SPJ57" s="608"/>
      <c r="SPK57" s="608"/>
      <c r="SPL57" s="608"/>
      <c r="SPM57" s="608"/>
      <c r="SPN57" s="608"/>
      <c r="SPO57" s="608"/>
      <c r="SPP57" s="608"/>
      <c r="SPQ57" s="608"/>
      <c r="SPR57" s="608"/>
      <c r="SPS57" s="608"/>
      <c r="SPT57" s="608"/>
      <c r="SPU57" s="608"/>
      <c r="SPV57" s="608"/>
      <c r="SPW57" s="608"/>
      <c r="SPX57" s="608"/>
      <c r="SPY57" s="608"/>
      <c r="SPZ57" s="608"/>
      <c r="SQA57" s="608"/>
      <c r="SQB57" s="608"/>
      <c r="SQC57" s="608"/>
      <c r="SQD57" s="608"/>
      <c r="SQE57" s="608"/>
      <c r="SQF57" s="608"/>
      <c r="SQG57" s="608"/>
      <c r="SQH57" s="608"/>
      <c r="SQI57" s="608"/>
      <c r="SQJ57" s="608"/>
      <c r="SQK57" s="608"/>
      <c r="SQL57" s="608"/>
      <c r="SQM57" s="608"/>
      <c r="SQN57" s="608"/>
      <c r="SQO57" s="608"/>
      <c r="SQP57" s="608"/>
      <c r="SQQ57" s="608"/>
      <c r="SQR57" s="608"/>
      <c r="SQS57" s="608"/>
      <c r="SQT57" s="608"/>
      <c r="SQU57" s="608"/>
      <c r="SQV57" s="608"/>
      <c r="SQW57" s="608"/>
      <c r="SQX57" s="608"/>
      <c r="SQY57" s="608"/>
      <c r="SQZ57" s="608"/>
      <c r="SRA57" s="608"/>
      <c r="SRB57" s="608"/>
      <c r="SRC57" s="608"/>
      <c r="SRD57" s="608"/>
      <c r="SRE57" s="608"/>
      <c r="SRF57" s="608"/>
      <c r="SRG57" s="608"/>
      <c r="SRH57" s="608"/>
      <c r="SRI57" s="608"/>
      <c r="SRJ57" s="608"/>
      <c r="SRK57" s="608"/>
      <c r="SRL57" s="608"/>
      <c r="SRM57" s="608"/>
      <c r="SRN57" s="608"/>
      <c r="SRO57" s="608"/>
      <c r="SRP57" s="608"/>
      <c r="SRQ57" s="608"/>
      <c r="SRR57" s="608"/>
      <c r="SRS57" s="608"/>
      <c r="SRT57" s="608"/>
      <c r="SRU57" s="608"/>
      <c r="SRV57" s="608"/>
      <c r="SRW57" s="608"/>
      <c r="SRX57" s="608"/>
      <c r="SRY57" s="608"/>
      <c r="SRZ57" s="608"/>
      <c r="SSA57" s="608"/>
      <c r="SSB57" s="608"/>
      <c r="SSC57" s="608"/>
      <c r="SSD57" s="608"/>
      <c r="SSE57" s="608"/>
      <c r="SSF57" s="608"/>
      <c r="SSG57" s="608"/>
      <c r="SSH57" s="608"/>
      <c r="SSI57" s="608"/>
      <c r="SSJ57" s="608"/>
      <c r="SSK57" s="608"/>
      <c r="SSL57" s="608"/>
      <c r="SSM57" s="608"/>
      <c r="SSN57" s="608"/>
      <c r="SSO57" s="608"/>
      <c r="SSP57" s="608"/>
      <c r="SSQ57" s="608"/>
      <c r="SSR57" s="608"/>
      <c r="SSS57" s="608"/>
      <c r="SST57" s="608"/>
      <c r="SSU57" s="608"/>
      <c r="SSV57" s="608"/>
      <c r="SSW57" s="608"/>
      <c r="SSX57" s="608"/>
      <c r="SSY57" s="608"/>
      <c r="SSZ57" s="608"/>
      <c r="STA57" s="608"/>
      <c r="STB57" s="608"/>
      <c r="STC57" s="608"/>
      <c r="STD57" s="608"/>
      <c r="STE57" s="608"/>
      <c r="STF57" s="608"/>
      <c r="STG57" s="608"/>
      <c r="STH57" s="608"/>
      <c r="STI57" s="608"/>
      <c r="STJ57" s="608"/>
      <c r="STK57" s="608"/>
      <c r="STL57" s="608"/>
      <c r="STM57" s="608"/>
      <c r="STN57" s="608"/>
      <c r="STO57" s="608"/>
      <c r="STP57" s="608"/>
      <c r="STQ57" s="608"/>
      <c r="STR57" s="608"/>
      <c r="STS57" s="608"/>
      <c r="STT57" s="608"/>
      <c r="STU57" s="608"/>
      <c r="STV57" s="608"/>
      <c r="STW57" s="608"/>
      <c r="STX57" s="608"/>
      <c r="STY57" s="608"/>
      <c r="STZ57" s="608"/>
      <c r="SUA57" s="608"/>
      <c r="SUB57" s="608"/>
      <c r="SUC57" s="608"/>
      <c r="SUD57" s="608"/>
      <c r="SUE57" s="608"/>
      <c r="SUF57" s="608"/>
      <c r="SUG57" s="608"/>
      <c r="SUH57" s="608"/>
      <c r="SUI57" s="608"/>
      <c r="SUJ57" s="608"/>
      <c r="SUK57" s="608"/>
      <c r="SUL57" s="608"/>
      <c r="SUM57" s="608"/>
      <c r="SUN57" s="608"/>
      <c r="SUO57" s="608"/>
      <c r="SUP57" s="608"/>
      <c r="SUQ57" s="608"/>
      <c r="SUR57" s="608"/>
      <c r="SUS57" s="608"/>
      <c r="SUT57" s="608"/>
      <c r="SUU57" s="608"/>
      <c r="SUV57" s="608"/>
      <c r="SUW57" s="608"/>
      <c r="SUX57" s="608"/>
      <c r="SUY57" s="608"/>
      <c r="SUZ57" s="608"/>
      <c r="SVA57" s="608"/>
      <c r="SVB57" s="608"/>
      <c r="SVC57" s="608"/>
      <c r="SVD57" s="608"/>
      <c r="SVE57" s="608"/>
      <c r="SVF57" s="608"/>
      <c r="SVG57" s="608"/>
      <c r="SVH57" s="608"/>
      <c r="SVI57" s="608"/>
      <c r="SVJ57" s="608"/>
      <c r="SVK57" s="608"/>
      <c r="SVL57" s="608"/>
      <c r="SVM57" s="608"/>
      <c r="SVN57" s="608"/>
      <c r="SVO57" s="608"/>
      <c r="SVP57" s="608"/>
      <c r="SVQ57" s="608"/>
      <c r="SVR57" s="608"/>
      <c r="SVS57" s="608"/>
      <c r="SVT57" s="608"/>
      <c r="SVU57" s="608"/>
      <c r="SVV57" s="608"/>
      <c r="SVW57" s="608"/>
      <c r="SVX57" s="608"/>
      <c r="SVY57" s="608"/>
      <c r="SVZ57" s="608"/>
      <c r="SWA57" s="608"/>
      <c r="SWB57" s="608"/>
      <c r="SWC57" s="608"/>
      <c r="SWD57" s="608"/>
      <c r="SWE57" s="608"/>
      <c r="SWF57" s="608"/>
      <c r="SWG57" s="608"/>
      <c r="SWH57" s="608"/>
      <c r="SWI57" s="608"/>
      <c r="SWJ57" s="608"/>
      <c r="SWK57" s="608"/>
      <c r="SWL57" s="608"/>
      <c r="SWM57" s="608"/>
      <c r="SWN57" s="608"/>
      <c r="SWO57" s="608"/>
      <c r="SWP57" s="608"/>
      <c r="SWQ57" s="608"/>
      <c r="SWR57" s="608"/>
      <c r="SWS57" s="608"/>
      <c r="SWT57" s="608"/>
      <c r="SWU57" s="608"/>
      <c r="SWV57" s="608"/>
      <c r="SWW57" s="608"/>
      <c r="SWX57" s="608"/>
      <c r="SWY57" s="608"/>
      <c r="SWZ57" s="608"/>
      <c r="SXA57" s="608"/>
      <c r="SXB57" s="608"/>
      <c r="SXC57" s="608"/>
      <c r="SXD57" s="608"/>
      <c r="SXE57" s="608"/>
      <c r="SXF57" s="608"/>
      <c r="SXG57" s="608"/>
      <c r="SXH57" s="608"/>
      <c r="SXI57" s="608"/>
      <c r="SXJ57" s="608"/>
      <c r="SXK57" s="608"/>
      <c r="SXL57" s="608"/>
      <c r="SXM57" s="608"/>
      <c r="SXN57" s="608"/>
      <c r="SXO57" s="608"/>
      <c r="SXP57" s="608"/>
      <c r="SXQ57" s="608"/>
      <c r="SXR57" s="608"/>
      <c r="SXS57" s="608"/>
      <c r="SXT57" s="608"/>
      <c r="SXU57" s="608"/>
      <c r="SXV57" s="608"/>
      <c r="SXW57" s="608"/>
      <c r="SXX57" s="608"/>
      <c r="SXY57" s="608"/>
      <c r="SXZ57" s="608"/>
      <c r="SYA57" s="608"/>
      <c r="SYB57" s="608"/>
      <c r="SYC57" s="608"/>
      <c r="SYD57" s="608"/>
      <c r="SYE57" s="608"/>
      <c r="SYF57" s="608"/>
      <c r="SYG57" s="608"/>
      <c r="SYH57" s="608"/>
      <c r="SYI57" s="608"/>
      <c r="SYJ57" s="608"/>
      <c r="SYK57" s="608"/>
      <c r="SYL57" s="608"/>
      <c r="SYM57" s="608"/>
      <c r="SYN57" s="608"/>
      <c r="SYO57" s="608"/>
      <c r="SYP57" s="608"/>
      <c r="SYQ57" s="608"/>
      <c r="SYR57" s="608"/>
      <c r="SYS57" s="608"/>
      <c r="SYT57" s="608"/>
      <c r="SYU57" s="608"/>
      <c r="SYV57" s="608"/>
      <c r="SYW57" s="608"/>
      <c r="SYX57" s="608"/>
      <c r="SYY57" s="608"/>
      <c r="SYZ57" s="608"/>
      <c r="SZA57" s="608"/>
      <c r="SZB57" s="608"/>
      <c r="SZC57" s="608"/>
      <c r="SZD57" s="608"/>
      <c r="SZE57" s="608"/>
      <c r="SZF57" s="608"/>
      <c r="SZG57" s="608"/>
      <c r="SZH57" s="608"/>
      <c r="SZI57" s="608"/>
      <c r="SZJ57" s="608"/>
      <c r="SZK57" s="608"/>
      <c r="SZL57" s="608"/>
      <c r="SZM57" s="608"/>
      <c r="SZN57" s="608"/>
      <c r="SZO57" s="608"/>
      <c r="SZP57" s="608"/>
      <c r="SZQ57" s="608"/>
      <c r="SZR57" s="608"/>
      <c r="SZS57" s="608"/>
      <c r="SZT57" s="608"/>
      <c r="SZU57" s="608"/>
      <c r="SZV57" s="608"/>
      <c r="SZW57" s="608"/>
      <c r="SZX57" s="608"/>
      <c r="SZY57" s="608"/>
      <c r="SZZ57" s="608"/>
      <c r="TAA57" s="608"/>
      <c r="TAB57" s="608"/>
      <c r="TAC57" s="608"/>
      <c r="TAD57" s="608"/>
      <c r="TAE57" s="608"/>
      <c r="TAF57" s="608"/>
      <c r="TAG57" s="608"/>
      <c r="TAH57" s="608"/>
      <c r="TAI57" s="608"/>
      <c r="TAJ57" s="608"/>
      <c r="TAK57" s="608"/>
      <c r="TAL57" s="608"/>
      <c r="TAM57" s="608"/>
      <c r="TAN57" s="608"/>
      <c r="TAO57" s="608"/>
      <c r="TAP57" s="608"/>
      <c r="TAQ57" s="608"/>
      <c r="TAR57" s="608"/>
      <c r="TAS57" s="608"/>
      <c r="TAT57" s="608"/>
      <c r="TAU57" s="608"/>
      <c r="TAV57" s="608"/>
      <c r="TAW57" s="608"/>
      <c r="TAX57" s="608"/>
      <c r="TAY57" s="608"/>
      <c r="TAZ57" s="608"/>
      <c r="TBA57" s="608"/>
      <c r="TBB57" s="608"/>
      <c r="TBC57" s="608"/>
      <c r="TBD57" s="608"/>
      <c r="TBE57" s="608"/>
      <c r="TBF57" s="608"/>
      <c r="TBG57" s="608"/>
      <c r="TBH57" s="608"/>
      <c r="TBI57" s="608"/>
      <c r="TBJ57" s="608"/>
      <c r="TBK57" s="608"/>
      <c r="TBL57" s="608"/>
      <c r="TBM57" s="608"/>
      <c r="TBN57" s="608"/>
      <c r="TBO57" s="608"/>
      <c r="TBP57" s="608"/>
      <c r="TBQ57" s="608"/>
      <c r="TBR57" s="608"/>
      <c r="TBS57" s="608"/>
      <c r="TBT57" s="608"/>
      <c r="TBU57" s="608"/>
      <c r="TBV57" s="608"/>
      <c r="TBW57" s="608"/>
      <c r="TBX57" s="608"/>
      <c r="TBY57" s="608"/>
      <c r="TBZ57" s="608"/>
      <c r="TCA57" s="608"/>
      <c r="TCB57" s="608"/>
      <c r="TCC57" s="608"/>
      <c r="TCD57" s="608"/>
      <c r="TCE57" s="608"/>
      <c r="TCF57" s="608"/>
      <c r="TCG57" s="608"/>
      <c r="TCH57" s="608"/>
      <c r="TCI57" s="608"/>
      <c r="TCJ57" s="608"/>
      <c r="TCK57" s="608"/>
      <c r="TCL57" s="608"/>
      <c r="TCM57" s="608"/>
      <c r="TCN57" s="608"/>
      <c r="TCO57" s="608"/>
      <c r="TCP57" s="608"/>
      <c r="TCQ57" s="608"/>
      <c r="TCR57" s="608"/>
      <c r="TCS57" s="608"/>
      <c r="TCT57" s="608"/>
      <c r="TCU57" s="608"/>
      <c r="TCV57" s="608"/>
      <c r="TCW57" s="608"/>
      <c r="TCX57" s="608"/>
      <c r="TCY57" s="608"/>
      <c r="TCZ57" s="608"/>
      <c r="TDA57" s="608"/>
      <c r="TDB57" s="608"/>
      <c r="TDC57" s="608"/>
      <c r="TDD57" s="608"/>
      <c r="TDE57" s="608"/>
      <c r="TDF57" s="608"/>
      <c r="TDG57" s="608"/>
      <c r="TDH57" s="608"/>
      <c r="TDI57" s="608"/>
      <c r="TDJ57" s="608"/>
      <c r="TDK57" s="608"/>
      <c r="TDL57" s="608"/>
      <c r="TDM57" s="608"/>
      <c r="TDN57" s="608"/>
      <c r="TDO57" s="608"/>
      <c r="TDP57" s="608"/>
      <c r="TDQ57" s="608"/>
      <c r="TDR57" s="608"/>
      <c r="TDS57" s="608"/>
      <c r="TDT57" s="608"/>
      <c r="TDU57" s="608"/>
      <c r="TDV57" s="608"/>
      <c r="TDW57" s="608"/>
      <c r="TDX57" s="608"/>
      <c r="TDY57" s="608"/>
      <c r="TDZ57" s="608"/>
      <c r="TEA57" s="608"/>
      <c r="TEB57" s="608"/>
      <c r="TEC57" s="608"/>
      <c r="TED57" s="608"/>
      <c r="TEE57" s="608"/>
      <c r="TEF57" s="608"/>
      <c r="TEG57" s="608"/>
      <c r="TEH57" s="608"/>
      <c r="TEI57" s="608"/>
      <c r="TEJ57" s="608"/>
      <c r="TEK57" s="608"/>
      <c r="TEL57" s="608"/>
      <c r="TEM57" s="608"/>
      <c r="TEN57" s="608"/>
      <c r="TEO57" s="608"/>
      <c r="TEP57" s="608"/>
      <c r="TEQ57" s="608"/>
      <c r="TER57" s="608"/>
      <c r="TES57" s="608"/>
      <c r="TET57" s="608"/>
      <c r="TEU57" s="608"/>
      <c r="TEV57" s="608"/>
      <c r="TEW57" s="608"/>
      <c r="TEX57" s="608"/>
      <c r="TEY57" s="608"/>
      <c r="TEZ57" s="608"/>
      <c r="TFA57" s="608"/>
      <c r="TFB57" s="608"/>
      <c r="TFC57" s="608"/>
      <c r="TFD57" s="608"/>
      <c r="TFE57" s="608"/>
      <c r="TFF57" s="608"/>
      <c r="TFG57" s="608"/>
      <c r="TFH57" s="608"/>
      <c r="TFI57" s="608"/>
      <c r="TFJ57" s="608"/>
      <c r="TFK57" s="608"/>
      <c r="TFL57" s="608"/>
      <c r="TFM57" s="608"/>
      <c r="TFN57" s="608"/>
      <c r="TFO57" s="608"/>
      <c r="TFP57" s="608"/>
      <c r="TFQ57" s="608"/>
      <c r="TFR57" s="608"/>
      <c r="TFS57" s="608"/>
      <c r="TFT57" s="608"/>
      <c r="TFU57" s="608"/>
      <c r="TFV57" s="608"/>
      <c r="TFW57" s="608"/>
      <c r="TFX57" s="608"/>
      <c r="TFY57" s="608"/>
      <c r="TFZ57" s="608"/>
      <c r="TGA57" s="608"/>
      <c r="TGB57" s="608"/>
      <c r="TGC57" s="608"/>
      <c r="TGD57" s="608"/>
      <c r="TGE57" s="608"/>
      <c r="TGF57" s="608"/>
      <c r="TGG57" s="608"/>
      <c r="TGH57" s="608"/>
      <c r="TGI57" s="608"/>
      <c r="TGJ57" s="608"/>
      <c r="TGK57" s="608"/>
      <c r="TGL57" s="608"/>
      <c r="TGM57" s="608"/>
      <c r="TGN57" s="608"/>
      <c r="TGO57" s="608"/>
      <c r="TGP57" s="608"/>
      <c r="TGQ57" s="608"/>
      <c r="TGR57" s="608"/>
      <c r="TGS57" s="608"/>
      <c r="TGT57" s="608"/>
      <c r="TGU57" s="608"/>
      <c r="TGV57" s="608"/>
      <c r="TGW57" s="608"/>
      <c r="TGX57" s="608"/>
      <c r="TGY57" s="608"/>
      <c r="TGZ57" s="608"/>
      <c r="THA57" s="608"/>
      <c r="THB57" s="608"/>
      <c r="THC57" s="608"/>
      <c r="THD57" s="608"/>
      <c r="THE57" s="608"/>
      <c r="THF57" s="608"/>
      <c r="THG57" s="608"/>
      <c r="THH57" s="608"/>
      <c r="THI57" s="608"/>
      <c r="THJ57" s="608"/>
      <c r="THK57" s="608"/>
      <c r="THL57" s="608"/>
      <c r="THM57" s="608"/>
      <c r="THN57" s="608"/>
      <c r="THO57" s="608"/>
      <c r="THP57" s="608"/>
      <c r="THQ57" s="608"/>
      <c r="THR57" s="608"/>
      <c r="THS57" s="608"/>
      <c r="THT57" s="608"/>
      <c r="THU57" s="608"/>
      <c r="THV57" s="608"/>
      <c r="THW57" s="608"/>
      <c r="THX57" s="608"/>
      <c r="THY57" s="608"/>
      <c r="THZ57" s="608"/>
      <c r="TIA57" s="608"/>
      <c r="TIB57" s="608"/>
      <c r="TIC57" s="608"/>
      <c r="TID57" s="608"/>
      <c r="TIE57" s="608"/>
      <c r="TIF57" s="608"/>
      <c r="TIG57" s="608"/>
      <c r="TIH57" s="608"/>
      <c r="TII57" s="608"/>
      <c r="TIJ57" s="608"/>
      <c r="TIK57" s="608"/>
      <c r="TIL57" s="608"/>
      <c r="TIM57" s="608"/>
      <c r="TIN57" s="608"/>
      <c r="TIO57" s="608"/>
      <c r="TIP57" s="608"/>
      <c r="TIQ57" s="608"/>
      <c r="TIR57" s="608"/>
      <c r="TIS57" s="608"/>
      <c r="TIT57" s="608"/>
      <c r="TIU57" s="608"/>
      <c r="TIV57" s="608"/>
      <c r="TIW57" s="608"/>
      <c r="TIX57" s="608"/>
      <c r="TIY57" s="608"/>
      <c r="TIZ57" s="608"/>
      <c r="TJA57" s="608"/>
      <c r="TJB57" s="608"/>
      <c r="TJC57" s="608"/>
      <c r="TJD57" s="608"/>
      <c r="TJE57" s="608"/>
      <c r="TJF57" s="608"/>
      <c r="TJG57" s="608"/>
      <c r="TJH57" s="608"/>
      <c r="TJI57" s="608"/>
      <c r="TJJ57" s="608"/>
      <c r="TJK57" s="608"/>
      <c r="TJL57" s="608"/>
      <c r="TJM57" s="608"/>
      <c r="TJN57" s="608"/>
      <c r="TJO57" s="608"/>
      <c r="TJP57" s="608"/>
      <c r="TJQ57" s="608"/>
      <c r="TJR57" s="608"/>
      <c r="TJS57" s="608"/>
      <c r="TJT57" s="608"/>
      <c r="TJU57" s="608"/>
      <c r="TJV57" s="608"/>
      <c r="TJW57" s="608"/>
      <c r="TJX57" s="608"/>
      <c r="TJY57" s="608"/>
      <c r="TJZ57" s="608"/>
      <c r="TKA57" s="608"/>
      <c r="TKB57" s="608"/>
      <c r="TKC57" s="608"/>
      <c r="TKD57" s="608"/>
      <c r="TKE57" s="608"/>
      <c r="TKF57" s="608"/>
      <c r="TKG57" s="608"/>
      <c r="TKH57" s="608"/>
      <c r="TKI57" s="608"/>
      <c r="TKJ57" s="608"/>
      <c r="TKK57" s="608"/>
      <c r="TKL57" s="608"/>
      <c r="TKM57" s="608"/>
      <c r="TKN57" s="608"/>
      <c r="TKO57" s="608"/>
      <c r="TKP57" s="608"/>
      <c r="TKQ57" s="608"/>
      <c r="TKR57" s="608"/>
      <c r="TKS57" s="608"/>
      <c r="TKT57" s="608"/>
      <c r="TKU57" s="608"/>
      <c r="TKV57" s="608"/>
      <c r="TKW57" s="608"/>
      <c r="TKX57" s="608"/>
      <c r="TKY57" s="608"/>
      <c r="TKZ57" s="608"/>
      <c r="TLA57" s="608"/>
      <c r="TLB57" s="608"/>
      <c r="TLC57" s="608"/>
      <c r="TLD57" s="608"/>
      <c r="TLE57" s="608"/>
      <c r="TLF57" s="608"/>
      <c r="TLG57" s="608"/>
      <c r="TLH57" s="608"/>
      <c r="TLI57" s="608"/>
      <c r="TLJ57" s="608"/>
      <c r="TLK57" s="608"/>
      <c r="TLL57" s="608"/>
      <c r="TLM57" s="608"/>
      <c r="TLN57" s="608"/>
      <c r="TLO57" s="608"/>
      <c r="TLP57" s="608"/>
      <c r="TLQ57" s="608"/>
      <c r="TLR57" s="608"/>
      <c r="TLS57" s="608"/>
      <c r="TLT57" s="608"/>
      <c r="TLU57" s="608"/>
      <c r="TLV57" s="608"/>
      <c r="TLW57" s="608"/>
      <c r="TLX57" s="608"/>
      <c r="TLY57" s="608"/>
      <c r="TLZ57" s="608"/>
      <c r="TMA57" s="608"/>
      <c r="TMB57" s="608"/>
      <c r="TMC57" s="608"/>
      <c r="TMD57" s="608"/>
      <c r="TME57" s="608"/>
      <c r="TMF57" s="608"/>
      <c r="TMG57" s="608"/>
      <c r="TMH57" s="608"/>
      <c r="TMI57" s="608"/>
      <c r="TMJ57" s="608"/>
      <c r="TMK57" s="608"/>
      <c r="TML57" s="608"/>
      <c r="TMM57" s="608"/>
      <c r="TMN57" s="608"/>
      <c r="TMO57" s="608"/>
      <c r="TMP57" s="608"/>
      <c r="TMQ57" s="608"/>
      <c r="TMR57" s="608"/>
      <c r="TMS57" s="608"/>
      <c r="TMT57" s="608"/>
      <c r="TMU57" s="608"/>
      <c r="TMV57" s="608"/>
      <c r="TMW57" s="608"/>
      <c r="TMX57" s="608"/>
      <c r="TMY57" s="608"/>
      <c r="TMZ57" s="608"/>
      <c r="TNA57" s="608"/>
      <c r="TNB57" s="608"/>
      <c r="TNC57" s="608"/>
      <c r="TND57" s="608"/>
      <c r="TNE57" s="608"/>
      <c r="TNF57" s="608"/>
      <c r="TNG57" s="608"/>
      <c r="TNH57" s="608"/>
      <c r="TNI57" s="608"/>
      <c r="TNJ57" s="608"/>
      <c r="TNK57" s="608"/>
      <c r="TNL57" s="608"/>
      <c r="TNM57" s="608"/>
      <c r="TNN57" s="608"/>
      <c r="TNO57" s="608"/>
      <c r="TNP57" s="608"/>
      <c r="TNQ57" s="608"/>
      <c r="TNR57" s="608"/>
      <c r="TNS57" s="608"/>
      <c r="TNT57" s="608"/>
      <c r="TNU57" s="608"/>
      <c r="TNV57" s="608"/>
      <c r="TNW57" s="608"/>
      <c r="TNX57" s="608"/>
      <c r="TNY57" s="608"/>
      <c r="TNZ57" s="608"/>
      <c r="TOA57" s="608"/>
      <c r="TOB57" s="608"/>
      <c r="TOC57" s="608"/>
      <c r="TOD57" s="608"/>
      <c r="TOE57" s="608"/>
      <c r="TOF57" s="608"/>
      <c r="TOG57" s="608"/>
      <c r="TOH57" s="608"/>
      <c r="TOI57" s="608"/>
      <c r="TOJ57" s="608"/>
      <c r="TOK57" s="608"/>
      <c r="TOL57" s="608"/>
      <c r="TOM57" s="608"/>
      <c r="TON57" s="608"/>
      <c r="TOO57" s="608"/>
      <c r="TOP57" s="608"/>
      <c r="TOQ57" s="608"/>
      <c r="TOR57" s="608"/>
      <c r="TOS57" s="608"/>
      <c r="TOT57" s="608"/>
      <c r="TOU57" s="608"/>
      <c r="TOV57" s="608"/>
      <c r="TOW57" s="608"/>
      <c r="TOX57" s="608"/>
      <c r="TOY57" s="608"/>
      <c r="TOZ57" s="608"/>
      <c r="TPA57" s="608"/>
      <c r="TPB57" s="608"/>
      <c r="TPC57" s="608"/>
      <c r="TPD57" s="608"/>
      <c r="TPE57" s="608"/>
      <c r="TPF57" s="608"/>
      <c r="TPG57" s="608"/>
      <c r="TPH57" s="608"/>
      <c r="TPI57" s="608"/>
      <c r="TPJ57" s="608"/>
      <c r="TPK57" s="608"/>
      <c r="TPL57" s="608"/>
      <c r="TPM57" s="608"/>
      <c r="TPN57" s="608"/>
      <c r="TPO57" s="608"/>
      <c r="TPP57" s="608"/>
      <c r="TPQ57" s="608"/>
      <c r="TPR57" s="608"/>
      <c r="TPS57" s="608"/>
      <c r="TPT57" s="608"/>
      <c r="TPU57" s="608"/>
      <c r="TPV57" s="608"/>
      <c r="TPW57" s="608"/>
      <c r="TPX57" s="608"/>
      <c r="TPY57" s="608"/>
      <c r="TPZ57" s="608"/>
      <c r="TQA57" s="608"/>
      <c r="TQB57" s="608"/>
      <c r="TQC57" s="608"/>
      <c r="TQD57" s="608"/>
      <c r="TQE57" s="608"/>
      <c r="TQF57" s="608"/>
      <c r="TQG57" s="608"/>
      <c r="TQH57" s="608"/>
      <c r="TQI57" s="608"/>
      <c r="TQJ57" s="608"/>
      <c r="TQK57" s="608"/>
      <c r="TQL57" s="608"/>
      <c r="TQM57" s="608"/>
      <c r="TQN57" s="608"/>
      <c r="TQO57" s="608"/>
      <c r="TQP57" s="608"/>
      <c r="TQQ57" s="608"/>
      <c r="TQR57" s="608"/>
      <c r="TQS57" s="608"/>
      <c r="TQT57" s="608"/>
      <c r="TQU57" s="608"/>
      <c r="TQV57" s="608"/>
      <c r="TQW57" s="608"/>
      <c r="TQX57" s="608"/>
      <c r="TQY57" s="608"/>
      <c r="TQZ57" s="608"/>
      <c r="TRA57" s="608"/>
      <c r="TRB57" s="608"/>
      <c r="TRC57" s="608"/>
      <c r="TRD57" s="608"/>
      <c r="TRE57" s="608"/>
      <c r="TRF57" s="608"/>
      <c r="TRG57" s="608"/>
      <c r="TRH57" s="608"/>
      <c r="TRI57" s="608"/>
      <c r="TRJ57" s="608"/>
      <c r="TRK57" s="608"/>
      <c r="TRL57" s="608"/>
      <c r="TRM57" s="608"/>
      <c r="TRN57" s="608"/>
      <c r="TRO57" s="608"/>
      <c r="TRP57" s="608"/>
      <c r="TRQ57" s="608"/>
      <c r="TRR57" s="608"/>
      <c r="TRS57" s="608"/>
      <c r="TRT57" s="608"/>
      <c r="TRU57" s="608"/>
      <c r="TRV57" s="608"/>
      <c r="TRW57" s="608"/>
      <c r="TRX57" s="608"/>
      <c r="TRY57" s="608"/>
      <c r="TRZ57" s="608"/>
      <c r="TSA57" s="608"/>
      <c r="TSB57" s="608"/>
      <c r="TSC57" s="608"/>
      <c r="TSD57" s="608"/>
      <c r="TSE57" s="608"/>
      <c r="TSF57" s="608"/>
      <c r="TSG57" s="608"/>
      <c r="TSH57" s="608"/>
      <c r="TSI57" s="608"/>
      <c r="TSJ57" s="608"/>
      <c r="TSK57" s="608"/>
      <c r="TSL57" s="608"/>
      <c r="TSM57" s="608"/>
      <c r="TSN57" s="608"/>
      <c r="TSO57" s="608"/>
      <c r="TSP57" s="608"/>
      <c r="TSQ57" s="608"/>
      <c r="TSR57" s="608"/>
      <c r="TSS57" s="608"/>
      <c r="TST57" s="608"/>
      <c r="TSU57" s="608"/>
      <c r="TSV57" s="608"/>
      <c r="TSW57" s="608"/>
      <c r="TSX57" s="608"/>
      <c r="TSY57" s="608"/>
      <c r="TSZ57" s="608"/>
      <c r="TTA57" s="608"/>
      <c r="TTB57" s="608"/>
      <c r="TTC57" s="608"/>
      <c r="TTD57" s="608"/>
      <c r="TTE57" s="608"/>
      <c r="TTF57" s="608"/>
      <c r="TTG57" s="608"/>
      <c r="TTH57" s="608"/>
      <c r="TTI57" s="608"/>
      <c r="TTJ57" s="608"/>
      <c r="TTK57" s="608"/>
      <c r="TTL57" s="608"/>
      <c r="TTM57" s="608"/>
      <c r="TTN57" s="608"/>
      <c r="TTO57" s="608"/>
      <c r="TTP57" s="608"/>
      <c r="TTQ57" s="608"/>
      <c r="TTR57" s="608"/>
      <c r="TTS57" s="608"/>
      <c r="TTT57" s="608"/>
      <c r="TTU57" s="608"/>
      <c r="TTV57" s="608"/>
      <c r="TTW57" s="608"/>
      <c r="TTX57" s="608"/>
      <c r="TTY57" s="608"/>
      <c r="TTZ57" s="608"/>
      <c r="TUA57" s="608"/>
      <c r="TUB57" s="608"/>
      <c r="TUC57" s="608"/>
      <c r="TUD57" s="608"/>
      <c r="TUE57" s="608"/>
      <c r="TUF57" s="608"/>
      <c r="TUG57" s="608"/>
      <c r="TUH57" s="608"/>
      <c r="TUI57" s="608"/>
      <c r="TUJ57" s="608"/>
      <c r="TUK57" s="608"/>
      <c r="TUL57" s="608"/>
      <c r="TUM57" s="608"/>
      <c r="TUN57" s="608"/>
      <c r="TUO57" s="608"/>
      <c r="TUP57" s="608"/>
      <c r="TUQ57" s="608"/>
      <c r="TUR57" s="608"/>
      <c r="TUS57" s="608"/>
      <c r="TUT57" s="608"/>
      <c r="TUU57" s="608"/>
      <c r="TUV57" s="608"/>
      <c r="TUW57" s="608"/>
      <c r="TUX57" s="608"/>
      <c r="TUY57" s="608"/>
      <c r="TUZ57" s="608"/>
      <c r="TVA57" s="608"/>
      <c r="TVB57" s="608"/>
      <c r="TVC57" s="608"/>
      <c r="TVD57" s="608"/>
      <c r="TVE57" s="608"/>
      <c r="TVF57" s="608"/>
      <c r="TVG57" s="608"/>
      <c r="TVH57" s="608"/>
      <c r="TVI57" s="608"/>
      <c r="TVJ57" s="608"/>
      <c r="TVK57" s="608"/>
      <c r="TVL57" s="608"/>
      <c r="TVM57" s="608"/>
      <c r="TVN57" s="608"/>
      <c r="TVO57" s="608"/>
      <c r="TVP57" s="608"/>
      <c r="TVQ57" s="608"/>
      <c r="TVR57" s="608"/>
      <c r="TVS57" s="608"/>
      <c r="TVT57" s="608"/>
      <c r="TVU57" s="608"/>
      <c r="TVV57" s="608"/>
      <c r="TVW57" s="608"/>
      <c r="TVX57" s="608"/>
      <c r="TVY57" s="608"/>
      <c r="TVZ57" s="608"/>
      <c r="TWA57" s="608"/>
      <c r="TWB57" s="608"/>
      <c r="TWC57" s="608"/>
      <c r="TWD57" s="608"/>
      <c r="TWE57" s="608"/>
      <c r="TWF57" s="608"/>
      <c r="TWG57" s="608"/>
      <c r="TWH57" s="608"/>
      <c r="TWI57" s="608"/>
      <c r="TWJ57" s="608"/>
      <c r="TWK57" s="608"/>
      <c r="TWL57" s="608"/>
      <c r="TWM57" s="608"/>
      <c r="TWN57" s="608"/>
      <c r="TWO57" s="608"/>
      <c r="TWP57" s="608"/>
      <c r="TWQ57" s="608"/>
      <c r="TWR57" s="608"/>
      <c r="TWS57" s="608"/>
      <c r="TWT57" s="608"/>
      <c r="TWU57" s="608"/>
      <c r="TWV57" s="608"/>
      <c r="TWW57" s="608"/>
      <c r="TWX57" s="608"/>
      <c r="TWY57" s="608"/>
      <c r="TWZ57" s="608"/>
      <c r="TXA57" s="608"/>
      <c r="TXB57" s="608"/>
      <c r="TXC57" s="608"/>
      <c r="TXD57" s="608"/>
      <c r="TXE57" s="608"/>
      <c r="TXF57" s="608"/>
      <c r="TXG57" s="608"/>
      <c r="TXH57" s="608"/>
      <c r="TXI57" s="608"/>
      <c r="TXJ57" s="608"/>
      <c r="TXK57" s="608"/>
      <c r="TXL57" s="608"/>
      <c r="TXM57" s="608"/>
      <c r="TXN57" s="608"/>
      <c r="TXO57" s="608"/>
      <c r="TXP57" s="608"/>
      <c r="TXQ57" s="608"/>
      <c r="TXR57" s="608"/>
      <c r="TXS57" s="608"/>
      <c r="TXT57" s="608"/>
      <c r="TXU57" s="608"/>
      <c r="TXV57" s="608"/>
      <c r="TXW57" s="608"/>
      <c r="TXX57" s="608"/>
      <c r="TXY57" s="608"/>
      <c r="TXZ57" s="608"/>
      <c r="TYA57" s="608"/>
      <c r="TYB57" s="608"/>
      <c r="TYC57" s="608"/>
      <c r="TYD57" s="608"/>
      <c r="TYE57" s="608"/>
      <c r="TYF57" s="608"/>
      <c r="TYG57" s="608"/>
      <c r="TYH57" s="608"/>
      <c r="TYI57" s="608"/>
      <c r="TYJ57" s="608"/>
      <c r="TYK57" s="608"/>
      <c r="TYL57" s="608"/>
      <c r="TYM57" s="608"/>
      <c r="TYN57" s="608"/>
      <c r="TYO57" s="608"/>
      <c r="TYP57" s="608"/>
      <c r="TYQ57" s="608"/>
      <c r="TYR57" s="608"/>
      <c r="TYS57" s="608"/>
      <c r="TYT57" s="608"/>
      <c r="TYU57" s="608"/>
      <c r="TYV57" s="608"/>
      <c r="TYW57" s="608"/>
      <c r="TYX57" s="608"/>
      <c r="TYY57" s="608"/>
      <c r="TYZ57" s="608"/>
      <c r="TZA57" s="608"/>
      <c r="TZB57" s="608"/>
      <c r="TZC57" s="608"/>
      <c r="TZD57" s="608"/>
      <c r="TZE57" s="608"/>
      <c r="TZF57" s="608"/>
      <c r="TZG57" s="608"/>
      <c r="TZH57" s="608"/>
      <c r="TZI57" s="608"/>
      <c r="TZJ57" s="608"/>
      <c r="TZK57" s="608"/>
      <c r="TZL57" s="608"/>
      <c r="TZM57" s="608"/>
      <c r="TZN57" s="608"/>
      <c r="TZO57" s="608"/>
      <c r="TZP57" s="608"/>
      <c r="TZQ57" s="608"/>
      <c r="TZR57" s="608"/>
      <c r="TZS57" s="608"/>
      <c r="TZT57" s="608"/>
      <c r="TZU57" s="608"/>
      <c r="TZV57" s="608"/>
      <c r="TZW57" s="608"/>
      <c r="TZX57" s="608"/>
      <c r="TZY57" s="608"/>
      <c r="TZZ57" s="608"/>
      <c r="UAA57" s="608"/>
      <c r="UAB57" s="608"/>
      <c r="UAC57" s="608"/>
      <c r="UAD57" s="608"/>
      <c r="UAE57" s="608"/>
      <c r="UAF57" s="608"/>
      <c r="UAG57" s="608"/>
      <c r="UAH57" s="608"/>
      <c r="UAI57" s="608"/>
      <c r="UAJ57" s="608"/>
      <c r="UAK57" s="608"/>
      <c r="UAL57" s="608"/>
      <c r="UAM57" s="608"/>
      <c r="UAN57" s="608"/>
      <c r="UAO57" s="608"/>
      <c r="UAP57" s="608"/>
      <c r="UAQ57" s="608"/>
      <c r="UAR57" s="608"/>
      <c r="UAS57" s="608"/>
      <c r="UAT57" s="608"/>
      <c r="UAU57" s="608"/>
      <c r="UAV57" s="608"/>
      <c r="UAW57" s="608"/>
      <c r="UAX57" s="608"/>
      <c r="UAY57" s="608"/>
      <c r="UAZ57" s="608"/>
      <c r="UBA57" s="608"/>
      <c r="UBB57" s="608"/>
      <c r="UBC57" s="608"/>
      <c r="UBD57" s="608"/>
      <c r="UBE57" s="608"/>
      <c r="UBF57" s="608"/>
      <c r="UBG57" s="608"/>
      <c r="UBH57" s="608"/>
      <c r="UBI57" s="608"/>
      <c r="UBJ57" s="608"/>
      <c r="UBK57" s="608"/>
      <c r="UBL57" s="608"/>
      <c r="UBM57" s="608"/>
      <c r="UBN57" s="608"/>
      <c r="UBO57" s="608"/>
      <c r="UBP57" s="608"/>
      <c r="UBQ57" s="608"/>
      <c r="UBR57" s="608"/>
      <c r="UBS57" s="608"/>
      <c r="UBT57" s="608"/>
      <c r="UBU57" s="608"/>
      <c r="UBV57" s="608"/>
      <c r="UBW57" s="608"/>
      <c r="UBX57" s="608"/>
      <c r="UBY57" s="608"/>
      <c r="UBZ57" s="608"/>
      <c r="UCA57" s="608"/>
      <c r="UCB57" s="608"/>
      <c r="UCC57" s="608"/>
      <c r="UCD57" s="608"/>
      <c r="UCE57" s="608"/>
      <c r="UCF57" s="608"/>
      <c r="UCG57" s="608"/>
      <c r="UCH57" s="608"/>
      <c r="UCI57" s="608"/>
      <c r="UCJ57" s="608"/>
      <c r="UCK57" s="608"/>
      <c r="UCL57" s="608"/>
      <c r="UCM57" s="608"/>
      <c r="UCN57" s="608"/>
      <c r="UCO57" s="608"/>
      <c r="UCP57" s="608"/>
      <c r="UCQ57" s="608"/>
      <c r="UCR57" s="608"/>
      <c r="UCS57" s="608"/>
      <c r="UCT57" s="608"/>
      <c r="UCU57" s="608"/>
      <c r="UCV57" s="608"/>
      <c r="UCW57" s="608"/>
      <c r="UCX57" s="608"/>
      <c r="UCY57" s="608"/>
      <c r="UCZ57" s="608"/>
      <c r="UDA57" s="608"/>
      <c r="UDB57" s="608"/>
      <c r="UDC57" s="608"/>
      <c r="UDD57" s="608"/>
      <c r="UDE57" s="608"/>
      <c r="UDF57" s="608"/>
      <c r="UDG57" s="608"/>
      <c r="UDH57" s="608"/>
      <c r="UDI57" s="608"/>
      <c r="UDJ57" s="608"/>
      <c r="UDK57" s="608"/>
      <c r="UDL57" s="608"/>
      <c r="UDM57" s="608"/>
      <c r="UDN57" s="608"/>
      <c r="UDO57" s="608"/>
      <c r="UDP57" s="608"/>
      <c r="UDQ57" s="608"/>
      <c r="UDR57" s="608"/>
      <c r="UDS57" s="608"/>
      <c r="UDT57" s="608"/>
      <c r="UDU57" s="608"/>
      <c r="UDV57" s="608"/>
      <c r="UDW57" s="608"/>
      <c r="UDX57" s="608"/>
      <c r="UDY57" s="608"/>
      <c r="UDZ57" s="608"/>
      <c r="UEA57" s="608"/>
      <c r="UEB57" s="608"/>
      <c r="UEC57" s="608"/>
      <c r="UED57" s="608"/>
      <c r="UEE57" s="608"/>
      <c r="UEF57" s="608"/>
      <c r="UEG57" s="608"/>
      <c r="UEH57" s="608"/>
      <c r="UEI57" s="608"/>
      <c r="UEJ57" s="608"/>
      <c r="UEK57" s="608"/>
      <c r="UEL57" s="608"/>
      <c r="UEM57" s="608"/>
      <c r="UEN57" s="608"/>
      <c r="UEO57" s="608"/>
      <c r="UEP57" s="608"/>
      <c r="UEQ57" s="608"/>
      <c r="UER57" s="608"/>
      <c r="UES57" s="608"/>
      <c r="UET57" s="608"/>
      <c r="UEU57" s="608"/>
      <c r="UEV57" s="608"/>
      <c r="UEW57" s="608"/>
      <c r="UEX57" s="608"/>
      <c r="UEY57" s="608"/>
      <c r="UEZ57" s="608"/>
      <c r="UFA57" s="608"/>
      <c r="UFB57" s="608"/>
      <c r="UFC57" s="608"/>
      <c r="UFD57" s="608"/>
      <c r="UFE57" s="608"/>
      <c r="UFF57" s="608"/>
      <c r="UFG57" s="608"/>
      <c r="UFH57" s="608"/>
      <c r="UFI57" s="608"/>
      <c r="UFJ57" s="608"/>
      <c r="UFK57" s="608"/>
      <c r="UFL57" s="608"/>
      <c r="UFM57" s="608"/>
      <c r="UFN57" s="608"/>
      <c r="UFO57" s="608"/>
      <c r="UFP57" s="608"/>
      <c r="UFQ57" s="608"/>
      <c r="UFR57" s="608"/>
      <c r="UFS57" s="608"/>
      <c r="UFT57" s="608"/>
      <c r="UFU57" s="608"/>
      <c r="UFV57" s="608"/>
      <c r="UFW57" s="608"/>
      <c r="UFX57" s="608"/>
      <c r="UFY57" s="608"/>
      <c r="UFZ57" s="608"/>
      <c r="UGA57" s="608"/>
      <c r="UGB57" s="608"/>
      <c r="UGC57" s="608"/>
      <c r="UGD57" s="608"/>
      <c r="UGE57" s="608"/>
      <c r="UGF57" s="608"/>
      <c r="UGG57" s="608"/>
      <c r="UGH57" s="608"/>
      <c r="UGI57" s="608"/>
      <c r="UGJ57" s="608"/>
      <c r="UGK57" s="608"/>
      <c r="UGL57" s="608"/>
      <c r="UGM57" s="608"/>
      <c r="UGN57" s="608"/>
      <c r="UGO57" s="608"/>
      <c r="UGP57" s="608"/>
      <c r="UGQ57" s="608"/>
      <c r="UGR57" s="608"/>
      <c r="UGS57" s="608"/>
      <c r="UGT57" s="608"/>
      <c r="UGU57" s="608"/>
      <c r="UGV57" s="608"/>
      <c r="UGW57" s="608"/>
      <c r="UGX57" s="608"/>
      <c r="UGY57" s="608"/>
      <c r="UGZ57" s="608"/>
      <c r="UHA57" s="608"/>
      <c r="UHB57" s="608"/>
      <c r="UHC57" s="608"/>
      <c r="UHD57" s="608"/>
      <c r="UHE57" s="608"/>
      <c r="UHF57" s="608"/>
      <c r="UHG57" s="608"/>
      <c r="UHH57" s="608"/>
      <c r="UHI57" s="608"/>
      <c r="UHJ57" s="608"/>
      <c r="UHK57" s="608"/>
      <c r="UHL57" s="608"/>
      <c r="UHM57" s="608"/>
      <c r="UHN57" s="608"/>
      <c r="UHO57" s="608"/>
      <c r="UHP57" s="608"/>
      <c r="UHQ57" s="608"/>
      <c r="UHR57" s="608"/>
      <c r="UHS57" s="608"/>
      <c r="UHT57" s="608"/>
      <c r="UHU57" s="608"/>
      <c r="UHV57" s="608"/>
      <c r="UHW57" s="608"/>
      <c r="UHX57" s="608"/>
      <c r="UHY57" s="608"/>
      <c r="UHZ57" s="608"/>
      <c r="UIA57" s="608"/>
      <c r="UIB57" s="608"/>
      <c r="UIC57" s="608"/>
      <c r="UID57" s="608"/>
      <c r="UIE57" s="608"/>
      <c r="UIF57" s="608"/>
      <c r="UIG57" s="608"/>
      <c r="UIH57" s="608"/>
      <c r="UII57" s="608"/>
      <c r="UIJ57" s="608"/>
      <c r="UIK57" s="608"/>
      <c r="UIL57" s="608"/>
      <c r="UIM57" s="608"/>
      <c r="UIN57" s="608"/>
      <c r="UIO57" s="608"/>
      <c r="UIP57" s="608"/>
      <c r="UIQ57" s="608"/>
      <c r="UIR57" s="608"/>
      <c r="UIS57" s="608"/>
      <c r="UIT57" s="608"/>
      <c r="UIU57" s="608"/>
      <c r="UIV57" s="608"/>
      <c r="UIW57" s="608"/>
      <c r="UIX57" s="608"/>
      <c r="UIY57" s="608"/>
      <c r="UIZ57" s="608"/>
      <c r="UJA57" s="608"/>
      <c r="UJB57" s="608"/>
      <c r="UJC57" s="608"/>
      <c r="UJD57" s="608"/>
      <c r="UJE57" s="608"/>
      <c r="UJF57" s="608"/>
      <c r="UJG57" s="608"/>
      <c r="UJH57" s="608"/>
      <c r="UJI57" s="608"/>
      <c r="UJJ57" s="608"/>
      <c r="UJK57" s="608"/>
      <c r="UJL57" s="608"/>
      <c r="UJM57" s="608"/>
      <c r="UJN57" s="608"/>
      <c r="UJO57" s="608"/>
      <c r="UJP57" s="608"/>
      <c r="UJQ57" s="608"/>
      <c r="UJR57" s="608"/>
      <c r="UJS57" s="608"/>
      <c r="UJT57" s="608"/>
      <c r="UJU57" s="608"/>
      <c r="UJV57" s="608"/>
      <c r="UJW57" s="608"/>
      <c r="UJX57" s="608"/>
      <c r="UJY57" s="608"/>
      <c r="UJZ57" s="608"/>
      <c r="UKA57" s="608"/>
      <c r="UKB57" s="608"/>
      <c r="UKC57" s="608"/>
      <c r="UKD57" s="608"/>
      <c r="UKE57" s="608"/>
      <c r="UKF57" s="608"/>
      <c r="UKG57" s="608"/>
      <c r="UKH57" s="608"/>
      <c r="UKI57" s="608"/>
      <c r="UKJ57" s="608"/>
      <c r="UKK57" s="608"/>
      <c r="UKL57" s="608"/>
      <c r="UKM57" s="608"/>
      <c r="UKN57" s="608"/>
      <c r="UKO57" s="608"/>
      <c r="UKP57" s="608"/>
      <c r="UKQ57" s="608"/>
      <c r="UKR57" s="608"/>
      <c r="UKS57" s="608"/>
      <c r="UKT57" s="608"/>
      <c r="UKU57" s="608"/>
      <c r="UKV57" s="608"/>
      <c r="UKW57" s="608"/>
      <c r="UKX57" s="608"/>
      <c r="UKY57" s="608"/>
      <c r="UKZ57" s="608"/>
      <c r="ULA57" s="608"/>
      <c r="ULB57" s="608"/>
      <c r="ULC57" s="608"/>
      <c r="ULD57" s="608"/>
      <c r="ULE57" s="608"/>
      <c r="ULF57" s="608"/>
      <c r="ULG57" s="608"/>
      <c r="ULH57" s="608"/>
      <c r="ULI57" s="608"/>
      <c r="ULJ57" s="608"/>
      <c r="ULK57" s="608"/>
      <c r="ULL57" s="608"/>
      <c r="ULM57" s="608"/>
      <c r="ULN57" s="608"/>
      <c r="ULO57" s="608"/>
      <c r="ULP57" s="608"/>
      <c r="ULQ57" s="608"/>
      <c r="ULR57" s="608"/>
      <c r="ULS57" s="608"/>
      <c r="ULT57" s="608"/>
      <c r="ULU57" s="608"/>
      <c r="ULV57" s="608"/>
      <c r="ULW57" s="608"/>
      <c r="ULX57" s="608"/>
      <c r="ULY57" s="608"/>
      <c r="ULZ57" s="608"/>
      <c r="UMA57" s="608"/>
      <c r="UMB57" s="608"/>
      <c r="UMC57" s="608"/>
      <c r="UMD57" s="608"/>
      <c r="UME57" s="608"/>
      <c r="UMF57" s="608"/>
      <c r="UMG57" s="608"/>
      <c r="UMH57" s="608"/>
      <c r="UMI57" s="608"/>
      <c r="UMJ57" s="608"/>
      <c r="UMK57" s="608"/>
      <c r="UML57" s="608"/>
      <c r="UMM57" s="608"/>
      <c r="UMN57" s="608"/>
      <c r="UMO57" s="608"/>
      <c r="UMP57" s="608"/>
      <c r="UMQ57" s="608"/>
      <c r="UMR57" s="608"/>
      <c r="UMS57" s="608"/>
      <c r="UMT57" s="608"/>
      <c r="UMU57" s="608"/>
      <c r="UMV57" s="608"/>
      <c r="UMW57" s="608"/>
      <c r="UMX57" s="608"/>
      <c r="UMY57" s="608"/>
      <c r="UMZ57" s="608"/>
      <c r="UNA57" s="608"/>
      <c r="UNB57" s="608"/>
      <c r="UNC57" s="608"/>
      <c r="UND57" s="608"/>
      <c r="UNE57" s="608"/>
      <c r="UNF57" s="608"/>
      <c r="UNG57" s="608"/>
      <c r="UNH57" s="608"/>
      <c r="UNI57" s="608"/>
      <c r="UNJ57" s="608"/>
      <c r="UNK57" s="608"/>
      <c r="UNL57" s="608"/>
      <c r="UNM57" s="608"/>
      <c r="UNN57" s="608"/>
      <c r="UNO57" s="608"/>
      <c r="UNP57" s="608"/>
      <c r="UNQ57" s="608"/>
      <c r="UNR57" s="608"/>
      <c r="UNS57" s="608"/>
      <c r="UNT57" s="608"/>
      <c r="UNU57" s="608"/>
      <c r="UNV57" s="608"/>
      <c r="UNW57" s="608"/>
      <c r="UNX57" s="608"/>
      <c r="UNY57" s="608"/>
      <c r="UNZ57" s="608"/>
      <c r="UOA57" s="608"/>
      <c r="UOB57" s="608"/>
      <c r="UOC57" s="608"/>
      <c r="UOD57" s="608"/>
      <c r="UOE57" s="608"/>
      <c r="UOF57" s="608"/>
      <c r="UOG57" s="608"/>
      <c r="UOH57" s="608"/>
      <c r="UOI57" s="608"/>
      <c r="UOJ57" s="608"/>
      <c r="UOK57" s="608"/>
      <c r="UOL57" s="608"/>
      <c r="UOM57" s="608"/>
      <c r="UON57" s="608"/>
      <c r="UOO57" s="608"/>
      <c r="UOP57" s="608"/>
      <c r="UOQ57" s="608"/>
      <c r="UOR57" s="608"/>
      <c r="UOS57" s="608"/>
      <c r="UOT57" s="608"/>
      <c r="UOU57" s="608"/>
      <c r="UOV57" s="608"/>
      <c r="UOW57" s="608"/>
      <c r="UOX57" s="608"/>
      <c r="UOY57" s="608"/>
      <c r="UOZ57" s="608"/>
      <c r="UPA57" s="608"/>
      <c r="UPB57" s="608"/>
      <c r="UPC57" s="608"/>
      <c r="UPD57" s="608"/>
      <c r="UPE57" s="608"/>
      <c r="UPF57" s="608"/>
      <c r="UPG57" s="608"/>
      <c r="UPH57" s="608"/>
      <c r="UPI57" s="608"/>
      <c r="UPJ57" s="608"/>
      <c r="UPK57" s="608"/>
      <c r="UPL57" s="608"/>
      <c r="UPM57" s="608"/>
      <c r="UPN57" s="608"/>
      <c r="UPO57" s="608"/>
      <c r="UPP57" s="608"/>
      <c r="UPQ57" s="608"/>
      <c r="UPR57" s="608"/>
      <c r="UPS57" s="608"/>
      <c r="UPT57" s="608"/>
      <c r="UPU57" s="608"/>
      <c r="UPV57" s="608"/>
      <c r="UPW57" s="608"/>
      <c r="UPX57" s="608"/>
      <c r="UPY57" s="608"/>
      <c r="UPZ57" s="608"/>
      <c r="UQA57" s="608"/>
      <c r="UQB57" s="608"/>
      <c r="UQC57" s="608"/>
      <c r="UQD57" s="608"/>
      <c r="UQE57" s="608"/>
      <c r="UQF57" s="608"/>
      <c r="UQG57" s="608"/>
      <c r="UQH57" s="608"/>
      <c r="UQI57" s="608"/>
      <c r="UQJ57" s="608"/>
      <c r="UQK57" s="608"/>
      <c r="UQL57" s="608"/>
      <c r="UQM57" s="608"/>
      <c r="UQN57" s="608"/>
      <c r="UQO57" s="608"/>
      <c r="UQP57" s="608"/>
      <c r="UQQ57" s="608"/>
      <c r="UQR57" s="608"/>
      <c r="UQS57" s="608"/>
      <c r="UQT57" s="608"/>
      <c r="UQU57" s="608"/>
      <c r="UQV57" s="608"/>
      <c r="UQW57" s="608"/>
      <c r="UQX57" s="608"/>
      <c r="UQY57" s="608"/>
      <c r="UQZ57" s="608"/>
      <c r="URA57" s="608"/>
      <c r="URB57" s="608"/>
      <c r="URC57" s="608"/>
      <c r="URD57" s="608"/>
      <c r="URE57" s="608"/>
      <c r="URF57" s="608"/>
      <c r="URG57" s="608"/>
      <c r="URH57" s="608"/>
      <c r="URI57" s="608"/>
      <c r="URJ57" s="608"/>
      <c r="URK57" s="608"/>
      <c r="URL57" s="608"/>
      <c r="URM57" s="608"/>
      <c r="URN57" s="608"/>
      <c r="URO57" s="608"/>
      <c r="URP57" s="608"/>
      <c r="URQ57" s="608"/>
      <c r="URR57" s="608"/>
      <c r="URS57" s="608"/>
      <c r="URT57" s="608"/>
      <c r="URU57" s="608"/>
      <c r="URV57" s="608"/>
      <c r="URW57" s="608"/>
      <c r="URX57" s="608"/>
      <c r="URY57" s="608"/>
      <c r="URZ57" s="608"/>
      <c r="USA57" s="608"/>
      <c r="USB57" s="608"/>
      <c r="USC57" s="608"/>
      <c r="USD57" s="608"/>
      <c r="USE57" s="608"/>
      <c r="USF57" s="608"/>
      <c r="USG57" s="608"/>
      <c r="USH57" s="608"/>
      <c r="USI57" s="608"/>
      <c r="USJ57" s="608"/>
      <c r="USK57" s="608"/>
      <c r="USL57" s="608"/>
      <c r="USM57" s="608"/>
      <c r="USN57" s="608"/>
      <c r="USO57" s="608"/>
      <c r="USP57" s="608"/>
      <c r="USQ57" s="608"/>
      <c r="USR57" s="608"/>
      <c r="USS57" s="608"/>
      <c r="UST57" s="608"/>
      <c r="USU57" s="608"/>
      <c r="USV57" s="608"/>
      <c r="USW57" s="608"/>
      <c r="USX57" s="608"/>
      <c r="USY57" s="608"/>
      <c r="USZ57" s="608"/>
      <c r="UTA57" s="608"/>
      <c r="UTB57" s="608"/>
      <c r="UTC57" s="608"/>
      <c r="UTD57" s="608"/>
      <c r="UTE57" s="608"/>
      <c r="UTF57" s="608"/>
      <c r="UTG57" s="608"/>
      <c r="UTH57" s="608"/>
      <c r="UTI57" s="608"/>
      <c r="UTJ57" s="608"/>
      <c r="UTK57" s="608"/>
      <c r="UTL57" s="608"/>
      <c r="UTM57" s="608"/>
      <c r="UTN57" s="608"/>
      <c r="UTO57" s="608"/>
      <c r="UTP57" s="608"/>
      <c r="UTQ57" s="608"/>
      <c r="UTR57" s="608"/>
      <c r="UTS57" s="608"/>
      <c r="UTT57" s="608"/>
      <c r="UTU57" s="608"/>
      <c r="UTV57" s="608"/>
      <c r="UTW57" s="608"/>
      <c r="UTX57" s="608"/>
      <c r="UTY57" s="608"/>
      <c r="UTZ57" s="608"/>
      <c r="UUA57" s="608"/>
      <c r="UUB57" s="608"/>
      <c r="UUC57" s="608"/>
      <c r="UUD57" s="608"/>
      <c r="UUE57" s="608"/>
      <c r="UUF57" s="608"/>
      <c r="UUG57" s="608"/>
      <c r="UUH57" s="608"/>
      <c r="UUI57" s="608"/>
      <c r="UUJ57" s="608"/>
      <c r="UUK57" s="608"/>
      <c r="UUL57" s="608"/>
      <c r="UUM57" s="608"/>
      <c r="UUN57" s="608"/>
      <c r="UUO57" s="608"/>
      <c r="UUP57" s="608"/>
      <c r="UUQ57" s="608"/>
      <c r="UUR57" s="608"/>
      <c r="UUS57" s="608"/>
      <c r="UUT57" s="608"/>
      <c r="UUU57" s="608"/>
      <c r="UUV57" s="608"/>
      <c r="UUW57" s="608"/>
      <c r="UUX57" s="608"/>
      <c r="UUY57" s="608"/>
      <c r="UUZ57" s="608"/>
      <c r="UVA57" s="608"/>
      <c r="UVB57" s="608"/>
      <c r="UVC57" s="608"/>
      <c r="UVD57" s="608"/>
      <c r="UVE57" s="608"/>
      <c r="UVF57" s="608"/>
      <c r="UVG57" s="608"/>
      <c r="UVH57" s="608"/>
      <c r="UVI57" s="608"/>
      <c r="UVJ57" s="608"/>
      <c r="UVK57" s="608"/>
      <c r="UVL57" s="608"/>
      <c r="UVM57" s="608"/>
      <c r="UVN57" s="608"/>
      <c r="UVO57" s="608"/>
      <c r="UVP57" s="608"/>
      <c r="UVQ57" s="608"/>
      <c r="UVR57" s="608"/>
      <c r="UVS57" s="608"/>
      <c r="UVT57" s="608"/>
      <c r="UVU57" s="608"/>
      <c r="UVV57" s="608"/>
      <c r="UVW57" s="608"/>
      <c r="UVX57" s="608"/>
      <c r="UVY57" s="608"/>
      <c r="UVZ57" s="608"/>
      <c r="UWA57" s="608"/>
      <c r="UWB57" s="608"/>
      <c r="UWC57" s="608"/>
      <c r="UWD57" s="608"/>
      <c r="UWE57" s="608"/>
      <c r="UWF57" s="608"/>
      <c r="UWG57" s="608"/>
      <c r="UWH57" s="608"/>
      <c r="UWI57" s="608"/>
      <c r="UWJ57" s="608"/>
      <c r="UWK57" s="608"/>
      <c r="UWL57" s="608"/>
      <c r="UWM57" s="608"/>
      <c r="UWN57" s="608"/>
      <c r="UWO57" s="608"/>
      <c r="UWP57" s="608"/>
      <c r="UWQ57" s="608"/>
      <c r="UWR57" s="608"/>
      <c r="UWS57" s="608"/>
      <c r="UWT57" s="608"/>
      <c r="UWU57" s="608"/>
      <c r="UWV57" s="608"/>
      <c r="UWW57" s="608"/>
      <c r="UWX57" s="608"/>
      <c r="UWY57" s="608"/>
      <c r="UWZ57" s="608"/>
      <c r="UXA57" s="608"/>
      <c r="UXB57" s="608"/>
      <c r="UXC57" s="608"/>
      <c r="UXD57" s="608"/>
      <c r="UXE57" s="608"/>
      <c r="UXF57" s="608"/>
      <c r="UXG57" s="608"/>
      <c r="UXH57" s="608"/>
      <c r="UXI57" s="608"/>
      <c r="UXJ57" s="608"/>
      <c r="UXK57" s="608"/>
      <c r="UXL57" s="608"/>
      <c r="UXM57" s="608"/>
      <c r="UXN57" s="608"/>
      <c r="UXO57" s="608"/>
      <c r="UXP57" s="608"/>
      <c r="UXQ57" s="608"/>
      <c r="UXR57" s="608"/>
      <c r="UXS57" s="608"/>
      <c r="UXT57" s="608"/>
      <c r="UXU57" s="608"/>
      <c r="UXV57" s="608"/>
      <c r="UXW57" s="608"/>
      <c r="UXX57" s="608"/>
      <c r="UXY57" s="608"/>
      <c r="UXZ57" s="608"/>
      <c r="UYA57" s="608"/>
      <c r="UYB57" s="608"/>
      <c r="UYC57" s="608"/>
      <c r="UYD57" s="608"/>
      <c r="UYE57" s="608"/>
      <c r="UYF57" s="608"/>
      <c r="UYG57" s="608"/>
      <c r="UYH57" s="608"/>
      <c r="UYI57" s="608"/>
      <c r="UYJ57" s="608"/>
      <c r="UYK57" s="608"/>
      <c r="UYL57" s="608"/>
      <c r="UYM57" s="608"/>
      <c r="UYN57" s="608"/>
      <c r="UYO57" s="608"/>
      <c r="UYP57" s="608"/>
      <c r="UYQ57" s="608"/>
      <c r="UYR57" s="608"/>
      <c r="UYS57" s="608"/>
      <c r="UYT57" s="608"/>
      <c r="UYU57" s="608"/>
      <c r="UYV57" s="608"/>
      <c r="UYW57" s="608"/>
      <c r="UYX57" s="608"/>
      <c r="UYY57" s="608"/>
      <c r="UYZ57" s="608"/>
      <c r="UZA57" s="608"/>
      <c r="UZB57" s="608"/>
      <c r="UZC57" s="608"/>
      <c r="UZD57" s="608"/>
      <c r="UZE57" s="608"/>
      <c r="UZF57" s="608"/>
      <c r="UZG57" s="608"/>
      <c r="UZH57" s="608"/>
      <c r="UZI57" s="608"/>
      <c r="UZJ57" s="608"/>
      <c r="UZK57" s="608"/>
      <c r="UZL57" s="608"/>
      <c r="UZM57" s="608"/>
      <c r="UZN57" s="608"/>
      <c r="UZO57" s="608"/>
      <c r="UZP57" s="608"/>
      <c r="UZQ57" s="608"/>
      <c r="UZR57" s="608"/>
      <c r="UZS57" s="608"/>
      <c r="UZT57" s="608"/>
      <c r="UZU57" s="608"/>
      <c r="UZV57" s="608"/>
      <c r="UZW57" s="608"/>
      <c r="UZX57" s="608"/>
      <c r="UZY57" s="608"/>
      <c r="UZZ57" s="608"/>
      <c r="VAA57" s="608"/>
      <c r="VAB57" s="608"/>
      <c r="VAC57" s="608"/>
      <c r="VAD57" s="608"/>
      <c r="VAE57" s="608"/>
      <c r="VAF57" s="608"/>
      <c r="VAG57" s="608"/>
      <c r="VAH57" s="608"/>
      <c r="VAI57" s="608"/>
      <c r="VAJ57" s="608"/>
      <c r="VAK57" s="608"/>
      <c r="VAL57" s="608"/>
      <c r="VAM57" s="608"/>
      <c r="VAN57" s="608"/>
      <c r="VAO57" s="608"/>
      <c r="VAP57" s="608"/>
      <c r="VAQ57" s="608"/>
      <c r="VAR57" s="608"/>
      <c r="VAS57" s="608"/>
      <c r="VAT57" s="608"/>
      <c r="VAU57" s="608"/>
      <c r="VAV57" s="608"/>
      <c r="VAW57" s="608"/>
      <c r="VAX57" s="608"/>
      <c r="VAY57" s="608"/>
      <c r="VAZ57" s="608"/>
      <c r="VBA57" s="608"/>
      <c r="VBB57" s="608"/>
      <c r="VBC57" s="608"/>
      <c r="VBD57" s="608"/>
      <c r="VBE57" s="608"/>
      <c r="VBF57" s="608"/>
      <c r="VBG57" s="608"/>
      <c r="VBH57" s="608"/>
      <c r="VBI57" s="608"/>
      <c r="VBJ57" s="608"/>
      <c r="VBK57" s="608"/>
      <c r="VBL57" s="608"/>
      <c r="VBM57" s="608"/>
      <c r="VBN57" s="608"/>
      <c r="VBO57" s="608"/>
      <c r="VBP57" s="608"/>
      <c r="VBQ57" s="608"/>
      <c r="VBR57" s="608"/>
      <c r="VBS57" s="608"/>
      <c r="VBT57" s="608"/>
      <c r="VBU57" s="608"/>
      <c r="VBV57" s="608"/>
      <c r="VBW57" s="608"/>
      <c r="VBX57" s="608"/>
      <c r="VBY57" s="608"/>
      <c r="VBZ57" s="608"/>
      <c r="VCA57" s="608"/>
      <c r="VCB57" s="608"/>
      <c r="VCC57" s="608"/>
      <c r="VCD57" s="608"/>
      <c r="VCE57" s="608"/>
      <c r="VCF57" s="608"/>
      <c r="VCG57" s="608"/>
      <c r="VCH57" s="608"/>
      <c r="VCI57" s="608"/>
      <c r="VCJ57" s="608"/>
      <c r="VCK57" s="608"/>
      <c r="VCL57" s="608"/>
      <c r="VCM57" s="608"/>
      <c r="VCN57" s="608"/>
      <c r="VCO57" s="608"/>
      <c r="VCP57" s="608"/>
      <c r="VCQ57" s="608"/>
      <c r="VCR57" s="608"/>
      <c r="VCS57" s="608"/>
      <c r="VCT57" s="608"/>
      <c r="VCU57" s="608"/>
      <c r="VCV57" s="608"/>
      <c r="VCW57" s="608"/>
      <c r="VCX57" s="608"/>
      <c r="VCY57" s="608"/>
      <c r="VCZ57" s="608"/>
      <c r="VDA57" s="608"/>
      <c r="VDB57" s="608"/>
      <c r="VDC57" s="608"/>
      <c r="VDD57" s="608"/>
      <c r="VDE57" s="608"/>
      <c r="VDF57" s="608"/>
      <c r="VDG57" s="608"/>
      <c r="VDH57" s="608"/>
      <c r="VDI57" s="608"/>
      <c r="VDJ57" s="608"/>
      <c r="VDK57" s="608"/>
      <c r="VDL57" s="608"/>
      <c r="VDM57" s="608"/>
      <c r="VDN57" s="608"/>
      <c r="VDO57" s="608"/>
      <c r="VDP57" s="608"/>
      <c r="VDQ57" s="608"/>
      <c r="VDR57" s="608"/>
      <c r="VDS57" s="608"/>
      <c r="VDT57" s="608"/>
      <c r="VDU57" s="608"/>
      <c r="VDV57" s="608"/>
      <c r="VDW57" s="608"/>
      <c r="VDX57" s="608"/>
      <c r="VDY57" s="608"/>
      <c r="VDZ57" s="608"/>
      <c r="VEA57" s="608"/>
      <c r="VEB57" s="608"/>
      <c r="VEC57" s="608"/>
      <c r="VED57" s="608"/>
      <c r="VEE57" s="608"/>
      <c r="VEF57" s="608"/>
      <c r="VEG57" s="608"/>
      <c r="VEH57" s="608"/>
      <c r="VEI57" s="608"/>
      <c r="VEJ57" s="608"/>
      <c r="VEK57" s="608"/>
      <c r="VEL57" s="608"/>
      <c r="VEM57" s="608"/>
      <c r="VEN57" s="608"/>
      <c r="VEO57" s="608"/>
      <c r="VEP57" s="608"/>
      <c r="VEQ57" s="608"/>
      <c r="VER57" s="608"/>
      <c r="VES57" s="608"/>
      <c r="VET57" s="608"/>
      <c r="VEU57" s="608"/>
      <c r="VEV57" s="608"/>
      <c r="VEW57" s="608"/>
      <c r="VEX57" s="608"/>
      <c r="VEY57" s="608"/>
      <c r="VEZ57" s="608"/>
      <c r="VFA57" s="608"/>
      <c r="VFB57" s="608"/>
      <c r="VFC57" s="608"/>
      <c r="VFD57" s="608"/>
      <c r="VFE57" s="608"/>
      <c r="VFF57" s="608"/>
      <c r="VFG57" s="608"/>
      <c r="VFH57" s="608"/>
      <c r="VFI57" s="608"/>
      <c r="VFJ57" s="608"/>
      <c r="VFK57" s="608"/>
      <c r="VFL57" s="608"/>
      <c r="VFM57" s="608"/>
      <c r="VFN57" s="608"/>
      <c r="VFO57" s="608"/>
      <c r="VFP57" s="608"/>
      <c r="VFQ57" s="608"/>
      <c r="VFR57" s="608"/>
      <c r="VFS57" s="608"/>
      <c r="VFT57" s="608"/>
      <c r="VFU57" s="608"/>
      <c r="VFV57" s="608"/>
      <c r="VFW57" s="608"/>
      <c r="VFX57" s="608"/>
      <c r="VFY57" s="608"/>
      <c r="VFZ57" s="608"/>
      <c r="VGA57" s="608"/>
      <c r="VGB57" s="608"/>
      <c r="VGC57" s="608"/>
      <c r="VGD57" s="608"/>
      <c r="VGE57" s="608"/>
      <c r="VGF57" s="608"/>
      <c r="VGG57" s="608"/>
      <c r="VGH57" s="608"/>
      <c r="VGI57" s="608"/>
      <c r="VGJ57" s="608"/>
      <c r="VGK57" s="608"/>
      <c r="VGL57" s="608"/>
      <c r="VGM57" s="608"/>
      <c r="VGN57" s="608"/>
      <c r="VGO57" s="608"/>
      <c r="VGP57" s="608"/>
      <c r="VGQ57" s="608"/>
      <c r="VGR57" s="608"/>
      <c r="VGS57" s="608"/>
      <c r="VGT57" s="608"/>
      <c r="VGU57" s="608"/>
      <c r="VGV57" s="608"/>
      <c r="VGW57" s="608"/>
      <c r="VGX57" s="608"/>
      <c r="VGY57" s="608"/>
      <c r="VGZ57" s="608"/>
      <c r="VHA57" s="608"/>
      <c r="VHB57" s="608"/>
      <c r="VHC57" s="608"/>
      <c r="VHD57" s="608"/>
      <c r="VHE57" s="608"/>
      <c r="VHF57" s="608"/>
      <c r="VHG57" s="608"/>
      <c r="VHH57" s="608"/>
      <c r="VHI57" s="608"/>
      <c r="VHJ57" s="608"/>
      <c r="VHK57" s="608"/>
      <c r="VHL57" s="608"/>
      <c r="VHM57" s="608"/>
      <c r="VHN57" s="608"/>
      <c r="VHO57" s="608"/>
      <c r="VHP57" s="608"/>
      <c r="VHQ57" s="608"/>
      <c r="VHR57" s="608"/>
      <c r="VHS57" s="608"/>
      <c r="VHT57" s="608"/>
      <c r="VHU57" s="608"/>
      <c r="VHV57" s="608"/>
      <c r="VHW57" s="608"/>
      <c r="VHX57" s="608"/>
      <c r="VHY57" s="608"/>
      <c r="VHZ57" s="608"/>
      <c r="VIA57" s="608"/>
      <c r="VIB57" s="608"/>
      <c r="VIC57" s="608"/>
      <c r="VID57" s="608"/>
      <c r="VIE57" s="608"/>
      <c r="VIF57" s="608"/>
      <c r="VIG57" s="608"/>
      <c r="VIH57" s="608"/>
      <c r="VII57" s="608"/>
      <c r="VIJ57" s="608"/>
      <c r="VIK57" s="608"/>
      <c r="VIL57" s="608"/>
      <c r="VIM57" s="608"/>
      <c r="VIN57" s="608"/>
      <c r="VIO57" s="608"/>
      <c r="VIP57" s="608"/>
      <c r="VIQ57" s="608"/>
      <c r="VIR57" s="608"/>
      <c r="VIS57" s="608"/>
      <c r="VIT57" s="608"/>
      <c r="VIU57" s="608"/>
      <c r="VIV57" s="608"/>
      <c r="VIW57" s="608"/>
      <c r="VIX57" s="608"/>
      <c r="VIY57" s="608"/>
      <c r="VIZ57" s="608"/>
      <c r="VJA57" s="608"/>
      <c r="VJB57" s="608"/>
      <c r="VJC57" s="608"/>
      <c r="VJD57" s="608"/>
      <c r="VJE57" s="608"/>
      <c r="VJF57" s="608"/>
      <c r="VJG57" s="608"/>
      <c r="VJH57" s="608"/>
      <c r="VJI57" s="608"/>
      <c r="VJJ57" s="608"/>
      <c r="VJK57" s="608"/>
      <c r="VJL57" s="608"/>
      <c r="VJM57" s="608"/>
      <c r="VJN57" s="608"/>
      <c r="VJO57" s="608"/>
      <c r="VJP57" s="608"/>
      <c r="VJQ57" s="608"/>
      <c r="VJR57" s="608"/>
      <c r="VJS57" s="608"/>
      <c r="VJT57" s="608"/>
      <c r="VJU57" s="608"/>
      <c r="VJV57" s="608"/>
      <c r="VJW57" s="608"/>
      <c r="VJX57" s="608"/>
      <c r="VJY57" s="608"/>
      <c r="VJZ57" s="608"/>
      <c r="VKA57" s="608"/>
      <c r="VKB57" s="608"/>
      <c r="VKC57" s="608"/>
      <c r="VKD57" s="608"/>
      <c r="VKE57" s="608"/>
      <c r="VKF57" s="608"/>
      <c r="VKG57" s="608"/>
      <c r="VKH57" s="608"/>
      <c r="VKI57" s="608"/>
      <c r="VKJ57" s="608"/>
      <c r="VKK57" s="608"/>
      <c r="VKL57" s="608"/>
      <c r="VKM57" s="608"/>
      <c r="VKN57" s="608"/>
      <c r="VKO57" s="608"/>
      <c r="VKP57" s="608"/>
      <c r="VKQ57" s="608"/>
      <c r="VKR57" s="608"/>
      <c r="VKS57" s="608"/>
      <c r="VKT57" s="608"/>
      <c r="VKU57" s="608"/>
      <c r="VKV57" s="608"/>
      <c r="VKW57" s="608"/>
      <c r="VKX57" s="608"/>
      <c r="VKY57" s="608"/>
      <c r="VKZ57" s="608"/>
      <c r="VLA57" s="608"/>
      <c r="VLB57" s="608"/>
      <c r="VLC57" s="608"/>
      <c r="VLD57" s="608"/>
      <c r="VLE57" s="608"/>
      <c r="VLF57" s="608"/>
      <c r="VLG57" s="608"/>
      <c r="VLH57" s="608"/>
      <c r="VLI57" s="608"/>
      <c r="VLJ57" s="608"/>
      <c r="VLK57" s="608"/>
      <c r="VLL57" s="608"/>
      <c r="VLM57" s="608"/>
      <c r="VLN57" s="608"/>
      <c r="VLO57" s="608"/>
      <c r="VLP57" s="608"/>
      <c r="VLQ57" s="608"/>
      <c r="VLR57" s="608"/>
      <c r="VLS57" s="608"/>
      <c r="VLT57" s="608"/>
      <c r="VLU57" s="608"/>
      <c r="VLV57" s="608"/>
      <c r="VLW57" s="608"/>
      <c r="VLX57" s="608"/>
      <c r="VLY57" s="608"/>
      <c r="VLZ57" s="608"/>
      <c r="VMA57" s="608"/>
      <c r="VMB57" s="608"/>
      <c r="VMC57" s="608"/>
      <c r="VMD57" s="608"/>
      <c r="VME57" s="608"/>
      <c r="VMF57" s="608"/>
      <c r="VMG57" s="608"/>
      <c r="VMH57" s="608"/>
      <c r="VMI57" s="608"/>
      <c r="VMJ57" s="608"/>
      <c r="VMK57" s="608"/>
      <c r="VML57" s="608"/>
      <c r="VMM57" s="608"/>
      <c r="VMN57" s="608"/>
      <c r="VMO57" s="608"/>
      <c r="VMP57" s="608"/>
      <c r="VMQ57" s="608"/>
      <c r="VMR57" s="608"/>
      <c r="VMS57" s="608"/>
      <c r="VMT57" s="608"/>
      <c r="VMU57" s="608"/>
      <c r="VMV57" s="608"/>
      <c r="VMW57" s="608"/>
      <c r="VMX57" s="608"/>
      <c r="VMY57" s="608"/>
      <c r="VMZ57" s="608"/>
      <c r="VNA57" s="608"/>
      <c r="VNB57" s="608"/>
      <c r="VNC57" s="608"/>
      <c r="VND57" s="608"/>
      <c r="VNE57" s="608"/>
      <c r="VNF57" s="608"/>
      <c r="VNG57" s="608"/>
      <c r="VNH57" s="608"/>
      <c r="VNI57" s="608"/>
      <c r="VNJ57" s="608"/>
      <c r="VNK57" s="608"/>
      <c r="VNL57" s="608"/>
      <c r="VNM57" s="608"/>
      <c r="VNN57" s="608"/>
      <c r="VNO57" s="608"/>
      <c r="VNP57" s="608"/>
      <c r="VNQ57" s="608"/>
      <c r="VNR57" s="608"/>
      <c r="VNS57" s="608"/>
      <c r="VNT57" s="608"/>
      <c r="VNU57" s="608"/>
      <c r="VNV57" s="608"/>
      <c r="VNW57" s="608"/>
      <c r="VNX57" s="608"/>
      <c r="VNY57" s="608"/>
      <c r="VNZ57" s="608"/>
      <c r="VOA57" s="608"/>
      <c r="VOB57" s="608"/>
      <c r="VOC57" s="608"/>
      <c r="VOD57" s="608"/>
      <c r="VOE57" s="608"/>
      <c r="VOF57" s="608"/>
      <c r="VOG57" s="608"/>
      <c r="VOH57" s="608"/>
      <c r="VOI57" s="608"/>
      <c r="VOJ57" s="608"/>
      <c r="VOK57" s="608"/>
      <c r="VOL57" s="608"/>
      <c r="VOM57" s="608"/>
      <c r="VON57" s="608"/>
      <c r="VOO57" s="608"/>
      <c r="VOP57" s="608"/>
      <c r="VOQ57" s="608"/>
      <c r="VOR57" s="608"/>
      <c r="VOS57" s="608"/>
      <c r="VOT57" s="608"/>
      <c r="VOU57" s="608"/>
      <c r="VOV57" s="608"/>
      <c r="VOW57" s="608"/>
      <c r="VOX57" s="608"/>
      <c r="VOY57" s="608"/>
      <c r="VOZ57" s="608"/>
      <c r="VPA57" s="608"/>
      <c r="VPB57" s="608"/>
      <c r="VPC57" s="608"/>
      <c r="VPD57" s="608"/>
      <c r="VPE57" s="608"/>
      <c r="VPF57" s="608"/>
      <c r="VPG57" s="608"/>
      <c r="VPH57" s="608"/>
      <c r="VPI57" s="608"/>
      <c r="VPJ57" s="608"/>
      <c r="VPK57" s="608"/>
      <c r="VPL57" s="608"/>
      <c r="VPM57" s="608"/>
      <c r="VPN57" s="608"/>
      <c r="VPO57" s="608"/>
      <c r="VPP57" s="608"/>
      <c r="VPQ57" s="608"/>
      <c r="VPR57" s="608"/>
      <c r="VPS57" s="608"/>
      <c r="VPT57" s="608"/>
      <c r="VPU57" s="608"/>
      <c r="VPV57" s="608"/>
      <c r="VPW57" s="608"/>
      <c r="VPX57" s="608"/>
      <c r="VPY57" s="608"/>
      <c r="VPZ57" s="608"/>
      <c r="VQA57" s="608"/>
      <c r="VQB57" s="608"/>
      <c r="VQC57" s="608"/>
      <c r="VQD57" s="608"/>
      <c r="VQE57" s="608"/>
      <c r="VQF57" s="608"/>
      <c r="VQG57" s="608"/>
      <c r="VQH57" s="608"/>
      <c r="VQI57" s="608"/>
      <c r="VQJ57" s="608"/>
      <c r="VQK57" s="608"/>
      <c r="VQL57" s="608"/>
      <c r="VQM57" s="608"/>
      <c r="VQN57" s="608"/>
      <c r="VQO57" s="608"/>
      <c r="VQP57" s="608"/>
      <c r="VQQ57" s="608"/>
      <c r="VQR57" s="608"/>
      <c r="VQS57" s="608"/>
      <c r="VQT57" s="608"/>
      <c r="VQU57" s="608"/>
      <c r="VQV57" s="608"/>
      <c r="VQW57" s="608"/>
      <c r="VQX57" s="608"/>
      <c r="VQY57" s="608"/>
      <c r="VQZ57" s="608"/>
      <c r="VRA57" s="608"/>
      <c r="VRB57" s="608"/>
      <c r="VRC57" s="608"/>
      <c r="VRD57" s="608"/>
      <c r="VRE57" s="608"/>
      <c r="VRF57" s="608"/>
      <c r="VRG57" s="608"/>
      <c r="VRH57" s="608"/>
      <c r="VRI57" s="608"/>
      <c r="VRJ57" s="608"/>
      <c r="VRK57" s="608"/>
      <c r="VRL57" s="608"/>
      <c r="VRM57" s="608"/>
      <c r="VRN57" s="608"/>
      <c r="VRO57" s="608"/>
      <c r="VRP57" s="608"/>
      <c r="VRQ57" s="608"/>
      <c r="VRR57" s="608"/>
      <c r="VRS57" s="608"/>
      <c r="VRT57" s="608"/>
      <c r="VRU57" s="608"/>
      <c r="VRV57" s="608"/>
      <c r="VRW57" s="608"/>
      <c r="VRX57" s="608"/>
      <c r="VRY57" s="608"/>
      <c r="VRZ57" s="608"/>
      <c r="VSA57" s="608"/>
      <c r="VSB57" s="608"/>
      <c r="VSC57" s="608"/>
      <c r="VSD57" s="608"/>
      <c r="VSE57" s="608"/>
      <c r="VSF57" s="608"/>
      <c r="VSG57" s="608"/>
      <c r="VSH57" s="608"/>
      <c r="VSI57" s="608"/>
      <c r="VSJ57" s="608"/>
      <c r="VSK57" s="608"/>
      <c r="VSL57" s="608"/>
      <c r="VSM57" s="608"/>
      <c r="VSN57" s="608"/>
      <c r="VSO57" s="608"/>
      <c r="VSP57" s="608"/>
      <c r="VSQ57" s="608"/>
      <c r="VSR57" s="608"/>
      <c r="VSS57" s="608"/>
      <c r="VST57" s="608"/>
      <c r="VSU57" s="608"/>
      <c r="VSV57" s="608"/>
      <c r="VSW57" s="608"/>
      <c r="VSX57" s="608"/>
      <c r="VSY57" s="608"/>
      <c r="VSZ57" s="608"/>
      <c r="VTA57" s="608"/>
      <c r="VTB57" s="608"/>
      <c r="VTC57" s="608"/>
      <c r="VTD57" s="608"/>
      <c r="VTE57" s="608"/>
      <c r="VTF57" s="608"/>
      <c r="VTG57" s="608"/>
      <c r="VTH57" s="608"/>
      <c r="VTI57" s="608"/>
      <c r="VTJ57" s="608"/>
      <c r="VTK57" s="608"/>
      <c r="VTL57" s="608"/>
      <c r="VTM57" s="608"/>
      <c r="VTN57" s="608"/>
      <c r="VTO57" s="608"/>
      <c r="VTP57" s="608"/>
      <c r="VTQ57" s="608"/>
      <c r="VTR57" s="608"/>
      <c r="VTS57" s="608"/>
      <c r="VTT57" s="608"/>
      <c r="VTU57" s="608"/>
      <c r="VTV57" s="608"/>
      <c r="VTW57" s="608"/>
      <c r="VTX57" s="608"/>
      <c r="VTY57" s="608"/>
      <c r="VTZ57" s="608"/>
      <c r="VUA57" s="608"/>
      <c r="VUB57" s="608"/>
      <c r="VUC57" s="608"/>
      <c r="VUD57" s="608"/>
      <c r="VUE57" s="608"/>
      <c r="VUF57" s="608"/>
      <c r="VUG57" s="608"/>
      <c r="VUH57" s="608"/>
      <c r="VUI57" s="608"/>
      <c r="VUJ57" s="608"/>
      <c r="VUK57" s="608"/>
      <c r="VUL57" s="608"/>
      <c r="VUM57" s="608"/>
      <c r="VUN57" s="608"/>
      <c r="VUO57" s="608"/>
      <c r="VUP57" s="608"/>
      <c r="VUQ57" s="608"/>
      <c r="VUR57" s="608"/>
      <c r="VUS57" s="608"/>
      <c r="VUT57" s="608"/>
      <c r="VUU57" s="608"/>
      <c r="VUV57" s="608"/>
      <c r="VUW57" s="608"/>
      <c r="VUX57" s="608"/>
      <c r="VUY57" s="608"/>
      <c r="VUZ57" s="608"/>
      <c r="VVA57" s="608"/>
      <c r="VVB57" s="608"/>
      <c r="VVC57" s="608"/>
      <c r="VVD57" s="608"/>
      <c r="VVE57" s="608"/>
      <c r="VVF57" s="608"/>
      <c r="VVG57" s="608"/>
      <c r="VVH57" s="608"/>
      <c r="VVI57" s="608"/>
      <c r="VVJ57" s="608"/>
      <c r="VVK57" s="608"/>
      <c r="VVL57" s="608"/>
      <c r="VVM57" s="608"/>
      <c r="VVN57" s="608"/>
      <c r="VVO57" s="608"/>
      <c r="VVP57" s="608"/>
      <c r="VVQ57" s="608"/>
      <c r="VVR57" s="608"/>
      <c r="VVS57" s="608"/>
      <c r="VVT57" s="608"/>
      <c r="VVU57" s="608"/>
      <c r="VVV57" s="608"/>
      <c r="VVW57" s="608"/>
      <c r="VVX57" s="608"/>
      <c r="VVY57" s="608"/>
      <c r="VVZ57" s="608"/>
      <c r="VWA57" s="608"/>
      <c r="VWB57" s="608"/>
      <c r="VWC57" s="608"/>
      <c r="VWD57" s="608"/>
      <c r="VWE57" s="608"/>
      <c r="VWF57" s="608"/>
      <c r="VWG57" s="608"/>
      <c r="VWH57" s="608"/>
      <c r="VWI57" s="608"/>
      <c r="VWJ57" s="608"/>
      <c r="VWK57" s="608"/>
      <c r="VWL57" s="608"/>
      <c r="VWM57" s="608"/>
      <c r="VWN57" s="608"/>
      <c r="VWO57" s="608"/>
      <c r="VWP57" s="608"/>
      <c r="VWQ57" s="608"/>
      <c r="VWR57" s="608"/>
      <c r="VWS57" s="608"/>
      <c r="VWT57" s="608"/>
      <c r="VWU57" s="608"/>
      <c r="VWV57" s="608"/>
      <c r="VWW57" s="608"/>
      <c r="VWX57" s="608"/>
      <c r="VWY57" s="608"/>
      <c r="VWZ57" s="608"/>
      <c r="VXA57" s="608"/>
      <c r="VXB57" s="608"/>
      <c r="VXC57" s="608"/>
      <c r="VXD57" s="608"/>
      <c r="VXE57" s="608"/>
      <c r="VXF57" s="608"/>
      <c r="VXG57" s="608"/>
      <c r="VXH57" s="608"/>
      <c r="VXI57" s="608"/>
      <c r="VXJ57" s="608"/>
      <c r="VXK57" s="608"/>
      <c r="VXL57" s="608"/>
      <c r="VXM57" s="608"/>
      <c r="VXN57" s="608"/>
      <c r="VXO57" s="608"/>
      <c r="VXP57" s="608"/>
      <c r="VXQ57" s="608"/>
      <c r="VXR57" s="608"/>
      <c r="VXS57" s="608"/>
      <c r="VXT57" s="608"/>
      <c r="VXU57" s="608"/>
      <c r="VXV57" s="608"/>
      <c r="VXW57" s="608"/>
      <c r="VXX57" s="608"/>
      <c r="VXY57" s="608"/>
      <c r="VXZ57" s="608"/>
      <c r="VYA57" s="608"/>
      <c r="VYB57" s="608"/>
      <c r="VYC57" s="608"/>
      <c r="VYD57" s="608"/>
      <c r="VYE57" s="608"/>
      <c r="VYF57" s="608"/>
      <c r="VYG57" s="608"/>
      <c r="VYH57" s="608"/>
      <c r="VYI57" s="608"/>
      <c r="VYJ57" s="608"/>
      <c r="VYK57" s="608"/>
      <c r="VYL57" s="608"/>
      <c r="VYM57" s="608"/>
      <c r="VYN57" s="608"/>
      <c r="VYO57" s="608"/>
      <c r="VYP57" s="608"/>
      <c r="VYQ57" s="608"/>
      <c r="VYR57" s="608"/>
      <c r="VYS57" s="608"/>
      <c r="VYT57" s="608"/>
      <c r="VYU57" s="608"/>
      <c r="VYV57" s="608"/>
      <c r="VYW57" s="608"/>
      <c r="VYX57" s="608"/>
      <c r="VYY57" s="608"/>
      <c r="VYZ57" s="608"/>
      <c r="VZA57" s="608"/>
      <c r="VZB57" s="608"/>
      <c r="VZC57" s="608"/>
      <c r="VZD57" s="608"/>
      <c r="VZE57" s="608"/>
      <c r="VZF57" s="608"/>
      <c r="VZG57" s="608"/>
      <c r="VZH57" s="608"/>
      <c r="VZI57" s="608"/>
      <c r="VZJ57" s="608"/>
      <c r="VZK57" s="608"/>
      <c r="VZL57" s="608"/>
      <c r="VZM57" s="608"/>
      <c r="VZN57" s="608"/>
      <c r="VZO57" s="608"/>
      <c r="VZP57" s="608"/>
      <c r="VZQ57" s="608"/>
      <c r="VZR57" s="608"/>
      <c r="VZS57" s="608"/>
      <c r="VZT57" s="608"/>
      <c r="VZU57" s="608"/>
      <c r="VZV57" s="608"/>
      <c r="VZW57" s="608"/>
      <c r="VZX57" s="608"/>
      <c r="VZY57" s="608"/>
      <c r="VZZ57" s="608"/>
      <c r="WAA57" s="608"/>
      <c r="WAB57" s="608"/>
      <c r="WAC57" s="608"/>
      <c r="WAD57" s="608"/>
      <c r="WAE57" s="608"/>
      <c r="WAF57" s="608"/>
      <c r="WAG57" s="608"/>
      <c r="WAH57" s="608"/>
      <c r="WAI57" s="608"/>
      <c r="WAJ57" s="608"/>
      <c r="WAK57" s="608"/>
      <c r="WAL57" s="608"/>
      <c r="WAM57" s="608"/>
      <c r="WAN57" s="608"/>
      <c r="WAO57" s="608"/>
      <c r="WAP57" s="608"/>
      <c r="WAQ57" s="608"/>
      <c r="WAR57" s="608"/>
      <c r="WAS57" s="608"/>
      <c r="WAT57" s="608"/>
      <c r="WAU57" s="608"/>
      <c r="WAV57" s="608"/>
      <c r="WAW57" s="608"/>
      <c r="WAX57" s="608"/>
      <c r="WAY57" s="608"/>
      <c r="WAZ57" s="608"/>
      <c r="WBA57" s="608"/>
      <c r="WBB57" s="608"/>
      <c r="WBC57" s="608"/>
      <c r="WBD57" s="608"/>
      <c r="WBE57" s="608"/>
      <c r="WBF57" s="608"/>
      <c r="WBG57" s="608"/>
      <c r="WBH57" s="608"/>
      <c r="WBI57" s="608"/>
      <c r="WBJ57" s="608"/>
      <c r="WBK57" s="608"/>
      <c r="WBL57" s="608"/>
      <c r="WBM57" s="608"/>
      <c r="WBN57" s="608"/>
      <c r="WBO57" s="608"/>
      <c r="WBP57" s="608"/>
      <c r="WBQ57" s="608"/>
      <c r="WBR57" s="608"/>
      <c r="WBS57" s="608"/>
      <c r="WBT57" s="608"/>
      <c r="WBU57" s="608"/>
      <c r="WBV57" s="608"/>
      <c r="WBW57" s="608"/>
      <c r="WBX57" s="608"/>
      <c r="WBY57" s="608"/>
      <c r="WBZ57" s="608"/>
      <c r="WCA57" s="608"/>
      <c r="WCB57" s="608"/>
      <c r="WCC57" s="608"/>
      <c r="WCD57" s="608"/>
      <c r="WCE57" s="608"/>
      <c r="WCF57" s="608"/>
      <c r="WCG57" s="608"/>
      <c r="WCH57" s="608"/>
      <c r="WCI57" s="608"/>
      <c r="WCJ57" s="608"/>
      <c r="WCK57" s="608"/>
      <c r="WCL57" s="608"/>
      <c r="WCM57" s="608"/>
      <c r="WCN57" s="608"/>
      <c r="WCO57" s="608"/>
      <c r="WCP57" s="608"/>
      <c r="WCQ57" s="608"/>
      <c r="WCR57" s="608"/>
      <c r="WCS57" s="608"/>
      <c r="WCT57" s="608"/>
      <c r="WCU57" s="608"/>
      <c r="WCV57" s="608"/>
      <c r="WCW57" s="608"/>
      <c r="WCX57" s="608"/>
      <c r="WCY57" s="608"/>
      <c r="WCZ57" s="608"/>
      <c r="WDA57" s="608"/>
      <c r="WDB57" s="608"/>
      <c r="WDC57" s="608"/>
      <c r="WDD57" s="608"/>
      <c r="WDE57" s="608"/>
      <c r="WDF57" s="608"/>
      <c r="WDG57" s="608"/>
      <c r="WDH57" s="608"/>
      <c r="WDI57" s="608"/>
      <c r="WDJ57" s="608"/>
      <c r="WDK57" s="608"/>
      <c r="WDL57" s="608"/>
      <c r="WDM57" s="608"/>
      <c r="WDN57" s="608"/>
      <c r="WDO57" s="608"/>
      <c r="WDP57" s="608"/>
      <c r="WDQ57" s="608"/>
      <c r="WDR57" s="608"/>
      <c r="WDS57" s="608"/>
      <c r="WDT57" s="608"/>
      <c r="WDU57" s="608"/>
      <c r="WDV57" s="608"/>
      <c r="WDW57" s="608"/>
      <c r="WDX57" s="608"/>
      <c r="WDY57" s="608"/>
      <c r="WDZ57" s="608"/>
      <c r="WEA57" s="608"/>
      <c r="WEB57" s="608"/>
      <c r="WEC57" s="608"/>
      <c r="WED57" s="608"/>
      <c r="WEE57" s="608"/>
      <c r="WEF57" s="608"/>
      <c r="WEG57" s="608"/>
      <c r="WEH57" s="608"/>
      <c r="WEI57" s="608"/>
      <c r="WEJ57" s="608"/>
      <c r="WEK57" s="608"/>
      <c r="WEL57" s="608"/>
      <c r="WEM57" s="608"/>
      <c r="WEN57" s="608"/>
      <c r="WEO57" s="608"/>
      <c r="WEP57" s="608"/>
      <c r="WEQ57" s="608"/>
      <c r="WER57" s="608"/>
      <c r="WES57" s="608"/>
      <c r="WET57" s="608"/>
      <c r="WEU57" s="608"/>
      <c r="WEV57" s="608"/>
      <c r="WEW57" s="608"/>
      <c r="WEX57" s="608"/>
      <c r="WEY57" s="608"/>
      <c r="WEZ57" s="608"/>
      <c r="WFA57" s="608"/>
      <c r="WFB57" s="608"/>
      <c r="WFC57" s="608"/>
      <c r="WFD57" s="608"/>
      <c r="WFE57" s="608"/>
      <c r="WFF57" s="608"/>
      <c r="WFG57" s="608"/>
      <c r="WFH57" s="608"/>
      <c r="WFI57" s="608"/>
      <c r="WFJ57" s="608"/>
      <c r="WFK57" s="608"/>
      <c r="WFL57" s="608"/>
      <c r="WFM57" s="608"/>
      <c r="WFN57" s="608"/>
      <c r="WFO57" s="608"/>
      <c r="WFP57" s="608"/>
      <c r="WFQ57" s="608"/>
      <c r="WFR57" s="608"/>
      <c r="WFS57" s="608"/>
      <c r="WFT57" s="608"/>
      <c r="WFU57" s="608"/>
      <c r="WFV57" s="608"/>
      <c r="WFW57" s="608"/>
      <c r="WFX57" s="608"/>
      <c r="WFY57" s="608"/>
      <c r="WFZ57" s="608"/>
      <c r="WGA57" s="608"/>
      <c r="WGB57" s="608"/>
      <c r="WGC57" s="608"/>
      <c r="WGD57" s="608"/>
      <c r="WGE57" s="608"/>
      <c r="WGF57" s="608"/>
      <c r="WGG57" s="608"/>
      <c r="WGH57" s="608"/>
      <c r="WGI57" s="608"/>
      <c r="WGJ57" s="608"/>
      <c r="WGK57" s="608"/>
      <c r="WGL57" s="608"/>
      <c r="WGM57" s="608"/>
      <c r="WGN57" s="608"/>
      <c r="WGO57" s="608"/>
      <c r="WGP57" s="608"/>
      <c r="WGQ57" s="608"/>
      <c r="WGR57" s="608"/>
      <c r="WGS57" s="608"/>
      <c r="WGT57" s="608"/>
      <c r="WGU57" s="608"/>
      <c r="WGV57" s="608"/>
      <c r="WGW57" s="608"/>
      <c r="WGX57" s="608"/>
      <c r="WGY57" s="608"/>
      <c r="WGZ57" s="608"/>
      <c r="WHA57" s="608"/>
      <c r="WHB57" s="608"/>
      <c r="WHC57" s="608"/>
      <c r="WHD57" s="608"/>
      <c r="WHE57" s="608"/>
      <c r="WHF57" s="608"/>
      <c r="WHG57" s="608"/>
      <c r="WHH57" s="608"/>
      <c r="WHI57" s="608"/>
      <c r="WHJ57" s="608"/>
      <c r="WHK57" s="608"/>
      <c r="WHL57" s="608"/>
      <c r="WHM57" s="608"/>
      <c r="WHN57" s="608"/>
      <c r="WHO57" s="608"/>
      <c r="WHP57" s="608"/>
      <c r="WHQ57" s="608"/>
      <c r="WHR57" s="608"/>
      <c r="WHS57" s="608"/>
      <c r="WHT57" s="608"/>
      <c r="WHU57" s="608"/>
      <c r="WHV57" s="608"/>
      <c r="WHW57" s="608"/>
      <c r="WHX57" s="608"/>
      <c r="WHY57" s="608"/>
      <c r="WHZ57" s="608"/>
      <c r="WIA57" s="608"/>
      <c r="WIB57" s="608"/>
      <c r="WIC57" s="608"/>
      <c r="WID57" s="608"/>
      <c r="WIE57" s="608"/>
      <c r="WIF57" s="608"/>
      <c r="WIG57" s="608"/>
      <c r="WIH57" s="608"/>
      <c r="WII57" s="608"/>
      <c r="WIJ57" s="608"/>
      <c r="WIK57" s="608"/>
      <c r="WIL57" s="608"/>
      <c r="WIM57" s="608"/>
      <c r="WIN57" s="608"/>
      <c r="WIO57" s="608"/>
      <c r="WIP57" s="608"/>
      <c r="WIQ57" s="608"/>
      <c r="WIR57" s="608"/>
      <c r="WIS57" s="608"/>
      <c r="WIT57" s="608"/>
      <c r="WIU57" s="608"/>
      <c r="WIV57" s="608"/>
      <c r="WIW57" s="608"/>
      <c r="WIX57" s="608"/>
      <c r="WIY57" s="608"/>
      <c r="WIZ57" s="608"/>
      <c r="WJA57" s="608"/>
      <c r="WJB57" s="608"/>
      <c r="WJC57" s="608"/>
      <c r="WJD57" s="608"/>
      <c r="WJE57" s="608"/>
      <c r="WJF57" s="608"/>
      <c r="WJG57" s="608"/>
      <c r="WJH57" s="608"/>
      <c r="WJI57" s="608"/>
      <c r="WJJ57" s="608"/>
      <c r="WJK57" s="608"/>
      <c r="WJL57" s="608"/>
      <c r="WJM57" s="608"/>
      <c r="WJN57" s="608"/>
      <c r="WJO57" s="608"/>
      <c r="WJP57" s="608"/>
      <c r="WJQ57" s="608"/>
      <c r="WJR57" s="608"/>
      <c r="WJS57" s="608"/>
      <c r="WJT57" s="608"/>
      <c r="WJU57" s="608"/>
      <c r="WJV57" s="608"/>
      <c r="WJW57" s="608"/>
      <c r="WJX57" s="608"/>
      <c r="WJY57" s="608"/>
      <c r="WJZ57" s="608"/>
      <c r="WKA57" s="608"/>
      <c r="WKB57" s="608"/>
      <c r="WKC57" s="608"/>
      <c r="WKD57" s="608"/>
      <c r="WKE57" s="608"/>
      <c r="WKF57" s="608"/>
      <c r="WKG57" s="608"/>
      <c r="WKH57" s="608"/>
      <c r="WKI57" s="608"/>
      <c r="WKJ57" s="608"/>
      <c r="WKK57" s="608"/>
      <c r="WKL57" s="608"/>
      <c r="WKM57" s="608"/>
      <c r="WKN57" s="608"/>
      <c r="WKO57" s="608"/>
      <c r="WKP57" s="608"/>
      <c r="WKQ57" s="608"/>
      <c r="WKR57" s="608"/>
      <c r="WKS57" s="608"/>
      <c r="WKT57" s="608"/>
      <c r="WKU57" s="608"/>
      <c r="WKV57" s="608"/>
      <c r="WKW57" s="608"/>
      <c r="WKX57" s="608"/>
      <c r="WKY57" s="608"/>
      <c r="WKZ57" s="608"/>
      <c r="WLA57" s="608"/>
      <c r="WLB57" s="608"/>
      <c r="WLC57" s="608"/>
      <c r="WLD57" s="608"/>
      <c r="WLE57" s="608"/>
      <c r="WLF57" s="608"/>
      <c r="WLG57" s="608"/>
      <c r="WLH57" s="608"/>
      <c r="WLI57" s="608"/>
      <c r="WLJ57" s="608"/>
      <c r="WLK57" s="608"/>
      <c r="WLL57" s="608"/>
      <c r="WLM57" s="608"/>
      <c r="WLN57" s="608"/>
      <c r="WLO57" s="608"/>
      <c r="WLP57" s="608"/>
      <c r="WLQ57" s="608"/>
      <c r="WLR57" s="608"/>
      <c r="WLS57" s="608"/>
      <c r="WLT57" s="608"/>
      <c r="WLU57" s="608"/>
      <c r="WLV57" s="608"/>
      <c r="WLW57" s="608"/>
      <c r="WLX57" s="608"/>
      <c r="WLY57" s="608"/>
      <c r="WLZ57" s="608"/>
      <c r="WMA57" s="608"/>
      <c r="WMB57" s="608"/>
      <c r="WMC57" s="608"/>
      <c r="WMD57" s="608"/>
      <c r="WME57" s="608"/>
      <c r="WMF57" s="608"/>
      <c r="WMG57" s="608"/>
      <c r="WMH57" s="608"/>
      <c r="WMI57" s="608"/>
      <c r="WMJ57" s="608"/>
      <c r="WMK57" s="608"/>
      <c r="WML57" s="608"/>
      <c r="WMM57" s="608"/>
      <c r="WMN57" s="608"/>
      <c r="WMO57" s="608"/>
      <c r="WMP57" s="608"/>
      <c r="WMQ57" s="608"/>
      <c r="WMR57" s="608"/>
      <c r="WMS57" s="608"/>
      <c r="WMT57" s="608"/>
      <c r="WMU57" s="608"/>
      <c r="WMV57" s="608"/>
      <c r="WMW57" s="608"/>
      <c r="WMX57" s="608"/>
      <c r="WMY57" s="608"/>
      <c r="WMZ57" s="608"/>
      <c r="WNA57" s="608"/>
      <c r="WNB57" s="608"/>
      <c r="WNC57" s="608"/>
      <c r="WND57" s="608"/>
      <c r="WNE57" s="608"/>
      <c r="WNF57" s="608"/>
      <c r="WNG57" s="608"/>
      <c r="WNH57" s="608"/>
      <c r="WNI57" s="608"/>
      <c r="WNJ57" s="608"/>
      <c r="WNK57" s="608"/>
      <c r="WNL57" s="608"/>
      <c r="WNM57" s="608"/>
      <c r="WNN57" s="608"/>
      <c r="WNO57" s="608"/>
      <c r="WNP57" s="608"/>
      <c r="WNQ57" s="608"/>
      <c r="WNR57" s="608"/>
      <c r="WNS57" s="608"/>
      <c r="WNT57" s="608"/>
      <c r="WNU57" s="608"/>
      <c r="WNV57" s="608"/>
      <c r="WNW57" s="608"/>
      <c r="WNX57" s="608"/>
      <c r="WNY57" s="608"/>
      <c r="WNZ57" s="608"/>
      <c r="WOA57" s="608"/>
      <c r="WOB57" s="608"/>
      <c r="WOC57" s="608"/>
      <c r="WOD57" s="608"/>
      <c r="WOE57" s="608"/>
      <c r="WOF57" s="608"/>
      <c r="WOG57" s="608"/>
      <c r="WOH57" s="608"/>
      <c r="WOI57" s="608"/>
      <c r="WOJ57" s="608"/>
      <c r="WOK57" s="608"/>
      <c r="WOL57" s="608"/>
      <c r="WOM57" s="608"/>
      <c r="WON57" s="608"/>
      <c r="WOO57" s="608"/>
      <c r="WOP57" s="608"/>
      <c r="WOQ57" s="608"/>
      <c r="WOR57" s="608"/>
      <c r="WOS57" s="608"/>
      <c r="WOT57" s="608"/>
      <c r="WOU57" s="608"/>
      <c r="WOV57" s="608"/>
      <c r="WOW57" s="608"/>
      <c r="WOX57" s="608"/>
      <c r="WOY57" s="608"/>
      <c r="WOZ57" s="608"/>
      <c r="WPA57" s="608"/>
      <c r="WPB57" s="608"/>
      <c r="WPC57" s="608"/>
      <c r="WPD57" s="608"/>
      <c r="WPE57" s="608"/>
      <c r="WPF57" s="608"/>
      <c r="WPG57" s="608"/>
      <c r="WPH57" s="608"/>
      <c r="WPI57" s="608"/>
      <c r="WPJ57" s="608"/>
      <c r="WPK57" s="608"/>
      <c r="WPL57" s="608"/>
      <c r="WPM57" s="608"/>
      <c r="WPN57" s="608"/>
      <c r="WPO57" s="608"/>
      <c r="WPP57" s="608"/>
      <c r="WPQ57" s="608"/>
      <c r="WPR57" s="608"/>
      <c r="WPS57" s="608"/>
      <c r="WPT57" s="608"/>
      <c r="WPU57" s="608"/>
      <c r="WPV57" s="608"/>
      <c r="WPW57" s="608"/>
      <c r="WPX57" s="608"/>
      <c r="WPY57" s="608"/>
      <c r="WPZ57" s="608"/>
      <c r="WQA57" s="608"/>
      <c r="WQB57" s="608"/>
      <c r="WQC57" s="608"/>
      <c r="WQD57" s="608"/>
      <c r="WQE57" s="608"/>
      <c r="WQF57" s="608"/>
      <c r="WQG57" s="608"/>
      <c r="WQH57" s="608"/>
      <c r="WQI57" s="608"/>
      <c r="WQJ57" s="608"/>
      <c r="WQK57" s="608"/>
      <c r="WQL57" s="608"/>
      <c r="WQM57" s="608"/>
      <c r="WQN57" s="608"/>
      <c r="WQO57" s="608"/>
      <c r="WQP57" s="608"/>
      <c r="WQQ57" s="608"/>
      <c r="WQR57" s="608"/>
      <c r="WQS57" s="608"/>
      <c r="WQT57" s="608"/>
      <c r="WQU57" s="608"/>
      <c r="WQV57" s="608"/>
      <c r="WQW57" s="608"/>
      <c r="WQX57" s="608"/>
      <c r="WQY57" s="608"/>
      <c r="WQZ57" s="608"/>
      <c r="WRA57" s="608"/>
      <c r="WRB57" s="608"/>
      <c r="WRC57" s="608"/>
      <c r="WRD57" s="608"/>
      <c r="WRE57" s="608"/>
      <c r="WRF57" s="608"/>
      <c r="WRG57" s="608"/>
      <c r="WRH57" s="608"/>
      <c r="WRI57" s="608"/>
      <c r="WRJ57" s="608"/>
      <c r="WRK57" s="608"/>
      <c r="WRL57" s="608"/>
      <c r="WRM57" s="608"/>
      <c r="WRN57" s="608"/>
      <c r="WRO57" s="608"/>
      <c r="WRP57" s="608"/>
      <c r="WRQ57" s="608"/>
      <c r="WRR57" s="608"/>
      <c r="WRS57" s="608"/>
      <c r="WRT57" s="608"/>
      <c r="WRU57" s="608"/>
      <c r="WRV57" s="608"/>
      <c r="WRW57" s="608"/>
      <c r="WRX57" s="608"/>
      <c r="WRY57" s="608"/>
      <c r="WRZ57" s="608"/>
      <c r="WSA57" s="608"/>
      <c r="WSB57" s="608"/>
      <c r="WSC57" s="608"/>
      <c r="WSD57" s="608"/>
      <c r="WSE57" s="608"/>
      <c r="WSF57" s="608"/>
      <c r="WSG57" s="608"/>
      <c r="WSH57" s="608"/>
      <c r="WSI57" s="608"/>
      <c r="WSJ57" s="608"/>
      <c r="WSK57" s="608"/>
      <c r="WSL57" s="608"/>
      <c r="WSM57" s="608"/>
      <c r="WSN57" s="608"/>
      <c r="WSO57" s="608"/>
      <c r="WSP57" s="608"/>
      <c r="WSQ57" s="608"/>
      <c r="WSR57" s="608"/>
      <c r="WSS57" s="608"/>
      <c r="WST57" s="608"/>
      <c r="WSU57" s="608"/>
      <c r="WSV57" s="608"/>
      <c r="WSW57" s="608"/>
      <c r="WSX57" s="608"/>
      <c r="WSY57" s="608"/>
      <c r="WSZ57" s="608"/>
      <c r="WTA57" s="608"/>
      <c r="WTB57" s="608"/>
      <c r="WTC57" s="608"/>
      <c r="WTD57" s="608"/>
      <c r="WTE57" s="608"/>
      <c r="WTF57" s="608"/>
      <c r="WTG57" s="608"/>
      <c r="WTH57" s="608"/>
      <c r="WTI57" s="608"/>
      <c r="WTJ57" s="608"/>
      <c r="WTK57" s="608"/>
      <c r="WTL57" s="608"/>
      <c r="WTM57" s="608"/>
      <c r="WTN57" s="608"/>
      <c r="WTO57" s="608"/>
      <c r="WTP57" s="608"/>
      <c r="WTQ57" s="608"/>
      <c r="WTR57" s="608"/>
      <c r="WTS57" s="608"/>
      <c r="WTT57" s="608"/>
      <c r="WTU57" s="608"/>
      <c r="WTV57" s="608"/>
      <c r="WTW57" s="608"/>
      <c r="WTX57" s="608"/>
      <c r="WTY57" s="608"/>
      <c r="WTZ57" s="608"/>
      <c r="WUA57" s="608"/>
      <c r="WUB57" s="608"/>
      <c r="WUC57" s="608"/>
      <c r="WUD57" s="608"/>
      <c r="WUE57" s="608"/>
      <c r="WUF57" s="608"/>
      <c r="WUG57" s="608"/>
      <c r="WUH57" s="608"/>
      <c r="WUI57" s="608"/>
      <c r="WUJ57" s="608"/>
      <c r="WUK57" s="608"/>
      <c r="WUL57" s="608"/>
      <c r="WUM57" s="608"/>
      <c r="WUN57" s="608"/>
      <c r="WUO57" s="608"/>
      <c r="WUP57" s="608"/>
      <c r="WUQ57" s="608"/>
      <c r="WUR57" s="608"/>
      <c r="WUS57" s="608"/>
      <c r="WUT57" s="608"/>
      <c r="WUU57" s="608"/>
      <c r="WUV57" s="608"/>
      <c r="WUW57" s="608"/>
      <c r="WUX57" s="608"/>
      <c r="WUY57" s="608"/>
      <c r="WUZ57" s="608"/>
      <c r="WVA57" s="608"/>
      <c r="WVB57" s="608"/>
      <c r="WVC57" s="608"/>
      <c r="WVD57" s="608"/>
      <c r="WVE57" s="608"/>
      <c r="WVF57" s="608"/>
      <c r="WVG57" s="608"/>
      <c r="WVH57" s="608"/>
      <c r="WVI57" s="608"/>
      <c r="WVJ57" s="608"/>
      <c r="WVK57" s="608"/>
      <c r="WVL57" s="608"/>
      <c r="WVM57" s="608"/>
      <c r="WVN57" s="608"/>
      <c r="WVO57" s="608"/>
      <c r="WVP57" s="608"/>
      <c r="WVQ57" s="608"/>
      <c r="WVR57" s="608"/>
      <c r="WVS57" s="608"/>
      <c r="WVT57" s="608"/>
      <c r="WVU57" s="608"/>
      <c r="WVV57" s="608"/>
      <c r="WVW57" s="608"/>
      <c r="WVX57" s="608"/>
      <c r="WVY57" s="608"/>
      <c r="WVZ57" s="608"/>
      <c r="WWA57" s="608"/>
      <c r="WWB57" s="608"/>
      <c r="WWC57" s="608"/>
      <c r="WWD57" s="608"/>
      <c r="WWE57" s="608"/>
      <c r="WWF57" s="608"/>
      <c r="WWG57" s="608"/>
      <c r="WWH57" s="608"/>
      <c r="WWI57" s="608"/>
      <c r="WWJ57" s="608"/>
      <c r="WWK57" s="608"/>
      <c r="WWL57" s="608"/>
      <c r="WWM57" s="608"/>
      <c r="WWN57" s="608"/>
      <c r="WWO57" s="608"/>
      <c r="WWP57" s="608"/>
      <c r="WWQ57" s="608"/>
      <c r="WWR57" s="608"/>
      <c r="WWS57" s="608"/>
      <c r="WWT57" s="608"/>
      <c r="WWU57" s="608"/>
      <c r="WWV57" s="608"/>
      <c r="WWW57" s="608"/>
      <c r="WWX57" s="608"/>
      <c r="WWY57" s="608"/>
      <c r="WWZ57" s="608"/>
      <c r="WXA57" s="608"/>
      <c r="WXB57" s="608"/>
      <c r="WXC57" s="608"/>
      <c r="WXD57" s="608"/>
      <c r="WXE57" s="608"/>
      <c r="WXF57" s="608"/>
      <c r="WXG57" s="608"/>
      <c r="WXH57" s="608"/>
      <c r="WXI57" s="608"/>
      <c r="WXJ57" s="608"/>
      <c r="WXK57" s="608"/>
      <c r="WXL57" s="608"/>
      <c r="WXM57" s="608"/>
      <c r="WXN57" s="608"/>
      <c r="WXO57" s="608"/>
      <c r="WXP57" s="608"/>
      <c r="WXQ57" s="608"/>
      <c r="WXR57" s="608"/>
      <c r="WXS57" s="608"/>
      <c r="WXT57" s="608"/>
      <c r="WXU57" s="608"/>
      <c r="WXV57" s="608"/>
      <c r="WXW57" s="608"/>
      <c r="WXX57" s="608"/>
      <c r="WXY57" s="608"/>
      <c r="WXZ57" s="608"/>
      <c r="WYA57" s="608"/>
      <c r="WYB57" s="608"/>
      <c r="WYC57" s="608"/>
      <c r="WYD57" s="608"/>
      <c r="WYE57" s="608"/>
      <c r="WYF57" s="608"/>
      <c r="WYG57" s="608"/>
      <c r="WYH57" s="608"/>
      <c r="WYI57" s="608"/>
      <c r="WYJ57" s="608"/>
      <c r="WYK57" s="608"/>
      <c r="WYL57" s="608"/>
      <c r="WYM57" s="608"/>
      <c r="WYN57" s="608"/>
      <c r="WYO57" s="608"/>
      <c r="WYP57" s="608"/>
      <c r="WYQ57" s="608"/>
      <c r="WYR57" s="608"/>
      <c r="WYS57" s="608"/>
      <c r="WYT57" s="608"/>
      <c r="WYU57" s="608"/>
      <c r="WYV57" s="608"/>
      <c r="WYW57" s="608"/>
      <c r="WYX57" s="608"/>
      <c r="WYY57" s="608"/>
      <c r="WYZ57" s="608"/>
      <c r="WZA57" s="608"/>
      <c r="WZB57" s="608"/>
      <c r="WZC57" s="608"/>
      <c r="WZD57" s="608"/>
      <c r="WZE57" s="608"/>
      <c r="WZF57" s="608"/>
      <c r="WZG57" s="608"/>
      <c r="WZH57" s="608"/>
      <c r="WZI57" s="608"/>
      <c r="WZJ57" s="608"/>
      <c r="WZK57" s="608"/>
      <c r="WZL57" s="608"/>
      <c r="WZM57" s="608"/>
      <c r="WZN57" s="608"/>
      <c r="WZO57" s="608"/>
      <c r="WZP57" s="608"/>
      <c r="WZQ57" s="608"/>
      <c r="WZR57" s="608"/>
      <c r="WZS57" s="608"/>
      <c r="WZT57" s="608"/>
      <c r="WZU57" s="608"/>
      <c r="WZV57" s="608"/>
      <c r="WZW57" s="608"/>
      <c r="WZX57" s="608"/>
      <c r="WZY57" s="608"/>
      <c r="WZZ57" s="608"/>
      <c r="XAA57" s="608"/>
      <c r="XAB57" s="608"/>
      <c r="XAC57" s="608"/>
      <c r="XAD57" s="608"/>
      <c r="XAE57" s="608"/>
      <c r="XAF57" s="608"/>
      <c r="XAG57" s="608"/>
      <c r="XAH57" s="608"/>
      <c r="XAI57" s="608"/>
      <c r="XAJ57" s="608"/>
      <c r="XAK57" s="608"/>
      <c r="XAL57" s="608"/>
      <c r="XAM57" s="608"/>
      <c r="XAN57" s="608"/>
      <c r="XAO57" s="608"/>
      <c r="XAP57" s="608"/>
      <c r="XAQ57" s="608"/>
      <c r="XAR57" s="608"/>
      <c r="XAS57" s="608"/>
      <c r="XAT57" s="608"/>
      <c r="XAU57" s="608"/>
      <c r="XAV57" s="608"/>
      <c r="XAW57" s="608"/>
      <c r="XAX57" s="608"/>
      <c r="XAY57" s="608"/>
      <c r="XAZ57" s="608"/>
      <c r="XBA57" s="608"/>
      <c r="XBB57" s="608"/>
      <c r="XBC57" s="608"/>
      <c r="XBD57" s="608"/>
      <c r="XBE57" s="608"/>
      <c r="XBF57" s="608"/>
      <c r="XBG57" s="608"/>
      <c r="XBH57" s="608"/>
      <c r="XBI57" s="608"/>
      <c r="XBJ57" s="608"/>
      <c r="XBK57" s="608"/>
      <c r="XBL57" s="608"/>
      <c r="XBM57" s="608"/>
      <c r="XBN57" s="608"/>
      <c r="XBO57" s="608"/>
      <c r="XBP57" s="608"/>
      <c r="XBQ57" s="608"/>
      <c r="XBR57" s="608"/>
      <c r="XBS57" s="608"/>
      <c r="XBT57" s="608"/>
      <c r="XBU57" s="608"/>
      <c r="XBV57" s="608"/>
      <c r="XBW57" s="608"/>
      <c r="XBX57" s="608"/>
      <c r="XBY57" s="608"/>
      <c r="XBZ57" s="608"/>
      <c r="XCA57" s="608"/>
      <c r="XCB57" s="608"/>
      <c r="XCC57" s="608"/>
      <c r="XCD57" s="608"/>
      <c r="XCE57" s="608"/>
      <c r="XCF57" s="608"/>
      <c r="XCG57" s="608"/>
      <c r="XCH57" s="608"/>
      <c r="XCI57" s="608"/>
      <c r="XCJ57" s="608"/>
      <c r="XCK57" s="608"/>
      <c r="XCL57" s="608"/>
      <c r="XCM57" s="608"/>
      <c r="XCN57" s="608"/>
      <c r="XCO57" s="608"/>
      <c r="XCP57" s="608"/>
      <c r="XCQ57" s="608"/>
      <c r="XCR57" s="608"/>
      <c r="XCS57" s="608"/>
      <c r="XCT57" s="608"/>
      <c r="XCU57" s="608"/>
      <c r="XCV57" s="608"/>
      <c r="XCW57" s="608"/>
      <c r="XCX57" s="608"/>
      <c r="XCY57" s="608"/>
      <c r="XCZ57" s="608"/>
      <c r="XDA57" s="608"/>
      <c r="XDB57" s="608"/>
      <c r="XDC57" s="608"/>
      <c r="XDD57" s="608"/>
      <c r="XDE57" s="608"/>
      <c r="XDF57" s="608"/>
      <c r="XDG57" s="608"/>
      <c r="XDH57" s="608"/>
      <c r="XDI57" s="608"/>
      <c r="XDJ57" s="608"/>
      <c r="XDK57" s="608"/>
      <c r="XDL57" s="608"/>
      <c r="XDM57" s="608"/>
      <c r="XDN57" s="608"/>
      <c r="XDO57" s="608"/>
      <c r="XDP57" s="608"/>
      <c r="XDQ57" s="608"/>
      <c r="XDR57" s="608"/>
      <c r="XDS57" s="608"/>
      <c r="XDT57" s="608"/>
      <c r="XDU57" s="608"/>
      <c r="XDV57" s="608"/>
      <c r="XDW57" s="608"/>
      <c r="XDX57" s="608"/>
      <c r="XDY57" s="608"/>
      <c r="XDZ57" s="608"/>
      <c r="XEA57" s="608"/>
      <c r="XEB57" s="608"/>
      <c r="XEC57" s="608"/>
      <c r="XED57" s="608"/>
      <c r="XEE57" s="608"/>
      <c r="XEF57" s="608"/>
      <c r="XEG57" s="608"/>
      <c r="XEH57" s="608"/>
      <c r="XEI57" s="608"/>
      <c r="XEJ57" s="608"/>
      <c r="XEK57" s="608"/>
      <c r="XEL57" s="608"/>
      <c r="XEM57" s="608"/>
      <c r="XEN57" s="608"/>
      <c r="XEO57" s="608"/>
      <c r="XEP57" s="608"/>
      <c r="XEQ57" s="608"/>
      <c r="XER57" s="608"/>
      <c r="XES57" s="608"/>
      <c r="XET57" s="608"/>
      <c r="XEU57" s="608"/>
      <c r="XEV57" s="608"/>
      <c r="XEW57" s="608"/>
      <c r="XEX57" s="608"/>
      <c r="XEY57" s="608"/>
      <c r="XEZ57" s="615"/>
      <c r="XFA57" s="615"/>
      <c r="XFB57" s="615"/>
      <c r="XFC57" s="615"/>
      <c r="XFD57" s="615"/>
    </row>
    <row r="58" s="609" customFormat="1" spans="1:18">
      <c r="A58" s="609" t="s">
        <v>2125</v>
      </c>
      <c r="B58" s="609" t="s">
        <v>2126</v>
      </c>
      <c r="C58" s="609" t="s">
        <v>2096</v>
      </c>
      <c r="D58" s="609">
        <v>41146.67</v>
      </c>
      <c r="E58" s="609">
        <v>92406</v>
      </c>
      <c r="F58" s="609" t="s">
        <v>2127</v>
      </c>
      <c r="G58" s="609" t="s">
        <v>1930</v>
      </c>
      <c r="H58" s="609" t="s">
        <v>2128</v>
      </c>
      <c r="I58" s="609" t="s">
        <v>2129</v>
      </c>
      <c r="J58" s="609" t="s">
        <v>2130</v>
      </c>
      <c r="K58" s="613">
        <v>44609.0004976852</v>
      </c>
      <c r="L58" s="609" t="s">
        <v>1932</v>
      </c>
      <c r="M58" s="609" t="s">
        <v>2131</v>
      </c>
      <c r="N58" s="609">
        <v>434700</v>
      </c>
      <c r="O58" s="609">
        <v>7043.1</v>
      </c>
      <c r="P58" s="609">
        <v>47042</v>
      </c>
      <c r="Q58" s="609">
        <v>15</v>
      </c>
      <c r="R58" s="609" t="s">
        <v>2132</v>
      </c>
    </row>
    <row r="59" s="609" customFormat="1" spans="1:18">
      <c r="A59" s="609" t="s">
        <v>2133</v>
      </c>
      <c r="B59" s="609" t="s">
        <v>2134</v>
      </c>
      <c r="C59" s="609" t="s">
        <v>2096</v>
      </c>
      <c r="D59" s="609">
        <v>73667.25</v>
      </c>
      <c r="E59" s="609">
        <v>93794</v>
      </c>
      <c r="F59" s="609" t="s">
        <v>2135</v>
      </c>
      <c r="G59" s="609" t="s">
        <v>1930</v>
      </c>
      <c r="H59" s="609" t="s">
        <v>2136</v>
      </c>
      <c r="I59" s="609" t="s">
        <v>2129</v>
      </c>
      <c r="J59" s="609" t="s">
        <v>2115</v>
      </c>
      <c r="K59" s="613">
        <v>44609.0004976852</v>
      </c>
      <c r="L59" s="609" t="s">
        <v>1932</v>
      </c>
      <c r="M59" s="609" t="s">
        <v>2131</v>
      </c>
      <c r="N59" s="609">
        <v>401700</v>
      </c>
      <c r="O59" s="609">
        <v>3635.27</v>
      </c>
      <c r="P59" s="609">
        <v>42828</v>
      </c>
      <c r="Q59" s="609">
        <v>6.55</v>
      </c>
      <c r="R59" s="609" t="s">
        <v>2137</v>
      </c>
    </row>
    <row r="60" s="610" customFormat="1" spans="1:16384">
      <c r="A60" s="610" t="s">
        <v>2138</v>
      </c>
      <c r="B60" s="610" t="s">
        <v>2139</v>
      </c>
      <c r="C60" s="610" t="s">
        <v>2096</v>
      </c>
      <c r="D60" s="610">
        <v>12533.84</v>
      </c>
      <c r="E60" s="610">
        <v>40108</v>
      </c>
      <c r="F60" s="610">
        <v>3.2</v>
      </c>
      <c r="G60" s="610" t="s">
        <v>1930</v>
      </c>
      <c r="H60" s="610" t="s">
        <v>2140</v>
      </c>
      <c r="I60" s="610" t="s">
        <v>2141</v>
      </c>
      <c r="J60" s="610" t="s">
        <v>2115</v>
      </c>
      <c r="K60" s="614">
        <v>44554.0004976852</v>
      </c>
      <c r="L60" s="610" t="s">
        <v>1932</v>
      </c>
      <c r="M60" s="610" t="s">
        <v>2142</v>
      </c>
      <c r="N60" s="610">
        <v>114000</v>
      </c>
      <c r="O60" s="610">
        <v>6063.58</v>
      </c>
      <c r="P60" s="610">
        <v>28423</v>
      </c>
      <c r="Q60" s="610">
        <v>0</v>
      </c>
      <c r="R60" s="610" t="s">
        <v>2143</v>
      </c>
      <c r="S60" s="608"/>
      <c r="T60" s="608"/>
      <c r="U60" s="608"/>
      <c r="V60" s="608"/>
      <c r="W60" s="608"/>
      <c r="X60" s="608"/>
      <c r="Y60" s="608"/>
      <c r="Z60" s="608"/>
      <c r="AA60" s="608"/>
      <c r="AB60" s="608"/>
      <c r="AC60" s="608"/>
      <c r="AD60" s="608"/>
      <c r="AE60" s="608"/>
      <c r="AF60" s="608"/>
      <c r="AG60" s="608"/>
      <c r="AH60" s="608"/>
      <c r="AI60" s="608"/>
      <c r="AJ60" s="608"/>
      <c r="AK60" s="608"/>
      <c r="AL60" s="608"/>
      <c r="AM60" s="608"/>
      <c r="AN60" s="608"/>
      <c r="AO60" s="608"/>
      <c r="AP60" s="608"/>
      <c r="AQ60" s="608"/>
      <c r="AR60" s="608"/>
      <c r="AS60" s="608"/>
      <c r="AT60" s="608"/>
      <c r="AU60" s="608"/>
      <c r="AV60" s="608"/>
      <c r="AW60" s="608"/>
      <c r="AX60" s="608"/>
      <c r="AY60" s="608"/>
      <c r="AZ60" s="608"/>
      <c r="BA60" s="608"/>
      <c r="BB60" s="608"/>
      <c r="BC60" s="608"/>
      <c r="BD60" s="608"/>
      <c r="BE60" s="608"/>
      <c r="BF60" s="608"/>
      <c r="BG60" s="608"/>
      <c r="BH60" s="608"/>
      <c r="BI60" s="608"/>
      <c r="BJ60" s="608"/>
      <c r="BK60" s="608"/>
      <c r="BL60" s="608"/>
      <c r="BM60" s="608"/>
      <c r="BN60" s="608"/>
      <c r="BO60" s="608"/>
      <c r="BP60" s="608"/>
      <c r="BQ60" s="608"/>
      <c r="BR60" s="608"/>
      <c r="BS60" s="608"/>
      <c r="BT60" s="608"/>
      <c r="BU60" s="608"/>
      <c r="BV60" s="608"/>
      <c r="BW60" s="608"/>
      <c r="BX60" s="608"/>
      <c r="BY60" s="608"/>
      <c r="BZ60" s="608"/>
      <c r="CA60" s="608"/>
      <c r="CB60" s="608"/>
      <c r="CC60" s="608"/>
      <c r="CD60" s="608"/>
      <c r="CE60" s="608"/>
      <c r="CF60" s="608"/>
      <c r="CG60" s="608"/>
      <c r="CH60" s="608"/>
      <c r="CI60" s="608"/>
      <c r="CJ60" s="608"/>
      <c r="CK60" s="608"/>
      <c r="CL60" s="608"/>
      <c r="CM60" s="608"/>
      <c r="CN60" s="608"/>
      <c r="CO60" s="608"/>
      <c r="CP60" s="608"/>
      <c r="CQ60" s="608"/>
      <c r="CR60" s="608"/>
      <c r="CS60" s="608"/>
      <c r="CT60" s="608"/>
      <c r="CU60" s="608"/>
      <c r="CV60" s="608"/>
      <c r="CW60" s="608"/>
      <c r="CX60" s="608"/>
      <c r="CY60" s="608"/>
      <c r="CZ60" s="608"/>
      <c r="DA60" s="608"/>
      <c r="DB60" s="608"/>
      <c r="DC60" s="608"/>
      <c r="DD60" s="608"/>
      <c r="DE60" s="608"/>
      <c r="DF60" s="608"/>
      <c r="DG60" s="608"/>
      <c r="DH60" s="608"/>
      <c r="DI60" s="608"/>
      <c r="DJ60" s="608"/>
      <c r="DK60" s="608"/>
      <c r="DL60" s="608"/>
      <c r="DM60" s="608"/>
      <c r="DN60" s="608"/>
      <c r="DO60" s="608"/>
      <c r="DP60" s="608"/>
      <c r="DQ60" s="608"/>
      <c r="DR60" s="608"/>
      <c r="DS60" s="608"/>
      <c r="DT60" s="608"/>
      <c r="DU60" s="608"/>
      <c r="DV60" s="608"/>
      <c r="DW60" s="608"/>
      <c r="DX60" s="608"/>
      <c r="DY60" s="608"/>
      <c r="DZ60" s="608"/>
      <c r="EA60" s="608"/>
      <c r="EB60" s="608"/>
      <c r="EC60" s="608"/>
      <c r="ED60" s="608"/>
      <c r="EE60" s="608"/>
      <c r="EF60" s="608"/>
      <c r="EG60" s="608"/>
      <c r="EH60" s="608"/>
      <c r="EI60" s="608"/>
      <c r="EJ60" s="608"/>
      <c r="EK60" s="608"/>
      <c r="EL60" s="608"/>
      <c r="EM60" s="608"/>
      <c r="EN60" s="608"/>
      <c r="EO60" s="608"/>
      <c r="EP60" s="608"/>
      <c r="EQ60" s="608"/>
      <c r="ER60" s="608"/>
      <c r="ES60" s="608"/>
      <c r="ET60" s="608"/>
      <c r="EU60" s="608"/>
      <c r="EV60" s="608"/>
      <c r="EW60" s="608"/>
      <c r="EX60" s="608"/>
      <c r="EY60" s="608"/>
      <c r="EZ60" s="608"/>
      <c r="FA60" s="608"/>
      <c r="FB60" s="608"/>
      <c r="FC60" s="608"/>
      <c r="FD60" s="608"/>
      <c r="FE60" s="608"/>
      <c r="FF60" s="608"/>
      <c r="FG60" s="608"/>
      <c r="FH60" s="608"/>
      <c r="FI60" s="608"/>
      <c r="FJ60" s="608"/>
      <c r="FK60" s="608"/>
      <c r="FL60" s="608"/>
      <c r="FM60" s="608"/>
      <c r="FN60" s="608"/>
      <c r="FO60" s="608"/>
      <c r="FP60" s="608"/>
      <c r="FQ60" s="608"/>
      <c r="FR60" s="608"/>
      <c r="FS60" s="608"/>
      <c r="FT60" s="608"/>
      <c r="FU60" s="608"/>
      <c r="FV60" s="608"/>
      <c r="FW60" s="608"/>
      <c r="FX60" s="608"/>
      <c r="FY60" s="608"/>
      <c r="FZ60" s="608"/>
      <c r="GA60" s="608"/>
      <c r="GB60" s="608"/>
      <c r="GC60" s="608"/>
      <c r="GD60" s="608"/>
      <c r="GE60" s="608"/>
      <c r="GF60" s="608"/>
      <c r="GG60" s="608"/>
      <c r="GH60" s="608"/>
      <c r="GI60" s="608"/>
      <c r="GJ60" s="608"/>
      <c r="GK60" s="608"/>
      <c r="GL60" s="608"/>
      <c r="GM60" s="608"/>
      <c r="GN60" s="608"/>
      <c r="GO60" s="608"/>
      <c r="GP60" s="608"/>
      <c r="GQ60" s="608"/>
      <c r="GR60" s="608"/>
      <c r="GS60" s="608"/>
      <c r="GT60" s="608"/>
      <c r="GU60" s="608"/>
      <c r="GV60" s="608"/>
      <c r="GW60" s="608"/>
      <c r="GX60" s="608"/>
      <c r="GY60" s="608"/>
      <c r="GZ60" s="608"/>
      <c r="HA60" s="608"/>
      <c r="HB60" s="608"/>
      <c r="HC60" s="608"/>
      <c r="HD60" s="608"/>
      <c r="HE60" s="608"/>
      <c r="HF60" s="608"/>
      <c r="HG60" s="608"/>
      <c r="HH60" s="608"/>
      <c r="HI60" s="608"/>
      <c r="HJ60" s="608"/>
      <c r="HK60" s="608"/>
      <c r="HL60" s="608"/>
      <c r="HM60" s="608"/>
      <c r="HN60" s="608"/>
      <c r="HO60" s="608"/>
      <c r="HP60" s="608"/>
      <c r="HQ60" s="608"/>
      <c r="HR60" s="608"/>
      <c r="HS60" s="608"/>
      <c r="HT60" s="608"/>
      <c r="HU60" s="608"/>
      <c r="HV60" s="608"/>
      <c r="HW60" s="608"/>
      <c r="HX60" s="608"/>
      <c r="HY60" s="608"/>
      <c r="HZ60" s="608"/>
      <c r="IA60" s="608"/>
      <c r="IB60" s="608"/>
      <c r="IC60" s="608"/>
      <c r="ID60" s="608"/>
      <c r="IE60" s="608"/>
      <c r="IF60" s="608"/>
      <c r="IG60" s="608"/>
      <c r="IH60" s="608"/>
      <c r="II60" s="608"/>
      <c r="IJ60" s="608"/>
      <c r="IK60" s="608"/>
      <c r="IL60" s="608"/>
      <c r="IM60" s="608"/>
      <c r="IN60" s="608"/>
      <c r="IO60" s="608"/>
      <c r="IP60" s="608"/>
      <c r="IQ60" s="608"/>
      <c r="IR60" s="608"/>
      <c r="IS60" s="608"/>
      <c r="IT60" s="608"/>
      <c r="IU60" s="608"/>
      <c r="IV60" s="608"/>
      <c r="IW60" s="608"/>
      <c r="IX60" s="608"/>
      <c r="IY60" s="608"/>
      <c r="IZ60" s="608"/>
      <c r="JA60" s="608"/>
      <c r="JB60" s="608"/>
      <c r="JC60" s="608"/>
      <c r="JD60" s="608"/>
      <c r="JE60" s="608"/>
      <c r="JF60" s="608"/>
      <c r="JG60" s="608"/>
      <c r="JH60" s="608"/>
      <c r="JI60" s="608"/>
      <c r="JJ60" s="608"/>
      <c r="JK60" s="608"/>
      <c r="JL60" s="608"/>
      <c r="JM60" s="608"/>
      <c r="JN60" s="608"/>
      <c r="JO60" s="608"/>
      <c r="JP60" s="608"/>
      <c r="JQ60" s="608"/>
      <c r="JR60" s="608"/>
      <c r="JS60" s="608"/>
      <c r="JT60" s="608"/>
      <c r="JU60" s="608"/>
      <c r="JV60" s="608"/>
      <c r="JW60" s="608"/>
      <c r="JX60" s="608"/>
      <c r="JY60" s="608"/>
      <c r="JZ60" s="608"/>
      <c r="KA60" s="608"/>
      <c r="KB60" s="608"/>
      <c r="KC60" s="608"/>
      <c r="KD60" s="608"/>
      <c r="KE60" s="608"/>
      <c r="KF60" s="608"/>
      <c r="KG60" s="608"/>
      <c r="KH60" s="608"/>
      <c r="KI60" s="608"/>
      <c r="KJ60" s="608"/>
      <c r="KK60" s="608"/>
      <c r="KL60" s="608"/>
      <c r="KM60" s="608"/>
      <c r="KN60" s="608"/>
      <c r="KO60" s="608"/>
      <c r="KP60" s="608"/>
      <c r="KQ60" s="608"/>
      <c r="KR60" s="608"/>
      <c r="KS60" s="608"/>
      <c r="KT60" s="608"/>
      <c r="KU60" s="608"/>
      <c r="KV60" s="608"/>
      <c r="KW60" s="608"/>
      <c r="KX60" s="608"/>
      <c r="KY60" s="608"/>
      <c r="KZ60" s="608"/>
      <c r="LA60" s="608"/>
      <c r="LB60" s="608"/>
      <c r="LC60" s="608"/>
      <c r="LD60" s="608"/>
      <c r="LE60" s="608"/>
      <c r="LF60" s="608"/>
      <c r="LG60" s="608"/>
      <c r="LH60" s="608"/>
      <c r="LI60" s="608"/>
      <c r="LJ60" s="608"/>
      <c r="LK60" s="608"/>
      <c r="LL60" s="608"/>
      <c r="LM60" s="608"/>
      <c r="LN60" s="608"/>
      <c r="LO60" s="608"/>
      <c r="LP60" s="608"/>
      <c r="LQ60" s="608"/>
      <c r="LR60" s="608"/>
      <c r="LS60" s="608"/>
      <c r="LT60" s="608"/>
      <c r="LU60" s="608"/>
      <c r="LV60" s="608"/>
      <c r="LW60" s="608"/>
      <c r="LX60" s="608"/>
      <c r="LY60" s="608"/>
      <c r="LZ60" s="608"/>
      <c r="MA60" s="608"/>
      <c r="MB60" s="608"/>
      <c r="MC60" s="608"/>
      <c r="MD60" s="608"/>
      <c r="ME60" s="608"/>
      <c r="MF60" s="608"/>
      <c r="MG60" s="608"/>
      <c r="MH60" s="608"/>
      <c r="MI60" s="608"/>
      <c r="MJ60" s="608"/>
      <c r="MK60" s="608"/>
      <c r="ML60" s="608"/>
      <c r="MM60" s="608"/>
      <c r="MN60" s="608"/>
      <c r="MO60" s="608"/>
      <c r="MP60" s="608"/>
      <c r="MQ60" s="608"/>
      <c r="MR60" s="608"/>
      <c r="MS60" s="608"/>
      <c r="MT60" s="608"/>
      <c r="MU60" s="608"/>
      <c r="MV60" s="608"/>
      <c r="MW60" s="608"/>
      <c r="MX60" s="608"/>
      <c r="MY60" s="608"/>
      <c r="MZ60" s="608"/>
      <c r="NA60" s="608"/>
      <c r="NB60" s="608"/>
      <c r="NC60" s="608"/>
      <c r="ND60" s="608"/>
      <c r="NE60" s="608"/>
      <c r="NF60" s="608"/>
      <c r="NG60" s="608"/>
      <c r="NH60" s="608"/>
      <c r="NI60" s="608"/>
      <c r="NJ60" s="608"/>
      <c r="NK60" s="608"/>
      <c r="NL60" s="608"/>
      <c r="NM60" s="608"/>
      <c r="NN60" s="608"/>
      <c r="NO60" s="608"/>
      <c r="NP60" s="608"/>
      <c r="NQ60" s="608"/>
      <c r="NR60" s="608"/>
      <c r="NS60" s="608"/>
      <c r="NT60" s="608"/>
      <c r="NU60" s="608"/>
      <c r="NV60" s="608"/>
      <c r="NW60" s="608"/>
      <c r="NX60" s="608"/>
      <c r="NY60" s="608"/>
      <c r="NZ60" s="608"/>
      <c r="OA60" s="608"/>
      <c r="OB60" s="608"/>
      <c r="OC60" s="608"/>
      <c r="OD60" s="608"/>
      <c r="OE60" s="608"/>
      <c r="OF60" s="608"/>
      <c r="OG60" s="608"/>
      <c r="OH60" s="608"/>
      <c r="OI60" s="608"/>
      <c r="OJ60" s="608"/>
      <c r="OK60" s="608"/>
      <c r="OL60" s="608"/>
      <c r="OM60" s="608"/>
      <c r="ON60" s="608"/>
      <c r="OO60" s="608"/>
      <c r="OP60" s="608"/>
      <c r="OQ60" s="608"/>
      <c r="OR60" s="608"/>
      <c r="OS60" s="608"/>
      <c r="OT60" s="608"/>
      <c r="OU60" s="608"/>
      <c r="OV60" s="608"/>
      <c r="OW60" s="608"/>
      <c r="OX60" s="608"/>
      <c r="OY60" s="608"/>
      <c r="OZ60" s="608"/>
      <c r="PA60" s="608"/>
      <c r="PB60" s="608"/>
      <c r="PC60" s="608"/>
      <c r="PD60" s="608"/>
      <c r="PE60" s="608"/>
      <c r="PF60" s="608"/>
      <c r="PG60" s="608"/>
      <c r="PH60" s="608"/>
      <c r="PI60" s="608"/>
      <c r="PJ60" s="608"/>
      <c r="PK60" s="608"/>
      <c r="PL60" s="608"/>
      <c r="PM60" s="608"/>
      <c r="PN60" s="608"/>
      <c r="PO60" s="608"/>
      <c r="PP60" s="608"/>
      <c r="PQ60" s="608"/>
      <c r="PR60" s="608"/>
      <c r="PS60" s="608"/>
      <c r="PT60" s="608"/>
      <c r="PU60" s="608"/>
      <c r="PV60" s="608"/>
      <c r="PW60" s="608"/>
      <c r="PX60" s="608"/>
      <c r="PY60" s="608"/>
      <c r="PZ60" s="608"/>
      <c r="QA60" s="608"/>
      <c r="QB60" s="608"/>
      <c r="QC60" s="608"/>
      <c r="QD60" s="608"/>
      <c r="QE60" s="608"/>
      <c r="QF60" s="608"/>
      <c r="QG60" s="608"/>
      <c r="QH60" s="608"/>
      <c r="QI60" s="608"/>
      <c r="QJ60" s="608"/>
      <c r="QK60" s="608"/>
      <c r="QL60" s="608"/>
      <c r="QM60" s="608"/>
      <c r="QN60" s="608"/>
      <c r="QO60" s="608"/>
      <c r="QP60" s="608"/>
      <c r="QQ60" s="608"/>
      <c r="QR60" s="608"/>
      <c r="QS60" s="608"/>
      <c r="QT60" s="608"/>
      <c r="QU60" s="608"/>
      <c r="QV60" s="608"/>
      <c r="QW60" s="608"/>
      <c r="QX60" s="608"/>
      <c r="QY60" s="608"/>
      <c r="QZ60" s="608"/>
      <c r="RA60" s="608"/>
      <c r="RB60" s="608"/>
      <c r="RC60" s="608"/>
      <c r="RD60" s="608"/>
      <c r="RE60" s="608"/>
      <c r="RF60" s="608"/>
      <c r="RG60" s="608"/>
      <c r="RH60" s="608"/>
      <c r="RI60" s="608"/>
      <c r="RJ60" s="608"/>
      <c r="RK60" s="608"/>
      <c r="RL60" s="608"/>
      <c r="RM60" s="608"/>
      <c r="RN60" s="608"/>
      <c r="RO60" s="608"/>
      <c r="RP60" s="608"/>
      <c r="RQ60" s="608"/>
      <c r="RR60" s="608"/>
      <c r="RS60" s="608"/>
      <c r="RT60" s="608"/>
      <c r="RU60" s="608"/>
      <c r="RV60" s="608"/>
      <c r="RW60" s="608"/>
      <c r="RX60" s="608"/>
      <c r="RY60" s="608"/>
      <c r="RZ60" s="608"/>
      <c r="SA60" s="608"/>
      <c r="SB60" s="608"/>
      <c r="SC60" s="608"/>
      <c r="SD60" s="608"/>
      <c r="SE60" s="608"/>
      <c r="SF60" s="608"/>
      <c r="SG60" s="608"/>
      <c r="SH60" s="608"/>
      <c r="SI60" s="608"/>
      <c r="SJ60" s="608"/>
      <c r="SK60" s="608"/>
      <c r="SL60" s="608"/>
      <c r="SM60" s="608"/>
      <c r="SN60" s="608"/>
      <c r="SO60" s="608"/>
      <c r="SP60" s="608"/>
      <c r="SQ60" s="608"/>
      <c r="SR60" s="608"/>
      <c r="SS60" s="608"/>
      <c r="ST60" s="608"/>
      <c r="SU60" s="608"/>
      <c r="SV60" s="608"/>
      <c r="SW60" s="608"/>
      <c r="SX60" s="608"/>
      <c r="SY60" s="608"/>
      <c r="SZ60" s="608"/>
      <c r="TA60" s="608"/>
      <c r="TB60" s="608"/>
      <c r="TC60" s="608"/>
      <c r="TD60" s="608"/>
      <c r="TE60" s="608"/>
      <c r="TF60" s="608"/>
      <c r="TG60" s="608"/>
      <c r="TH60" s="608"/>
      <c r="TI60" s="608"/>
      <c r="TJ60" s="608"/>
      <c r="TK60" s="608"/>
      <c r="TL60" s="608"/>
      <c r="TM60" s="608"/>
      <c r="TN60" s="608"/>
      <c r="TO60" s="608"/>
      <c r="TP60" s="608"/>
      <c r="TQ60" s="608"/>
      <c r="TR60" s="608"/>
      <c r="TS60" s="608"/>
      <c r="TT60" s="608"/>
      <c r="TU60" s="608"/>
      <c r="TV60" s="608"/>
      <c r="TW60" s="608"/>
      <c r="TX60" s="608"/>
      <c r="TY60" s="608"/>
      <c r="TZ60" s="608"/>
      <c r="UA60" s="608"/>
      <c r="UB60" s="608"/>
      <c r="UC60" s="608"/>
      <c r="UD60" s="608"/>
      <c r="UE60" s="608"/>
      <c r="UF60" s="608"/>
      <c r="UG60" s="608"/>
      <c r="UH60" s="608"/>
      <c r="UI60" s="608"/>
      <c r="UJ60" s="608"/>
      <c r="UK60" s="608"/>
      <c r="UL60" s="608"/>
      <c r="UM60" s="608"/>
      <c r="UN60" s="608"/>
      <c r="UO60" s="608"/>
      <c r="UP60" s="608"/>
      <c r="UQ60" s="608"/>
      <c r="UR60" s="608"/>
      <c r="US60" s="608"/>
      <c r="UT60" s="608"/>
      <c r="UU60" s="608"/>
      <c r="UV60" s="608"/>
      <c r="UW60" s="608"/>
      <c r="UX60" s="608"/>
      <c r="UY60" s="608"/>
      <c r="UZ60" s="608"/>
      <c r="VA60" s="608"/>
      <c r="VB60" s="608"/>
      <c r="VC60" s="608"/>
      <c r="VD60" s="608"/>
      <c r="VE60" s="608"/>
      <c r="VF60" s="608"/>
      <c r="VG60" s="608"/>
      <c r="VH60" s="608"/>
      <c r="VI60" s="608"/>
      <c r="VJ60" s="608"/>
      <c r="VK60" s="608"/>
      <c r="VL60" s="608"/>
      <c r="VM60" s="608"/>
      <c r="VN60" s="608"/>
      <c r="VO60" s="608"/>
      <c r="VP60" s="608"/>
      <c r="VQ60" s="608"/>
      <c r="VR60" s="608"/>
      <c r="VS60" s="608"/>
      <c r="VT60" s="608"/>
      <c r="VU60" s="608"/>
      <c r="VV60" s="608"/>
      <c r="VW60" s="608"/>
      <c r="VX60" s="608"/>
      <c r="VY60" s="608"/>
      <c r="VZ60" s="608"/>
      <c r="WA60" s="608"/>
      <c r="WB60" s="608"/>
      <c r="WC60" s="608"/>
      <c r="WD60" s="608"/>
      <c r="WE60" s="608"/>
      <c r="WF60" s="608"/>
      <c r="WG60" s="608"/>
      <c r="WH60" s="608"/>
      <c r="WI60" s="608"/>
      <c r="WJ60" s="608"/>
      <c r="WK60" s="608"/>
      <c r="WL60" s="608"/>
      <c r="WM60" s="608"/>
      <c r="WN60" s="608"/>
      <c r="WO60" s="608"/>
      <c r="WP60" s="608"/>
      <c r="WQ60" s="608"/>
      <c r="WR60" s="608"/>
      <c r="WS60" s="608"/>
      <c r="WT60" s="608"/>
      <c r="WU60" s="608"/>
      <c r="WV60" s="608"/>
      <c r="WW60" s="608"/>
      <c r="WX60" s="608"/>
      <c r="WY60" s="608"/>
      <c r="WZ60" s="608"/>
      <c r="XA60" s="608"/>
      <c r="XB60" s="608"/>
      <c r="XC60" s="608"/>
      <c r="XD60" s="608"/>
      <c r="XE60" s="608"/>
      <c r="XF60" s="608"/>
      <c r="XG60" s="608"/>
      <c r="XH60" s="608"/>
      <c r="XI60" s="608"/>
      <c r="XJ60" s="608"/>
      <c r="XK60" s="608"/>
      <c r="XL60" s="608"/>
      <c r="XM60" s="608"/>
      <c r="XN60" s="608"/>
      <c r="XO60" s="608"/>
      <c r="XP60" s="608"/>
      <c r="XQ60" s="608"/>
      <c r="XR60" s="608"/>
      <c r="XS60" s="608"/>
      <c r="XT60" s="608"/>
      <c r="XU60" s="608"/>
      <c r="XV60" s="608"/>
      <c r="XW60" s="608"/>
      <c r="XX60" s="608"/>
      <c r="XY60" s="608"/>
      <c r="XZ60" s="608"/>
      <c r="YA60" s="608"/>
      <c r="YB60" s="608"/>
      <c r="YC60" s="608"/>
      <c r="YD60" s="608"/>
      <c r="YE60" s="608"/>
      <c r="YF60" s="608"/>
      <c r="YG60" s="608"/>
      <c r="YH60" s="608"/>
      <c r="YI60" s="608"/>
      <c r="YJ60" s="608"/>
      <c r="YK60" s="608"/>
      <c r="YL60" s="608"/>
      <c r="YM60" s="608"/>
      <c r="YN60" s="608"/>
      <c r="YO60" s="608"/>
      <c r="YP60" s="608"/>
      <c r="YQ60" s="608"/>
      <c r="YR60" s="608"/>
      <c r="YS60" s="608"/>
      <c r="YT60" s="608"/>
      <c r="YU60" s="608"/>
      <c r="YV60" s="608"/>
      <c r="YW60" s="608"/>
      <c r="YX60" s="608"/>
      <c r="YY60" s="608"/>
      <c r="YZ60" s="608"/>
      <c r="ZA60" s="608"/>
      <c r="ZB60" s="608"/>
      <c r="ZC60" s="608"/>
      <c r="ZD60" s="608"/>
      <c r="ZE60" s="608"/>
      <c r="ZF60" s="608"/>
      <c r="ZG60" s="608"/>
      <c r="ZH60" s="608"/>
      <c r="ZI60" s="608"/>
      <c r="ZJ60" s="608"/>
      <c r="ZK60" s="608"/>
      <c r="ZL60" s="608"/>
      <c r="ZM60" s="608"/>
      <c r="ZN60" s="608"/>
      <c r="ZO60" s="608"/>
      <c r="ZP60" s="608"/>
      <c r="ZQ60" s="608"/>
      <c r="ZR60" s="608"/>
      <c r="ZS60" s="608"/>
      <c r="ZT60" s="608"/>
      <c r="ZU60" s="608"/>
      <c r="ZV60" s="608"/>
      <c r="ZW60" s="608"/>
      <c r="ZX60" s="608"/>
      <c r="ZY60" s="608"/>
      <c r="ZZ60" s="608"/>
      <c r="AAA60" s="608"/>
      <c r="AAB60" s="608"/>
      <c r="AAC60" s="608"/>
      <c r="AAD60" s="608"/>
      <c r="AAE60" s="608"/>
      <c r="AAF60" s="608"/>
      <c r="AAG60" s="608"/>
      <c r="AAH60" s="608"/>
      <c r="AAI60" s="608"/>
      <c r="AAJ60" s="608"/>
      <c r="AAK60" s="608"/>
      <c r="AAL60" s="608"/>
      <c r="AAM60" s="608"/>
      <c r="AAN60" s="608"/>
      <c r="AAO60" s="608"/>
      <c r="AAP60" s="608"/>
      <c r="AAQ60" s="608"/>
      <c r="AAR60" s="608"/>
      <c r="AAS60" s="608"/>
      <c r="AAT60" s="608"/>
      <c r="AAU60" s="608"/>
      <c r="AAV60" s="608"/>
      <c r="AAW60" s="608"/>
      <c r="AAX60" s="608"/>
      <c r="AAY60" s="608"/>
      <c r="AAZ60" s="608"/>
      <c r="ABA60" s="608"/>
      <c r="ABB60" s="608"/>
      <c r="ABC60" s="608"/>
      <c r="ABD60" s="608"/>
      <c r="ABE60" s="608"/>
      <c r="ABF60" s="608"/>
      <c r="ABG60" s="608"/>
      <c r="ABH60" s="608"/>
      <c r="ABI60" s="608"/>
      <c r="ABJ60" s="608"/>
      <c r="ABK60" s="608"/>
      <c r="ABL60" s="608"/>
      <c r="ABM60" s="608"/>
      <c r="ABN60" s="608"/>
      <c r="ABO60" s="608"/>
      <c r="ABP60" s="608"/>
      <c r="ABQ60" s="608"/>
      <c r="ABR60" s="608"/>
      <c r="ABS60" s="608"/>
      <c r="ABT60" s="608"/>
      <c r="ABU60" s="608"/>
      <c r="ABV60" s="608"/>
      <c r="ABW60" s="608"/>
      <c r="ABX60" s="608"/>
      <c r="ABY60" s="608"/>
      <c r="ABZ60" s="608"/>
      <c r="ACA60" s="608"/>
      <c r="ACB60" s="608"/>
      <c r="ACC60" s="608"/>
      <c r="ACD60" s="608"/>
      <c r="ACE60" s="608"/>
      <c r="ACF60" s="608"/>
      <c r="ACG60" s="608"/>
      <c r="ACH60" s="608"/>
      <c r="ACI60" s="608"/>
      <c r="ACJ60" s="608"/>
      <c r="ACK60" s="608"/>
      <c r="ACL60" s="608"/>
      <c r="ACM60" s="608"/>
      <c r="ACN60" s="608"/>
      <c r="ACO60" s="608"/>
      <c r="ACP60" s="608"/>
      <c r="ACQ60" s="608"/>
      <c r="ACR60" s="608"/>
      <c r="ACS60" s="608"/>
      <c r="ACT60" s="608"/>
      <c r="ACU60" s="608"/>
      <c r="ACV60" s="608"/>
      <c r="ACW60" s="608"/>
      <c r="ACX60" s="608"/>
      <c r="ACY60" s="608"/>
      <c r="ACZ60" s="608"/>
      <c r="ADA60" s="608"/>
      <c r="ADB60" s="608"/>
      <c r="ADC60" s="608"/>
      <c r="ADD60" s="608"/>
      <c r="ADE60" s="608"/>
      <c r="ADF60" s="608"/>
      <c r="ADG60" s="608"/>
      <c r="ADH60" s="608"/>
      <c r="ADI60" s="608"/>
      <c r="ADJ60" s="608"/>
      <c r="ADK60" s="608"/>
      <c r="ADL60" s="608"/>
      <c r="ADM60" s="608"/>
      <c r="ADN60" s="608"/>
      <c r="ADO60" s="608"/>
      <c r="ADP60" s="608"/>
      <c r="ADQ60" s="608"/>
      <c r="ADR60" s="608"/>
      <c r="ADS60" s="608"/>
      <c r="ADT60" s="608"/>
      <c r="ADU60" s="608"/>
      <c r="ADV60" s="608"/>
      <c r="ADW60" s="608"/>
      <c r="ADX60" s="608"/>
      <c r="ADY60" s="608"/>
      <c r="ADZ60" s="608"/>
      <c r="AEA60" s="608"/>
      <c r="AEB60" s="608"/>
      <c r="AEC60" s="608"/>
      <c r="AED60" s="608"/>
      <c r="AEE60" s="608"/>
      <c r="AEF60" s="608"/>
      <c r="AEG60" s="608"/>
      <c r="AEH60" s="608"/>
      <c r="AEI60" s="608"/>
      <c r="AEJ60" s="608"/>
      <c r="AEK60" s="608"/>
      <c r="AEL60" s="608"/>
      <c r="AEM60" s="608"/>
      <c r="AEN60" s="608"/>
      <c r="AEO60" s="608"/>
      <c r="AEP60" s="608"/>
      <c r="AEQ60" s="608"/>
      <c r="AER60" s="608"/>
      <c r="AES60" s="608"/>
      <c r="AET60" s="608"/>
      <c r="AEU60" s="608"/>
      <c r="AEV60" s="608"/>
      <c r="AEW60" s="608"/>
      <c r="AEX60" s="608"/>
      <c r="AEY60" s="608"/>
      <c r="AEZ60" s="608"/>
      <c r="AFA60" s="608"/>
      <c r="AFB60" s="608"/>
      <c r="AFC60" s="608"/>
      <c r="AFD60" s="608"/>
      <c r="AFE60" s="608"/>
      <c r="AFF60" s="608"/>
      <c r="AFG60" s="608"/>
      <c r="AFH60" s="608"/>
      <c r="AFI60" s="608"/>
      <c r="AFJ60" s="608"/>
      <c r="AFK60" s="608"/>
      <c r="AFL60" s="608"/>
      <c r="AFM60" s="608"/>
      <c r="AFN60" s="608"/>
      <c r="AFO60" s="608"/>
      <c r="AFP60" s="608"/>
      <c r="AFQ60" s="608"/>
      <c r="AFR60" s="608"/>
      <c r="AFS60" s="608"/>
      <c r="AFT60" s="608"/>
      <c r="AFU60" s="608"/>
      <c r="AFV60" s="608"/>
      <c r="AFW60" s="608"/>
      <c r="AFX60" s="608"/>
      <c r="AFY60" s="608"/>
      <c r="AFZ60" s="608"/>
      <c r="AGA60" s="608"/>
      <c r="AGB60" s="608"/>
      <c r="AGC60" s="608"/>
      <c r="AGD60" s="608"/>
      <c r="AGE60" s="608"/>
      <c r="AGF60" s="608"/>
      <c r="AGG60" s="608"/>
      <c r="AGH60" s="608"/>
      <c r="AGI60" s="608"/>
      <c r="AGJ60" s="608"/>
      <c r="AGK60" s="608"/>
      <c r="AGL60" s="608"/>
      <c r="AGM60" s="608"/>
      <c r="AGN60" s="608"/>
      <c r="AGO60" s="608"/>
      <c r="AGP60" s="608"/>
      <c r="AGQ60" s="608"/>
      <c r="AGR60" s="608"/>
      <c r="AGS60" s="608"/>
      <c r="AGT60" s="608"/>
      <c r="AGU60" s="608"/>
      <c r="AGV60" s="608"/>
      <c r="AGW60" s="608"/>
      <c r="AGX60" s="608"/>
      <c r="AGY60" s="608"/>
      <c r="AGZ60" s="608"/>
      <c r="AHA60" s="608"/>
      <c r="AHB60" s="608"/>
      <c r="AHC60" s="608"/>
      <c r="AHD60" s="608"/>
      <c r="AHE60" s="608"/>
      <c r="AHF60" s="608"/>
      <c r="AHG60" s="608"/>
      <c r="AHH60" s="608"/>
      <c r="AHI60" s="608"/>
      <c r="AHJ60" s="608"/>
      <c r="AHK60" s="608"/>
      <c r="AHL60" s="608"/>
      <c r="AHM60" s="608"/>
      <c r="AHN60" s="608"/>
      <c r="AHO60" s="608"/>
      <c r="AHP60" s="608"/>
      <c r="AHQ60" s="608"/>
      <c r="AHR60" s="608"/>
      <c r="AHS60" s="608"/>
      <c r="AHT60" s="608"/>
      <c r="AHU60" s="608"/>
      <c r="AHV60" s="608"/>
      <c r="AHW60" s="608"/>
      <c r="AHX60" s="608"/>
      <c r="AHY60" s="608"/>
      <c r="AHZ60" s="608"/>
      <c r="AIA60" s="608"/>
      <c r="AIB60" s="608"/>
      <c r="AIC60" s="608"/>
      <c r="AID60" s="608"/>
      <c r="AIE60" s="608"/>
      <c r="AIF60" s="608"/>
      <c r="AIG60" s="608"/>
      <c r="AIH60" s="608"/>
      <c r="AII60" s="608"/>
      <c r="AIJ60" s="608"/>
      <c r="AIK60" s="608"/>
      <c r="AIL60" s="608"/>
      <c r="AIM60" s="608"/>
      <c r="AIN60" s="608"/>
      <c r="AIO60" s="608"/>
      <c r="AIP60" s="608"/>
      <c r="AIQ60" s="608"/>
      <c r="AIR60" s="608"/>
      <c r="AIS60" s="608"/>
      <c r="AIT60" s="608"/>
      <c r="AIU60" s="608"/>
      <c r="AIV60" s="608"/>
      <c r="AIW60" s="608"/>
      <c r="AIX60" s="608"/>
      <c r="AIY60" s="608"/>
      <c r="AIZ60" s="608"/>
      <c r="AJA60" s="608"/>
      <c r="AJB60" s="608"/>
      <c r="AJC60" s="608"/>
      <c r="AJD60" s="608"/>
      <c r="AJE60" s="608"/>
      <c r="AJF60" s="608"/>
      <c r="AJG60" s="608"/>
      <c r="AJH60" s="608"/>
      <c r="AJI60" s="608"/>
      <c r="AJJ60" s="608"/>
      <c r="AJK60" s="608"/>
      <c r="AJL60" s="608"/>
      <c r="AJM60" s="608"/>
      <c r="AJN60" s="608"/>
      <c r="AJO60" s="608"/>
      <c r="AJP60" s="608"/>
      <c r="AJQ60" s="608"/>
      <c r="AJR60" s="608"/>
      <c r="AJS60" s="608"/>
      <c r="AJT60" s="608"/>
      <c r="AJU60" s="608"/>
      <c r="AJV60" s="608"/>
      <c r="AJW60" s="608"/>
      <c r="AJX60" s="608"/>
      <c r="AJY60" s="608"/>
      <c r="AJZ60" s="608"/>
      <c r="AKA60" s="608"/>
      <c r="AKB60" s="608"/>
      <c r="AKC60" s="608"/>
      <c r="AKD60" s="608"/>
      <c r="AKE60" s="608"/>
      <c r="AKF60" s="608"/>
      <c r="AKG60" s="608"/>
      <c r="AKH60" s="608"/>
      <c r="AKI60" s="608"/>
      <c r="AKJ60" s="608"/>
      <c r="AKK60" s="608"/>
      <c r="AKL60" s="608"/>
      <c r="AKM60" s="608"/>
      <c r="AKN60" s="608"/>
      <c r="AKO60" s="608"/>
      <c r="AKP60" s="608"/>
      <c r="AKQ60" s="608"/>
      <c r="AKR60" s="608"/>
      <c r="AKS60" s="608"/>
      <c r="AKT60" s="608"/>
      <c r="AKU60" s="608"/>
      <c r="AKV60" s="608"/>
      <c r="AKW60" s="608"/>
      <c r="AKX60" s="608"/>
      <c r="AKY60" s="608"/>
      <c r="AKZ60" s="608"/>
      <c r="ALA60" s="608"/>
      <c r="ALB60" s="608"/>
      <c r="ALC60" s="608"/>
      <c r="ALD60" s="608"/>
      <c r="ALE60" s="608"/>
      <c r="ALF60" s="608"/>
      <c r="ALG60" s="608"/>
      <c r="ALH60" s="608"/>
      <c r="ALI60" s="608"/>
      <c r="ALJ60" s="608"/>
      <c r="ALK60" s="608"/>
      <c r="ALL60" s="608"/>
      <c r="ALM60" s="608"/>
      <c r="ALN60" s="608"/>
      <c r="ALO60" s="608"/>
      <c r="ALP60" s="608"/>
      <c r="ALQ60" s="608"/>
      <c r="ALR60" s="608"/>
      <c r="ALS60" s="608"/>
      <c r="ALT60" s="608"/>
      <c r="ALU60" s="608"/>
      <c r="ALV60" s="608"/>
      <c r="ALW60" s="608"/>
      <c r="ALX60" s="608"/>
      <c r="ALY60" s="608"/>
      <c r="ALZ60" s="608"/>
      <c r="AMA60" s="608"/>
      <c r="AMB60" s="608"/>
      <c r="AMC60" s="608"/>
      <c r="AMD60" s="608"/>
      <c r="AME60" s="608"/>
      <c r="AMF60" s="608"/>
      <c r="AMG60" s="608"/>
      <c r="AMH60" s="608"/>
      <c r="AMI60" s="608"/>
      <c r="AMJ60" s="608"/>
      <c r="AMK60" s="608"/>
      <c r="AML60" s="608"/>
      <c r="AMM60" s="608"/>
      <c r="AMN60" s="608"/>
      <c r="AMO60" s="608"/>
      <c r="AMP60" s="608"/>
      <c r="AMQ60" s="608"/>
      <c r="AMR60" s="608"/>
      <c r="AMS60" s="608"/>
      <c r="AMT60" s="608"/>
      <c r="AMU60" s="608"/>
      <c r="AMV60" s="608"/>
      <c r="AMW60" s="608"/>
      <c r="AMX60" s="608"/>
      <c r="AMY60" s="608"/>
      <c r="AMZ60" s="608"/>
      <c r="ANA60" s="608"/>
      <c r="ANB60" s="608"/>
      <c r="ANC60" s="608"/>
      <c r="AND60" s="608"/>
      <c r="ANE60" s="608"/>
      <c r="ANF60" s="608"/>
      <c r="ANG60" s="608"/>
      <c r="ANH60" s="608"/>
      <c r="ANI60" s="608"/>
      <c r="ANJ60" s="608"/>
      <c r="ANK60" s="608"/>
      <c r="ANL60" s="608"/>
      <c r="ANM60" s="608"/>
      <c r="ANN60" s="608"/>
      <c r="ANO60" s="608"/>
      <c r="ANP60" s="608"/>
      <c r="ANQ60" s="608"/>
      <c r="ANR60" s="608"/>
      <c r="ANS60" s="608"/>
      <c r="ANT60" s="608"/>
      <c r="ANU60" s="608"/>
      <c r="ANV60" s="608"/>
      <c r="ANW60" s="608"/>
      <c r="ANX60" s="608"/>
      <c r="ANY60" s="608"/>
      <c r="ANZ60" s="608"/>
      <c r="AOA60" s="608"/>
      <c r="AOB60" s="608"/>
      <c r="AOC60" s="608"/>
      <c r="AOD60" s="608"/>
      <c r="AOE60" s="608"/>
      <c r="AOF60" s="608"/>
      <c r="AOG60" s="608"/>
      <c r="AOH60" s="608"/>
      <c r="AOI60" s="608"/>
      <c r="AOJ60" s="608"/>
      <c r="AOK60" s="608"/>
      <c r="AOL60" s="608"/>
      <c r="AOM60" s="608"/>
      <c r="AON60" s="608"/>
      <c r="AOO60" s="608"/>
      <c r="AOP60" s="608"/>
      <c r="AOQ60" s="608"/>
      <c r="AOR60" s="608"/>
      <c r="AOS60" s="608"/>
      <c r="AOT60" s="608"/>
      <c r="AOU60" s="608"/>
      <c r="AOV60" s="608"/>
      <c r="AOW60" s="608"/>
      <c r="AOX60" s="608"/>
      <c r="AOY60" s="608"/>
      <c r="AOZ60" s="608"/>
      <c r="APA60" s="608"/>
      <c r="APB60" s="608"/>
      <c r="APC60" s="608"/>
      <c r="APD60" s="608"/>
      <c r="APE60" s="608"/>
      <c r="APF60" s="608"/>
      <c r="APG60" s="608"/>
      <c r="APH60" s="608"/>
      <c r="API60" s="608"/>
      <c r="APJ60" s="608"/>
      <c r="APK60" s="608"/>
      <c r="APL60" s="608"/>
      <c r="APM60" s="608"/>
      <c r="APN60" s="608"/>
      <c r="APO60" s="608"/>
      <c r="APP60" s="608"/>
      <c r="APQ60" s="608"/>
      <c r="APR60" s="608"/>
      <c r="APS60" s="608"/>
      <c r="APT60" s="608"/>
      <c r="APU60" s="608"/>
      <c r="APV60" s="608"/>
      <c r="APW60" s="608"/>
      <c r="APX60" s="608"/>
      <c r="APY60" s="608"/>
      <c r="APZ60" s="608"/>
      <c r="AQA60" s="608"/>
      <c r="AQB60" s="608"/>
      <c r="AQC60" s="608"/>
      <c r="AQD60" s="608"/>
      <c r="AQE60" s="608"/>
      <c r="AQF60" s="608"/>
      <c r="AQG60" s="608"/>
      <c r="AQH60" s="608"/>
      <c r="AQI60" s="608"/>
      <c r="AQJ60" s="608"/>
      <c r="AQK60" s="608"/>
      <c r="AQL60" s="608"/>
      <c r="AQM60" s="608"/>
      <c r="AQN60" s="608"/>
      <c r="AQO60" s="608"/>
      <c r="AQP60" s="608"/>
      <c r="AQQ60" s="608"/>
      <c r="AQR60" s="608"/>
      <c r="AQS60" s="608"/>
      <c r="AQT60" s="608"/>
      <c r="AQU60" s="608"/>
      <c r="AQV60" s="608"/>
      <c r="AQW60" s="608"/>
      <c r="AQX60" s="608"/>
      <c r="AQY60" s="608"/>
      <c r="AQZ60" s="608"/>
      <c r="ARA60" s="608"/>
      <c r="ARB60" s="608"/>
      <c r="ARC60" s="608"/>
      <c r="ARD60" s="608"/>
      <c r="ARE60" s="608"/>
      <c r="ARF60" s="608"/>
      <c r="ARG60" s="608"/>
      <c r="ARH60" s="608"/>
      <c r="ARI60" s="608"/>
      <c r="ARJ60" s="608"/>
      <c r="ARK60" s="608"/>
      <c r="ARL60" s="608"/>
      <c r="ARM60" s="608"/>
      <c r="ARN60" s="608"/>
      <c r="ARO60" s="608"/>
      <c r="ARP60" s="608"/>
      <c r="ARQ60" s="608"/>
      <c r="ARR60" s="608"/>
      <c r="ARS60" s="608"/>
      <c r="ART60" s="608"/>
      <c r="ARU60" s="608"/>
      <c r="ARV60" s="608"/>
      <c r="ARW60" s="608"/>
      <c r="ARX60" s="608"/>
      <c r="ARY60" s="608"/>
      <c r="ARZ60" s="608"/>
      <c r="ASA60" s="608"/>
      <c r="ASB60" s="608"/>
      <c r="ASC60" s="608"/>
      <c r="ASD60" s="608"/>
      <c r="ASE60" s="608"/>
      <c r="ASF60" s="608"/>
      <c r="ASG60" s="608"/>
      <c r="ASH60" s="608"/>
      <c r="ASI60" s="608"/>
      <c r="ASJ60" s="608"/>
      <c r="ASK60" s="608"/>
      <c r="ASL60" s="608"/>
      <c r="ASM60" s="608"/>
      <c r="ASN60" s="608"/>
      <c r="ASO60" s="608"/>
      <c r="ASP60" s="608"/>
      <c r="ASQ60" s="608"/>
      <c r="ASR60" s="608"/>
      <c r="ASS60" s="608"/>
      <c r="AST60" s="608"/>
      <c r="ASU60" s="608"/>
      <c r="ASV60" s="608"/>
      <c r="ASW60" s="608"/>
      <c r="ASX60" s="608"/>
      <c r="ASY60" s="608"/>
      <c r="ASZ60" s="608"/>
      <c r="ATA60" s="608"/>
      <c r="ATB60" s="608"/>
      <c r="ATC60" s="608"/>
      <c r="ATD60" s="608"/>
      <c r="ATE60" s="608"/>
      <c r="ATF60" s="608"/>
      <c r="ATG60" s="608"/>
      <c r="ATH60" s="608"/>
      <c r="ATI60" s="608"/>
      <c r="ATJ60" s="608"/>
      <c r="ATK60" s="608"/>
      <c r="ATL60" s="608"/>
      <c r="ATM60" s="608"/>
      <c r="ATN60" s="608"/>
      <c r="ATO60" s="608"/>
      <c r="ATP60" s="608"/>
      <c r="ATQ60" s="608"/>
      <c r="ATR60" s="608"/>
      <c r="ATS60" s="608"/>
      <c r="ATT60" s="608"/>
      <c r="ATU60" s="608"/>
      <c r="ATV60" s="608"/>
      <c r="ATW60" s="608"/>
      <c r="ATX60" s="608"/>
      <c r="ATY60" s="608"/>
      <c r="ATZ60" s="608"/>
      <c r="AUA60" s="608"/>
      <c r="AUB60" s="608"/>
      <c r="AUC60" s="608"/>
      <c r="AUD60" s="608"/>
      <c r="AUE60" s="608"/>
      <c r="AUF60" s="608"/>
      <c r="AUG60" s="608"/>
      <c r="AUH60" s="608"/>
      <c r="AUI60" s="608"/>
      <c r="AUJ60" s="608"/>
      <c r="AUK60" s="608"/>
      <c r="AUL60" s="608"/>
      <c r="AUM60" s="608"/>
      <c r="AUN60" s="608"/>
      <c r="AUO60" s="608"/>
      <c r="AUP60" s="608"/>
      <c r="AUQ60" s="608"/>
      <c r="AUR60" s="608"/>
      <c r="AUS60" s="608"/>
      <c r="AUT60" s="608"/>
      <c r="AUU60" s="608"/>
      <c r="AUV60" s="608"/>
      <c r="AUW60" s="608"/>
      <c r="AUX60" s="608"/>
      <c r="AUY60" s="608"/>
      <c r="AUZ60" s="608"/>
      <c r="AVA60" s="608"/>
      <c r="AVB60" s="608"/>
      <c r="AVC60" s="608"/>
      <c r="AVD60" s="608"/>
      <c r="AVE60" s="608"/>
      <c r="AVF60" s="608"/>
      <c r="AVG60" s="608"/>
      <c r="AVH60" s="608"/>
      <c r="AVI60" s="608"/>
      <c r="AVJ60" s="608"/>
      <c r="AVK60" s="608"/>
      <c r="AVL60" s="608"/>
      <c r="AVM60" s="608"/>
      <c r="AVN60" s="608"/>
      <c r="AVO60" s="608"/>
      <c r="AVP60" s="608"/>
      <c r="AVQ60" s="608"/>
      <c r="AVR60" s="608"/>
      <c r="AVS60" s="608"/>
      <c r="AVT60" s="608"/>
      <c r="AVU60" s="608"/>
      <c r="AVV60" s="608"/>
      <c r="AVW60" s="608"/>
      <c r="AVX60" s="608"/>
      <c r="AVY60" s="608"/>
      <c r="AVZ60" s="608"/>
      <c r="AWA60" s="608"/>
      <c r="AWB60" s="608"/>
      <c r="AWC60" s="608"/>
      <c r="AWD60" s="608"/>
      <c r="AWE60" s="608"/>
      <c r="AWF60" s="608"/>
      <c r="AWG60" s="608"/>
      <c r="AWH60" s="608"/>
      <c r="AWI60" s="608"/>
      <c r="AWJ60" s="608"/>
      <c r="AWK60" s="608"/>
      <c r="AWL60" s="608"/>
      <c r="AWM60" s="608"/>
      <c r="AWN60" s="608"/>
      <c r="AWO60" s="608"/>
      <c r="AWP60" s="608"/>
      <c r="AWQ60" s="608"/>
      <c r="AWR60" s="608"/>
      <c r="AWS60" s="608"/>
      <c r="AWT60" s="608"/>
      <c r="AWU60" s="608"/>
      <c r="AWV60" s="608"/>
      <c r="AWW60" s="608"/>
      <c r="AWX60" s="608"/>
      <c r="AWY60" s="608"/>
      <c r="AWZ60" s="608"/>
      <c r="AXA60" s="608"/>
      <c r="AXB60" s="608"/>
      <c r="AXC60" s="608"/>
      <c r="AXD60" s="608"/>
      <c r="AXE60" s="608"/>
      <c r="AXF60" s="608"/>
      <c r="AXG60" s="608"/>
      <c r="AXH60" s="608"/>
      <c r="AXI60" s="608"/>
      <c r="AXJ60" s="608"/>
      <c r="AXK60" s="608"/>
      <c r="AXL60" s="608"/>
      <c r="AXM60" s="608"/>
      <c r="AXN60" s="608"/>
      <c r="AXO60" s="608"/>
      <c r="AXP60" s="608"/>
      <c r="AXQ60" s="608"/>
      <c r="AXR60" s="608"/>
      <c r="AXS60" s="608"/>
      <c r="AXT60" s="608"/>
      <c r="AXU60" s="608"/>
      <c r="AXV60" s="608"/>
      <c r="AXW60" s="608"/>
      <c r="AXX60" s="608"/>
      <c r="AXY60" s="608"/>
      <c r="AXZ60" s="608"/>
      <c r="AYA60" s="608"/>
      <c r="AYB60" s="608"/>
      <c r="AYC60" s="608"/>
      <c r="AYD60" s="608"/>
      <c r="AYE60" s="608"/>
      <c r="AYF60" s="608"/>
      <c r="AYG60" s="608"/>
      <c r="AYH60" s="608"/>
      <c r="AYI60" s="608"/>
      <c r="AYJ60" s="608"/>
      <c r="AYK60" s="608"/>
      <c r="AYL60" s="608"/>
      <c r="AYM60" s="608"/>
      <c r="AYN60" s="608"/>
      <c r="AYO60" s="608"/>
      <c r="AYP60" s="608"/>
      <c r="AYQ60" s="608"/>
      <c r="AYR60" s="608"/>
      <c r="AYS60" s="608"/>
      <c r="AYT60" s="608"/>
      <c r="AYU60" s="608"/>
      <c r="AYV60" s="608"/>
      <c r="AYW60" s="608"/>
      <c r="AYX60" s="608"/>
      <c r="AYY60" s="608"/>
      <c r="AYZ60" s="608"/>
      <c r="AZA60" s="608"/>
      <c r="AZB60" s="608"/>
      <c r="AZC60" s="608"/>
      <c r="AZD60" s="608"/>
      <c r="AZE60" s="608"/>
      <c r="AZF60" s="608"/>
      <c r="AZG60" s="608"/>
      <c r="AZH60" s="608"/>
      <c r="AZI60" s="608"/>
      <c r="AZJ60" s="608"/>
      <c r="AZK60" s="608"/>
      <c r="AZL60" s="608"/>
      <c r="AZM60" s="608"/>
      <c r="AZN60" s="608"/>
      <c r="AZO60" s="608"/>
      <c r="AZP60" s="608"/>
      <c r="AZQ60" s="608"/>
      <c r="AZR60" s="608"/>
      <c r="AZS60" s="608"/>
      <c r="AZT60" s="608"/>
      <c r="AZU60" s="608"/>
      <c r="AZV60" s="608"/>
      <c r="AZW60" s="608"/>
      <c r="AZX60" s="608"/>
      <c r="AZY60" s="608"/>
      <c r="AZZ60" s="608"/>
      <c r="BAA60" s="608"/>
      <c r="BAB60" s="608"/>
      <c r="BAC60" s="608"/>
      <c r="BAD60" s="608"/>
      <c r="BAE60" s="608"/>
      <c r="BAF60" s="608"/>
      <c r="BAG60" s="608"/>
      <c r="BAH60" s="608"/>
      <c r="BAI60" s="608"/>
      <c r="BAJ60" s="608"/>
      <c r="BAK60" s="608"/>
      <c r="BAL60" s="608"/>
      <c r="BAM60" s="608"/>
      <c r="BAN60" s="608"/>
      <c r="BAO60" s="608"/>
      <c r="BAP60" s="608"/>
      <c r="BAQ60" s="608"/>
      <c r="BAR60" s="608"/>
      <c r="BAS60" s="608"/>
      <c r="BAT60" s="608"/>
      <c r="BAU60" s="608"/>
      <c r="BAV60" s="608"/>
      <c r="BAW60" s="608"/>
      <c r="BAX60" s="608"/>
      <c r="BAY60" s="608"/>
      <c r="BAZ60" s="608"/>
      <c r="BBA60" s="608"/>
      <c r="BBB60" s="608"/>
      <c r="BBC60" s="608"/>
      <c r="BBD60" s="608"/>
      <c r="BBE60" s="608"/>
      <c r="BBF60" s="608"/>
      <c r="BBG60" s="608"/>
      <c r="BBH60" s="608"/>
      <c r="BBI60" s="608"/>
      <c r="BBJ60" s="608"/>
      <c r="BBK60" s="608"/>
      <c r="BBL60" s="608"/>
      <c r="BBM60" s="608"/>
      <c r="BBN60" s="608"/>
      <c r="BBO60" s="608"/>
      <c r="BBP60" s="608"/>
      <c r="BBQ60" s="608"/>
      <c r="BBR60" s="608"/>
      <c r="BBS60" s="608"/>
      <c r="BBT60" s="608"/>
      <c r="BBU60" s="608"/>
      <c r="BBV60" s="608"/>
      <c r="BBW60" s="608"/>
      <c r="BBX60" s="608"/>
      <c r="BBY60" s="608"/>
      <c r="BBZ60" s="608"/>
      <c r="BCA60" s="608"/>
      <c r="BCB60" s="608"/>
      <c r="BCC60" s="608"/>
      <c r="BCD60" s="608"/>
      <c r="BCE60" s="608"/>
      <c r="BCF60" s="608"/>
      <c r="BCG60" s="608"/>
      <c r="BCH60" s="608"/>
      <c r="BCI60" s="608"/>
      <c r="BCJ60" s="608"/>
      <c r="BCK60" s="608"/>
      <c r="BCL60" s="608"/>
      <c r="BCM60" s="608"/>
      <c r="BCN60" s="608"/>
      <c r="BCO60" s="608"/>
      <c r="BCP60" s="608"/>
      <c r="BCQ60" s="608"/>
      <c r="BCR60" s="608"/>
      <c r="BCS60" s="608"/>
      <c r="BCT60" s="608"/>
      <c r="BCU60" s="608"/>
      <c r="BCV60" s="608"/>
      <c r="BCW60" s="608"/>
      <c r="BCX60" s="608"/>
      <c r="BCY60" s="608"/>
      <c r="BCZ60" s="608"/>
      <c r="BDA60" s="608"/>
      <c r="BDB60" s="608"/>
      <c r="BDC60" s="608"/>
      <c r="BDD60" s="608"/>
      <c r="BDE60" s="608"/>
      <c r="BDF60" s="608"/>
      <c r="BDG60" s="608"/>
      <c r="BDH60" s="608"/>
      <c r="BDI60" s="608"/>
      <c r="BDJ60" s="608"/>
      <c r="BDK60" s="608"/>
      <c r="BDL60" s="608"/>
      <c r="BDM60" s="608"/>
      <c r="BDN60" s="608"/>
      <c r="BDO60" s="608"/>
      <c r="BDP60" s="608"/>
      <c r="BDQ60" s="608"/>
      <c r="BDR60" s="608"/>
      <c r="BDS60" s="608"/>
      <c r="BDT60" s="608"/>
      <c r="BDU60" s="608"/>
      <c r="BDV60" s="608"/>
      <c r="BDW60" s="608"/>
      <c r="BDX60" s="608"/>
      <c r="BDY60" s="608"/>
      <c r="BDZ60" s="608"/>
      <c r="BEA60" s="608"/>
      <c r="BEB60" s="608"/>
      <c r="BEC60" s="608"/>
      <c r="BED60" s="608"/>
      <c r="BEE60" s="608"/>
      <c r="BEF60" s="608"/>
      <c r="BEG60" s="608"/>
      <c r="BEH60" s="608"/>
      <c r="BEI60" s="608"/>
      <c r="BEJ60" s="608"/>
      <c r="BEK60" s="608"/>
      <c r="BEL60" s="608"/>
      <c r="BEM60" s="608"/>
      <c r="BEN60" s="608"/>
      <c r="BEO60" s="608"/>
      <c r="BEP60" s="608"/>
      <c r="BEQ60" s="608"/>
      <c r="BER60" s="608"/>
      <c r="BES60" s="608"/>
      <c r="BET60" s="608"/>
      <c r="BEU60" s="608"/>
      <c r="BEV60" s="608"/>
      <c r="BEW60" s="608"/>
      <c r="BEX60" s="608"/>
      <c r="BEY60" s="608"/>
      <c r="BEZ60" s="608"/>
      <c r="BFA60" s="608"/>
      <c r="BFB60" s="608"/>
      <c r="BFC60" s="608"/>
      <c r="BFD60" s="608"/>
      <c r="BFE60" s="608"/>
      <c r="BFF60" s="608"/>
      <c r="BFG60" s="608"/>
      <c r="BFH60" s="608"/>
      <c r="BFI60" s="608"/>
      <c r="BFJ60" s="608"/>
      <c r="BFK60" s="608"/>
      <c r="BFL60" s="608"/>
      <c r="BFM60" s="608"/>
      <c r="BFN60" s="608"/>
      <c r="BFO60" s="608"/>
      <c r="BFP60" s="608"/>
      <c r="BFQ60" s="608"/>
      <c r="BFR60" s="608"/>
      <c r="BFS60" s="608"/>
      <c r="BFT60" s="608"/>
      <c r="BFU60" s="608"/>
      <c r="BFV60" s="608"/>
      <c r="BFW60" s="608"/>
      <c r="BFX60" s="608"/>
      <c r="BFY60" s="608"/>
      <c r="BFZ60" s="608"/>
      <c r="BGA60" s="608"/>
      <c r="BGB60" s="608"/>
      <c r="BGC60" s="608"/>
      <c r="BGD60" s="608"/>
      <c r="BGE60" s="608"/>
      <c r="BGF60" s="608"/>
      <c r="BGG60" s="608"/>
      <c r="BGH60" s="608"/>
      <c r="BGI60" s="608"/>
      <c r="BGJ60" s="608"/>
      <c r="BGK60" s="608"/>
      <c r="BGL60" s="608"/>
      <c r="BGM60" s="608"/>
      <c r="BGN60" s="608"/>
      <c r="BGO60" s="608"/>
      <c r="BGP60" s="608"/>
      <c r="BGQ60" s="608"/>
      <c r="BGR60" s="608"/>
      <c r="BGS60" s="608"/>
      <c r="BGT60" s="608"/>
      <c r="BGU60" s="608"/>
      <c r="BGV60" s="608"/>
      <c r="BGW60" s="608"/>
      <c r="BGX60" s="608"/>
      <c r="BGY60" s="608"/>
      <c r="BGZ60" s="608"/>
      <c r="BHA60" s="608"/>
      <c r="BHB60" s="608"/>
      <c r="BHC60" s="608"/>
      <c r="BHD60" s="608"/>
      <c r="BHE60" s="608"/>
      <c r="BHF60" s="608"/>
      <c r="BHG60" s="608"/>
      <c r="BHH60" s="608"/>
      <c r="BHI60" s="608"/>
      <c r="BHJ60" s="608"/>
      <c r="BHK60" s="608"/>
      <c r="BHL60" s="608"/>
      <c r="BHM60" s="608"/>
      <c r="BHN60" s="608"/>
      <c r="BHO60" s="608"/>
      <c r="BHP60" s="608"/>
      <c r="BHQ60" s="608"/>
      <c r="BHR60" s="608"/>
      <c r="BHS60" s="608"/>
      <c r="BHT60" s="608"/>
      <c r="BHU60" s="608"/>
      <c r="BHV60" s="608"/>
      <c r="BHW60" s="608"/>
      <c r="BHX60" s="608"/>
      <c r="BHY60" s="608"/>
      <c r="BHZ60" s="608"/>
      <c r="BIA60" s="608"/>
      <c r="BIB60" s="608"/>
      <c r="BIC60" s="608"/>
      <c r="BID60" s="608"/>
      <c r="BIE60" s="608"/>
      <c r="BIF60" s="608"/>
      <c r="BIG60" s="608"/>
      <c r="BIH60" s="608"/>
      <c r="BII60" s="608"/>
      <c r="BIJ60" s="608"/>
      <c r="BIK60" s="608"/>
      <c r="BIL60" s="608"/>
      <c r="BIM60" s="608"/>
      <c r="BIN60" s="608"/>
      <c r="BIO60" s="608"/>
      <c r="BIP60" s="608"/>
      <c r="BIQ60" s="608"/>
      <c r="BIR60" s="608"/>
      <c r="BIS60" s="608"/>
      <c r="BIT60" s="608"/>
      <c r="BIU60" s="608"/>
      <c r="BIV60" s="608"/>
      <c r="BIW60" s="608"/>
      <c r="BIX60" s="608"/>
      <c r="BIY60" s="608"/>
      <c r="BIZ60" s="608"/>
      <c r="BJA60" s="608"/>
      <c r="BJB60" s="608"/>
      <c r="BJC60" s="608"/>
      <c r="BJD60" s="608"/>
      <c r="BJE60" s="608"/>
      <c r="BJF60" s="608"/>
      <c r="BJG60" s="608"/>
      <c r="BJH60" s="608"/>
      <c r="BJI60" s="608"/>
      <c r="BJJ60" s="608"/>
      <c r="BJK60" s="608"/>
      <c r="BJL60" s="608"/>
      <c r="BJM60" s="608"/>
      <c r="BJN60" s="608"/>
      <c r="BJO60" s="608"/>
      <c r="BJP60" s="608"/>
      <c r="BJQ60" s="608"/>
      <c r="BJR60" s="608"/>
      <c r="BJS60" s="608"/>
      <c r="BJT60" s="608"/>
      <c r="BJU60" s="608"/>
      <c r="BJV60" s="608"/>
      <c r="BJW60" s="608"/>
      <c r="BJX60" s="608"/>
      <c r="BJY60" s="608"/>
      <c r="BJZ60" s="608"/>
      <c r="BKA60" s="608"/>
      <c r="BKB60" s="608"/>
      <c r="BKC60" s="608"/>
      <c r="BKD60" s="608"/>
      <c r="BKE60" s="608"/>
      <c r="BKF60" s="608"/>
      <c r="BKG60" s="608"/>
      <c r="BKH60" s="608"/>
      <c r="BKI60" s="608"/>
      <c r="BKJ60" s="608"/>
      <c r="BKK60" s="608"/>
      <c r="BKL60" s="608"/>
      <c r="BKM60" s="608"/>
      <c r="BKN60" s="608"/>
      <c r="BKO60" s="608"/>
      <c r="BKP60" s="608"/>
      <c r="BKQ60" s="608"/>
      <c r="BKR60" s="608"/>
      <c r="BKS60" s="608"/>
      <c r="BKT60" s="608"/>
      <c r="BKU60" s="608"/>
      <c r="BKV60" s="608"/>
      <c r="BKW60" s="608"/>
      <c r="BKX60" s="608"/>
      <c r="BKY60" s="608"/>
      <c r="BKZ60" s="608"/>
      <c r="BLA60" s="608"/>
      <c r="BLB60" s="608"/>
      <c r="BLC60" s="608"/>
      <c r="BLD60" s="608"/>
      <c r="BLE60" s="608"/>
      <c r="BLF60" s="608"/>
      <c r="BLG60" s="608"/>
      <c r="BLH60" s="608"/>
      <c r="BLI60" s="608"/>
      <c r="BLJ60" s="608"/>
      <c r="BLK60" s="608"/>
      <c r="BLL60" s="608"/>
      <c r="BLM60" s="608"/>
      <c r="BLN60" s="608"/>
      <c r="BLO60" s="608"/>
      <c r="BLP60" s="608"/>
      <c r="BLQ60" s="608"/>
      <c r="BLR60" s="608"/>
      <c r="BLS60" s="608"/>
      <c r="BLT60" s="608"/>
      <c r="BLU60" s="608"/>
      <c r="BLV60" s="608"/>
      <c r="BLW60" s="608"/>
      <c r="BLX60" s="608"/>
      <c r="BLY60" s="608"/>
      <c r="BLZ60" s="608"/>
      <c r="BMA60" s="608"/>
      <c r="BMB60" s="608"/>
      <c r="BMC60" s="608"/>
      <c r="BMD60" s="608"/>
      <c r="BME60" s="608"/>
      <c r="BMF60" s="608"/>
      <c r="BMG60" s="608"/>
      <c r="BMH60" s="608"/>
      <c r="BMI60" s="608"/>
      <c r="BMJ60" s="608"/>
      <c r="BMK60" s="608"/>
      <c r="BML60" s="608"/>
      <c r="BMM60" s="608"/>
      <c r="BMN60" s="608"/>
      <c r="BMO60" s="608"/>
      <c r="BMP60" s="608"/>
      <c r="BMQ60" s="608"/>
      <c r="BMR60" s="608"/>
      <c r="BMS60" s="608"/>
      <c r="BMT60" s="608"/>
      <c r="BMU60" s="608"/>
      <c r="BMV60" s="608"/>
      <c r="BMW60" s="608"/>
      <c r="BMX60" s="608"/>
      <c r="BMY60" s="608"/>
      <c r="BMZ60" s="608"/>
      <c r="BNA60" s="608"/>
      <c r="BNB60" s="608"/>
      <c r="BNC60" s="608"/>
      <c r="BND60" s="608"/>
      <c r="BNE60" s="608"/>
      <c r="BNF60" s="608"/>
      <c r="BNG60" s="608"/>
      <c r="BNH60" s="608"/>
      <c r="BNI60" s="608"/>
      <c r="BNJ60" s="608"/>
      <c r="BNK60" s="608"/>
      <c r="BNL60" s="608"/>
      <c r="BNM60" s="608"/>
      <c r="BNN60" s="608"/>
      <c r="BNO60" s="608"/>
      <c r="BNP60" s="608"/>
      <c r="BNQ60" s="608"/>
      <c r="BNR60" s="608"/>
      <c r="BNS60" s="608"/>
      <c r="BNT60" s="608"/>
      <c r="BNU60" s="608"/>
      <c r="BNV60" s="608"/>
      <c r="BNW60" s="608"/>
      <c r="BNX60" s="608"/>
      <c r="BNY60" s="608"/>
      <c r="BNZ60" s="608"/>
      <c r="BOA60" s="608"/>
      <c r="BOB60" s="608"/>
      <c r="BOC60" s="608"/>
      <c r="BOD60" s="608"/>
      <c r="BOE60" s="608"/>
      <c r="BOF60" s="608"/>
      <c r="BOG60" s="608"/>
      <c r="BOH60" s="608"/>
      <c r="BOI60" s="608"/>
      <c r="BOJ60" s="608"/>
      <c r="BOK60" s="608"/>
      <c r="BOL60" s="608"/>
      <c r="BOM60" s="608"/>
      <c r="BON60" s="608"/>
      <c r="BOO60" s="608"/>
      <c r="BOP60" s="608"/>
      <c r="BOQ60" s="608"/>
      <c r="BOR60" s="608"/>
      <c r="BOS60" s="608"/>
      <c r="BOT60" s="608"/>
      <c r="BOU60" s="608"/>
      <c r="BOV60" s="608"/>
      <c r="BOW60" s="608"/>
      <c r="BOX60" s="608"/>
      <c r="BOY60" s="608"/>
      <c r="BOZ60" s="608"/>
      <c r="BPA60" s="608"/>
      <c r="BPB60" s="608"/>
      <c r="BPC60" s="608"/>
      <c r="BPD60" s="608"/>
      <c r="BPE60" s="608"/>
      <c r="BPF60" s="608"/>
      <c r="BPG60" s="608"/>
      <c r="BPH60" s="608"/>
      <c r="BPI60" s="608"/>
      <c r="BPJ60" s="608"/>
      <c r="BPK60" s="608"/>
      <c r="BPL60" s="608"/>
      <c r="BPM60" s="608"/>
      <c r="BPN60" s="608"/>
      <c r="BPO60" s="608"/>
      <c r="BPP60" s="608"/>
      <c r="BPQ60" s="608"/>
      <c r="BPR60" s="608"/>
      <c r="BPS60" s="608"/>
      <c r="BPT60" s="608"/>
      <c r="BPU60" s="608"/>
      <c r="BPV60" s="608"/>
      <c r="BPW60" s="608"/>
      <c r="BPX60" s="608"/>
      <c r="BPY60" s="608"/>
      <c r="BPZ60" s="608"/>
      <c r="BQA60" s="608"/>
      <c r="BQB60" s="608"/>
      <c r="BQC60" s="608"/>
      <c r="BQD60" s="608"/>
      <c r="BQE60" s="608"/>
      <c r="BQF60" s="608"/>
      <c r="BQG60" s="608"/>
      <c r="BQH60" s="608"/>
      <c r="BQI60" s="608"/>
      <c r="BQJ60" s="608"/>
      <c r="BQK60" s="608"/>
      <c r="BQL60" s="608"/>
      <c r="BQM60" s="608"/>
      <c r="BQN60" s="608"/>
      <c r="BQO60" s="608"/>
      <c r="BQP60" s="608"/>
      <c r="BQQ60" s="608"/>
      <c r="BQR60" s="608"/>
      <c r="BQS60" s="608"/>
      <c r="BQT60" s="608"/>
      <c r="BQU60" s="608"/>
      <c r="BQV60" s="608"/>
      <c r="BQW60" s="608"/>
      <c r="BQX60" s="608"/>
      <c r="BQY60" s="608"/>
      <c r="BQZ60" s="608"/>
      <c r="BRA60" s="608"/>
      <c r="BRB60" s="608"/>
      <c r="BRC60" s="608"/>
      <c r="BRD60" s="608"/>
      <c r="BRE60" s="608"/>
      <c r="BRF60" s="608"/>
      <c r="BRG60" s="608"/>
      <c r="BRH60" s="608"/>
      <c r="BRI60" s="608"/>
      <c r="BRJ60" s="608"/>
      <c r="BRK60" s="608"/>
      <c r="BRL60" s="608"/>
      <c r="BRM60" s="608"/>
      <c r="BRN60" s="608"/>
      <c r="BRO60" s="608"/>
      <c r="BRP60" s="608"/>
      <c r="BRQ60" s="608"/>
      <c r="BRR60" s="608"/>
      <c r="BRS60" s="608"/>
      <c r="BRT60" s="608"/>
      <c r="BRU60" s="608"/>
      <c r="BRV60" s="608"/>
      <c r="BRW60" s="608"/>
      <c r="BRX60" s="608"/>
      <c r="BRY60" s="608"/>
      <c r="BRZ60" s="608"/>
      <c r="BSA60" s="608"/>
      <c r="BSB60" s="608"/>
      <c r="BSC60" s="608"/>
      <c r="BSD60" s="608"/>
      <c r="BSE60" s="608"/>
      <c r="BSF60" s="608"/>
      <c r="BSG60" s="608"/>
      <c r="BSH60" s="608"/>
      <c r="BSI60" s="608"/>
      <c r="BSJ60" s="608"/>
      <c r="BSK60" s="608"/>
      <c r="BSL60" s="608"/>
      <c r="BSM60" s="608"/>
      <c r="BSN60" s="608"/>
      <c r="BSO60" s="608"/>
      <c r="BSP60" s="608"/>
      <c r="BSQ60" s="608"/>
      <c r="BSR60" s="608"/>
      <c r="BSS60" s="608"/>
      <c r="BST60" s="608"/>
      <c r="BSU60" s="608"/>
      <c r="BSV60" s="608"/>
      <c r="BSW60" s="608"/>
      <c r="BSX60" s="608"/>
      <c r="BSY60" s="608"/>
      <c r="BSZ60" s="608"/>
      <c r="BTA60" s="608"/>
      <c r="BTB60" s="608"/>
      <c r="BTC60" s="608"/>
      <c r="BTD60" s="608"/>
      <c r="BTE60" s="608"/>
      <c r="BTF60" s="608"/>
      <c r="BTG60" s="608"/>
      <c r="BTH60" s="608"/>
      <c r="BTI60" s="608"/>
      <c r="BTJ60" s="608"/>
      <c r="BTK60" s="608"/>
      <c r="BTL60" s="608"/>
      <c r="BTM60" s="608"/>
      <c r="BTN60" s="608"/>
      <c r="BTO60" s="608"/>
      <c r="BTP60" s="608"/>
      <c r="BTQ60" s="608"/>
      <c r="BTR60" s="608"/>
      <c r="BTS60" s="608"/>
      <c r="BTT60" s="608"/>
      <c r="BTU60" s="608"/>
      <c r="BTV60" s="608"/>
      <c r="BTW60" s="608"/>
      <c r="BTX60" s="608"/>
      <c r="BTY60" s="608"/>
      <c r="BTZ60" s="608"/>
      <c r="BUA60" s="608"/>
      <c r="BUB60" s="608"/>
      <c r="BUC60" s="608"/>
      <c r="BUD60" s="608"/>
      <c r="BUE60" s="608"/>
      <c r="BUF60" s="608"/>
      <c r="BUG60" s="608"/>
      <c r="BUH60" s="608"/>
      <c r="BUI60" s="608"/>
      <c r="BUJ60" s="608"/>
      <c r="BUK60" s="608"/>
      <c r="BUL60" s="608"/>
      <c r="BUM60" s="608"/>
      <c r="BUN60" s="608"/>
      <c r="BUO60" s="608"/>
      <c r="BUP60" s="608"/>
      <c r="BUQ60" s="608"/>
      <c r="BUR60" s="608"/>
      <c r="BUS60" s="608"/>
      <c r="BUT60" s="608"/>
      <c r="BUU60" s="608"/>
      <c r="BUV60" s="608"/>
      <c r="BUW60" s="608"/>
      <c r="BUX60" s="608"/>
      <c r="BUY60" s="608"/>
      <c r="BUZ60" s="608"/>
      <c r="BVA60" s="608"/>
      <c r="BVB60" s="608"/>
      <c r="BVC60" s="608"/>
      <c r="BVD60" s="608"/>
      <c r="BVE60" s="608"/>
      <c r="BVF60" s="608"/>
      <c r="BVG60" s="608"/>
      <c r="BVH60" s="608"/>
      <c r="BVI60" s="608"/>
      <c r="BVJ60" s="608"/>
      <c r="BVK60" s="608"/>
      <c r="BVL60" s="608"/>
      <c r="BVM60" s="608"/>
      <c r="BVN60" s="608"/>
      <c r="BVO60" s="608"/>
      <c r="BVP60" s="608"/>
      <c r="BVQ60" s="608"/>
      <c r="BVR60" s="608"/>
      <c r="BVS60" s="608"/>
      <c r="BVT60" s="608"/>
      <c r="BVU60" s="608"/>
      <c r="BVV60" s="608"/>
      <c r="BVW60" s="608"/>
      <c r="BVX60" s="608"/>
      <c r="BVY60" s="608"/>
      <c r="BVZ60" s="608"/>
      <c r="BWA60" s="608"/>
      <c r="BWB60" s="608"/>
      <c r="BWC60" s="608"/>
      <c r="BWD60" s="608"/>
      <c r="BWE60" s="608"/>
      <c r="BWF60" s="608"/>
      <c r="BWG60" s="608"/>
      <c r="BWH60" s="608"/>
      <c r="BWI60" s="608"/>
      <c r="BWJ60" s="608"/>
      <c r="BWK60" s="608"/>
      <c r="BWL60" s="608"/>
      <c r="BWM60" s="608"/>
      <c r="BWN60" s="608"/>
      <c r="BWO60" s="608"/>
      <c r="BWP60" s="608"/>
      <c r="BWQ60" s="608"/>
      <c r="BWR60" s="608"/>
      <c r="BWS60" s="608"/>
      <c r="BWT60" s="608"/>
      <c r="BWU60" s="608"/>
      <c r="BWV60" s="608"/>
      <c r="BWW60" s="608"/>
      <c r="BWX60" s="608"/>
      <c r="BWY60" s="608"/>
      <c r="BWZ60" s="608"/>
      <c r="BXA60" s="608"/>
      <c r="BXB60" s="608"/>
      <c r="BXC60" s="608"/>
      <c r="BXD60" s="608"/>
      <c r="BXE60" s="608"/>
      <c r="BXF60" s="608"/>
      <c r="BXG60" s="608"/>
      <c r="BXH60" s="608"/>
      <c r="BXI60" s="608"/>
      <c r="BXJ60" s="608"/>
      <c r="BXK60" s="608"/>
      <c r="BXL60" s="608"/>
      <c r="BXM60" s="608"/>
      <c r="BXN60" s="608"/>
      <c r="BXO60" s="608"/>
      <c r="BXP60" s="608"/>
      <c r="BXQ60" s="608"/>
      <c r="BXR60" s="608"/>
      <c r="BXS60" s="608"/>
      <c r="BXT60" s="608"/>
      <c r="BXU60" s="608"/>
      <c r="BXV60" s="608"/>
      <c r="BXW60" s="608"/>
      <c r="BXX60" s="608"/>
      <c r="BXY60" s="608"/>
      <c r="BXZ60" s="608"/>
      <c r="BYA60" s="608"/>
      <c r="BYB60" s="608"/>
      <c r="BYC60" s="608"/>
      <c r="BYD60" s="608"/>
      <c r="BYE60" s="608"/>
      <c r="BYF60" s="608"/>
      <c r="BYG60" s="608"/>
      <c r="BYH60" s="608"/>
      <c r="BYI60" s="608"/>
      <c r="BYJ60" s="608"/>
      <c r="BYK60" s="608"/>
      <c r="BYL60" s="608"/>
      <c r="BYM60" s="608"/>
      <c r="BYN60" s="608"/>
      <c r="BYO60" s="608"/>
      <c r="BYP60" s="608"/>
      <c r="BYQ60" s="608"/>
      <c r="BYR60" s="608"/>
      <c r="BYS60" s="608"/>
      <c r="BYT60" s="608"/>
      <c r="BYU60" s="608"/>
      <c r="BYV60" s="608"/>
      <c r="BYW60" s="608"/>
      <c r="BYX60" s="608"/>
      <c r="BYY60" s="608"/>
      <c r="BYZ60" s="608"/>
      <c r="BZA60" s="608"/>
      <c r="BZB60" s="608"/>
      <c r="BZC60" s="608"/>
      <c r="BZD60" s="608"/>
      <c r="BZE60" s="608"/>
      <c r="BZF60" s="608"/>
      <c r="BZG60" s="608"/>
      <c r="BZH60" s="608"/>
      <c r="BZI60" s="608"/>
      <c r="BZJ60" s="608"/>
      <c r="BZK60" s="608"/>
      <c r="BZL60" s="608"/>
      <c r="BZM60" s="608"/>
      <c r="BZN60" s="608"/>
      <c r="BZO60" s="608"/>
      <c r="BZP60" s="608"/>
      <c r="BZQ60" s="608"/>
      <c r="BZR60" s="608"/>
      <c r="BZS60" s="608"/>
      <c r="BZT60" s="608"/>
      <c r="BZU60" s="608"/>
      <c r="BZV60" s="608"/>
      <c r="BZW60" s="608"/>
      <c r="BZX60" s="608"/>
      <c r="BZY60" s="608"/>
      <c r="BZZ60" s="608"/>
      <c r="CAA60" s="608"/>
      <c r="CAB60" s="608"/>
      <c r="CAC60" s="608"/>
      <c r="CAD60" s="608"/>
      <c r="CAE60" s="608"/>
      <c r="CAF60" s="608"/>
      <c r="CAG60" s="608"/>
      <c r="CAH60" s="608"/>
      <c r="CAI60" s="608"/>
      <c r="CAJ60" s="608"/>
      <c r="CAK60" s="608"/>
      <c r="CAL60" s="608"/>
      <c r="CAM60" s="608"/>
      <c r="CAN60" s="608"/>
      <c r="CAO60" s="608"/>
      <c r="CAP60" s="608"/>
      <c r="CAQ60" s="608"/>
      <c r="CAR60" s="608"/>
      <c r="CAS60" s="608"/>
      <c r="CAT60" s="608"/>
      <c r="CAU60" s="608"/>
      <c r="CAV60" s="608"/>
      <c r="CAW60" s="608"/>
      <c r="CAX60" s="608"/>
      <c r="CAY60" s="608"/>
      <c r="CAZ60" s="608"/>
      <c r="CBA60" s="608"/>
      <c r="CBB60" s="608"/>
      <c r="CBC60" s="608"/>
      <c r="CBD60" s="608"/>
      <c r="CBE60" s="608"/>
      <c r="CBF60" s="608"/>
      <c r="CBG60" s="608"/>
      <c r="CBH60" s="608"/>
      <c r="CBI60" s="608"/>
      <c r="CBJ60" s="608"/>
      <c r="CBK60" s="608"/>
      <c r="CBL60" s="608"/>
      <c r="CBM60" s="608"/>
      <c r="CBN60" s="608"/>
      <c r="CBO60" s="608"/>
      <c r="CBP60" s="608"/>
      <c r="CBQ60" s="608"/>
      <c r="CBR60" s="608"/>
      <c r="CBS60" s="608"/>
      <c r="CBT60" s="608"/>
      <c r="CBU60" s="608"/>
      <c r="CBV60" s="608"/>
      <c r="CBW60" s="608"/>
      <c r="CBX60" s="608"/>
      <c r="CBY60" s="608"/>
      <c r="CBZ60" s="608"/>
      <c r="CCA60" s="608"/>
      <c r="CCB60" s="608"/>
      <c r="CCC60" s="608"/>
      <c r="CCD60" s="608"/>
      <c r="CCE60" s="608"/>
      <c r="CCF60" s="608"/>
      <c r="CCG60" s="608"/>
      <c r="CCH60" s="608"/>
      <c r="CCI60" s="608"/>
      <c r="CCJ60" s="608"/>
      <c r="CCK60" s="608"/>
      <c r="CCL60" s="608"/>
      <c r="CCM60" s="608"/>
      <c r="CCN60" s="608"/>
      <c r="CCO60" s="608"/>
      <c r="CCP60" s="608"/>
      <c r="CCQ60" s="608"/>
      <c r="CCR60" s="608"/>
      <c r="CCS60" s="608"/>
      <c r="CCT60" s="608"/>
      <c r="CCU60" s="608"/>
      <c r="CCV60" s="608"/>
      <c r="CCW60" s="608"/>
      <c r="CCX60" s="608"/>
      <c r="CCY60" s="608"/>
      <c r="CCZ60" s="608"/>
      <c r="CDA60" s="608"/>
      <c r="CDB60" s="608"/>
      <c r="CDC60" s="608"/>
      <c r="CDD60" s="608"/>
      <c r="CDE60" s="608"/>
      <c r="CDF60" s="608"/>
      <c r="CDG60" s="608"/>
      <c r="CDH60" s="608"/>
      <c r="CDI60" s="608"/>
      <c r="CDJ60" s="608"/>
      <c r="CDK60" s="608"/>
      <c r="CDL60" s="608"/>
      <c r="CDM60" s="608"/>
      <c r="CDN60" s="608"/>
      <c r="CDO60" s="608"/>
      <c r="CDP60" s="608"/>
      <c r="CDQ60" s="608"/>
      <c r="CDR60" s="608"/>
      <c r="CDS60" s="608"/>
      <c r="CDT60" s="608"/>
      <c r="CDU60" s="608"/>
      <c r="CDV60" s="608"/>
      <c r="CDW60" s="608"/>
      <c r="CDX60" s="608"/>
      <c r="CDY60" s="608"/>
      <c r="CDZ60" s="608"/>
      <c r="CEA60" s="608"/>
      <c r="CEB60" s="608"/>
      <c r="CEC60" s="608"/>
      <c r="CED60" s="608"/>
      <c r="CEE60" s="608"/>
      <c r="CEF60" s="608"/>
      <c r="CEG60" s="608"/>
      <c r="CEH60" s="608"/>
      <c r="CEI60" s="608"/>
      <c r="CEJ60" s="608"/>
      <c r="CEK60" s="608"/>
      <c r="CEL60" s="608"/>
      <c r="CEM60" s="608"/>
      <c r="CEN60" s="608"/>
      <c r="CEO60" s="608"/>
      <c r="CEP60" s="608"/>
      <c r="CEQ60" s="608"/>
      <c r="CER60" s="608"/>
      <c r="CES60" s="608"/>
      <c r="CET60" s="608"/>
      <c r="CEU60" s="608"/>
      <c r="CEV60" s="608"/>
      <c r="CEW60" s="608"/>
      <c r="CEX60" s="608"/>
      <c r="CEY60" s="608"/>
      <c r="CEZ60" s="608"/>
      <c r="CFA60" s="608"/>
      <c r="CFB60" s="608"/>
      <c r="CFC60" s="608"/>
      <c r="CFD60" s="608"/>
      <c r="CFE60" s="608"/>
      <c r="CFF60" s="608"/>
      <c r="CFG60" s="608"/>
      <c r="CFH60" s="608"/>
      <c r="CFI60" s="608"/>
      <c r="CFJ60" s="608"/>
      <c r="CFK60" s="608"/>
      <c r="CFL60" s="608"/>
      <c r="CFM60" s="608"/>
      <c r="CFN60" s="608"/>
      <c r="CFO60" s="608"/>
      <c r="CFP60" s="608"/>
      <c r="CFQ60" s="608"/>
      <c r="CFR60" s="608"/>
      <c r="CFS60" s="608"/>
      <c r="CFT60" s="608"/>
      <c r="CFU60" s="608"/>
      <c r="CFV60" s="608"/>
      <c r="CFW60" s="608"/>
      <c r="CFX60" s="608"/>
      <c r="CFY60" s="608"/>
      <c r="CFZ60" s="608"/>
      <c r="CGA60" s="608"/>
      <c r="CGB60" s="608"/>
      <c r="CGC60" s="608"/>
      <c r="CGD60" s="608"/>
      <c r="CGE60" s="608"/>
      <c r="CGF60" s="608"/>
      <c r="CGG60" s="608"/>
      <c r="CGH60" s="608"/>
      <c r="CGI60" s="608"/>
      <c r="CGJ60" s="608"/>
      <c r="CGK60" s="608"/>
      <c r="CGL60" s="608"/>
      <c r="CGM60" s="608"/>
      <c r="CGN60" s="608"/>
      <c r="CGO60" s="608"/>
      <c r="CGP60" s="608"/>
      <c r="CGQ60" s="608"/>
      <c r="CGR60" s="608"/>
      <c r="CGS60" s="608"/>
      <c r="CGT60" s="608"/>
      <c r="CGU60" s="608"/>
      <c r="CGV60" s="608"/>
      <c r="CGW60" s="608"/>
      <c r="CGX60" s="608"/>
      <c r="CGY60" s="608"/>
      <c r="CGZ60" s="608"/>
      <c r="CHA60" s="608"/>
      <c r="CHB60" s="608"/>
      <c r="CHC60" s="608"/>
      <c r="CHD60" s="608"/>
      <c r="CHE60" s="608"/>
      <c r="CHF60" s="608"/>
      <c r="CHG60" s="608"/>
      <c r="CHH60" s="608"/>
      <c r="CHI60" s="608"/>
      <c r="CHJ60" s="608"/>
      <c r="CHK60" s="608"/>
      <c r="CHL60" s="608"/>
      <c r="CHM60" s="608"/>
      <c r="CHN60" s="608"/>
      <c r="CHO60" s="608"/>
      <c r="CHP60" s="608"/>
      <c r="CHQ60" s="608"/>
      <c r="CHR60" s="608"/>
      <c r="CHS60" s="608"/>
      <c r="CHT60" s="608"/>
      <c r="CHU60" s="608"/>
      <c r="CHV60" s="608"/>
      <c r="CHW60" s="608"/>
      <c r="CHX60" s="608"/>
      <c r="CHY60" s="608"/>
      <c r="CHZ60" s="608"/>
      <c r="CIA60" s="608"/>
      <c r="CIB60" s="608"/>
      <c r="CIC60" s="608"/>
      <c r="CID60" s="608"/>
      <c r="CIE60" s="608"/>
      <c r="CIF60" s="608"/>
      <c r="CIG60" s="608"/>
      <c r="CIH60" s="608"/>
      <c r="CII60" s="608"/>
      <c r="CIJ60" s="608"/>
      <c r="CIK60" s="608"/>
      <c r="CIL60" s="608"/>
      <c r="CIM60" s="608"/>
      <c r="CIN60" s="608"/>
      <c r="CIO60" s="608"/>
      <c r="CIP60" s="608"/>
      <c r="CIQ60" s="608"/>
      <c r="CIR60" s="608"/>
      <c r="CIS60" s="608"/>
      <c r="CIT60" s="608"/>
      <c r="CIU60" s="608"/>
      <c r="CIV60" s="608"/>
      <c r="CIW60" s="608"/>
      <c r="CIX60" s="608"/>
      <c r="CIY60" s="608"/>
      <c r="CIZ60" s="608"/>
      <c r="CJA60" s="608"/>
      <c r="CJB60" s="608"/>
      <c r="CJC60" s="608"/>
      <c r="CJD60" s="608"/>
      <c r="CJE60" s="608"/>
      <c r="CJF60" s="608"/>
      <c r="CJG60" s="608"/>
      <c r="CJH60" s="608"/>
      <c r="CJI60" s="608"/>
      <c r="CJJ60" s="608"/>
      <c r="CJK60" s="608"/>
      <c r="CJL60" s="608"/>
      <c r="CJM60" s="608"/>
      <c r="CJN60" s="608"/>
      <c r="CJO60" s="608"/>
      <c r="CJP60" s="608"/>
      <c r="CJQ60" s="608"/>
      <c r="CJR60" s="608"/>
      <c r="CJS60" s="608"/>
      <c r="CJT60" s="608"/>
      <c r="CJU60" s="608"/>
      <c r="CJV60" s="608"/>
      <c r="CJW60" s="608"/>
      <c r="CJX60" s="608"/>
      <c r="CJY60" s="608"/>
      <c r="CJZ60" s="608"/>
      <c r="CKA60" s="608"/>
      <c r="CKB60" s="608"/>
      <c r="CKC60" s="608"/>
      <c r="CKD60" s="608"/>
      <c r="CKE60" s="608"/>
      <c r="CKF60" s="608"/>
      <c r="CKG60" s="608"/>
      <c r="CKH60" s="608"/>
      <c r="CKI60" s="608"/>
      <c r="CKJ60" s="608"/>
      <c r="CKK60" s="608"/>
      <c r="CKL60" s="608"/>
      <c r="CKM60" s="608"/>
      <c r="CKN60" s="608"/>
      <c r="CKO60" s="608"/>
      <c r="CKP60" s="608"/>
      <c r="CKQ60" s="608"/>
      <c r="CKR60" s="608"/>
      <c r="CKS60" s="608"/>
      <c r="CKT60" s="608"/>
      <c r="CKU60" s="608"/>
      <c r="CKV60" s="608"/>
      <c r="CKW60" s="608"/>
      <c r="CKX60" s="608"/>
      <c r="CKY60" s="608"/>
      <c r="CKZ60" s="608"/>
      <c r="CLA60" s="608"/>
      <c r="CLB60" s="608"/>
      <c r="CLC60" s="608"/>
      <c r="CLD60" s="608"/>
      <c r="CLE60" s="608"/>
      <c r="CLF60" s="608"/>
      <c r="CLG60" s="608"/>
      <c r="CLH60" s="608"/>
      <c r="CLI60" s="608"/>
      <c r="CLJ60" s="608"/>
      <c r="CLK60" s="608"/>
      <c r="CLL60" s="608"/>
      <c r="CLM60" s="608"/>
      <c r="CLN60" s="608"/>
      <c r="CLO60" s="608"/>
      <c r="CLP60" s="608"/>
      <c r="CLQ60" s="608"/>
      <c r="CLR60" s="608"/>
      <c r="CLS60" s="608"/>
      <c r="CLT60" s="608"/>
      <c r="CLU60" s="608"/>
      <c r="CLV60" s="608"/>
      <c r="CLW60" s="608"/>
      <c r="CLX60" s="608"/>
      <c r="CLY60" s="608"/>
      <c r="CLZ60" s="608"/>
      <c r="CMA60" s="608"/>
      <c r="CMB60" s="608"/>
      <c r="CMC60" s="608"/>
      <c r="CMD60" s="608"/>
      <c r="CME60" s="608"/>
      <c r="CMF60" s="608"/>
      <c r="CMG60" s="608"/>
      <c r="CMH60" s="608"/>
      <c r="CMI60" s="608"/>
      <c r="CMJ60" s="608"/>
      <c r="CMK60" s="608"/>
      <c r="CML60" s="608"/>
      <c r="CMM60" s="608"/>
      <c r="CMN60" s="608"/>
      <c r="CMO60" s="608"/>
      <c r="CMP60" s="608"/>
      <c r="CMQ60" s="608"/>
      <c r="CMR60" s="608"/>
      <c r="CMS60" s="608"/>
      <c r="CMT60" s="608"/>
      <c r="CMU60" s="608"/>
      <c r="CMV60" s="608"/>
      <c r="CMW60" s="608"/>
      <c r="CMX60" s="608"/>
      <c r="CMY60" s="608"/>
      <c r="CMZ60" s="608"/>
      <c r="CNA60" s="608"/>
      <c r="CNB60" s="608"/>
      <c r="CNC60" s="608"/>
      <c r="CND60" s="608"/>
      <c r="CNE60" s="608"/>
      <c r="CNF60" s="608"/>
      <c r="CNG60" s="608"/>
      <c r="CNH60" s="608"/>
      <c r="CNI60" s="608"/>
      <c r="CNJ60" s="608"/>
      <c r="CNK60" s="608"/>
      <c r="CNL60" s="608"/>
      <c r="CNM60" s="608"/>
      <c r="CNN60" s="608"/>
      <c r="CNO60" s="608"/>
      <c r="CNP60" s="608"/>
      <c r="CNQ60" s="608"/>
      <c r="CNR60" s="608"/>
      <c r="CNS60" s="608"/>
      <c r="CNT60" s="608"/>
      <c r="CNU60" s="608"/>
      <c r="CNV60" s="608"/>
      <c r="CNW60" s="608"/>
      <c r="CNX60" s="608"/>
      <c r="CNY60" s="608"/>
      <c r="CNZ60" s="608"/>
      <c r="COA60" s="608"/>
      <c r="COB60" s="608"/>
      <c r="COC60" s="608"/>
      <c r="COD60" s="608"/>
      <c r="COE60" s="608"/>
      <c r="COF60" s="608"/>
      <c r="COG60" s="608"/>
      <c r="COH60" s="608"/>
      <c r="COI60" s="608"/>
      <c r="COJ60" s="608"/>
      <c r="COK60" s="608"/>
      <c r="COL60" s="608"/>
      <c r="COM60" s="608"/>
      <c r="CON60" s="608"/>
      <c r="COO60" s="608"/>
      <c r="COP60" s="608"/>
      <c r="COQ60" s="608"/>
      <c r="COR60" s="608"/>
      <c r="COS60" s="608"/>
      <c r="COT60" s="608"/>
      <c r="COU60" s="608"/>
      <c r="COV60" s="608"/>
      <c r="COW60" s="608"/>
      <c r="COX60" s="608"/>
      <c r="COY60" s="608"/>
      <c r="COZ60" s="608"/>
      <c r="CPA60" s="608"/>
      <c r="CPB60" s="608"/>
      <c r="CPC60" s="608"/>
      <c r="CPD60" s="608"/>
      <c r="CPE60" s="608"/>
      <c r="CPF60" s="608"/>
      <c r="CPG60" s="608"/>
      <c r="CPH60" s="608"/>
      <c r="CPI60" s="608"/>
      <c r="CPJ60" s="608"/>
      <c r="CPK60" s="608"/>
      <c r="CPL60" s="608"/>
      <c r="CPM60" s="608"/>
      <c r="CPN60" s="608"/>
      <c r="CPO60" s="608"/>
      <c r="CPP60" s="608"/>
      <c r="CPQ60" s="608"/>
      <c r="CPR60" s="608"/>
      <c r="CPS60" s="608"/>
      <c r="CPT60" s="608"/>
      <c r="CPU60" s="608"/>
      <c r="CPV60" s="608"/>
      <c r="CPW60" s="608"/>
      <c r="CPX60" s="608"/>
      <c r="CPY60" s="608"/>
      <c r="CPZ60" s="608"/>
      <c r="CQA60" s="608"/>
      <c r="CQB60" s="608"/>
      <c r="CQC60" s="608"/>
      <c r="CQD60" s="608"/>
      <c r="CQE60" s="608"/>
      <c r="CQF60" s="608"/>
      <c r="CQG60" s="608"/>
      <c r="CQH60" s="608"/>
      <c r="CQI60" s="608"/>
      <c r="CQJ60" s="608"/>
      <c r="CQK60" s="608"/>
      <c r="CQL60" s="608"/>
      <c r="CQM60" s="608"/>
      <c r="CQN60" s="608"/>
      <c r="CQO60" s="608"/>
      <c r="CQP60" s="608"/>
      <c r="CQQ60" s="608"/>
      <c r="CQR60" s="608"/>
      <c r="CQS60" s="608"/>
      <c r="CQT60" s="608"/>
      <c r="CQU60" s="608"/>
      <c r="CQV60" s="608"/>
      <c r="CQW60" s="608"/>
      <c r="CQX60" s="608"/>
      <c r="CQY60" s="608"/>
      <c r="CQZ60" s="608"/>
      <c r="CRA60" s="608"/>
      <c r="CRB60" s="608"/>
      <c r="CRC60" s="608"/>
      <c r="CRD60" s="608"/>
      <c r="CRE60" s="608"/>
      <c r="CRF60" s="608"/>
      <c r="CRG60" s="608"/>
      <c r="CRH60" s="608"/>
      <c r="CRI60" s="608"/>
      <c r="CRJ60" s="608"/>
      <c r="CRK60" s="608"/>
      <c r="CRL60" s="608"/>
      <c r="CRM60" s="608"/>
      <c r="CRN60" s="608"/>
      <c r="CRO60" s="608"/>
      <c r="CRP60" s="608"/>
      <c r="CRQ60" s="608"/>
      <c r="CRR60" s="608"/>
      <c r="CRS60" s="608"/>
      <c r="CRT60" s="608"/>
      <c r="CRU60" s="608"/>
      <c r="CRV60" s="608"/>
      <c r="CRW60" s="608"/>
      <c r="CRX60" s="608"/>
      <c r="CRY60" s="608"/>
      <c r="CRZ60" s="608"/>
      <c r="CSA60" s="608"/>
      <c r="CSB60" s="608"/>
      <c r="CSC60" s="608"/>
      <c r="CSD60" s="608"/>
      <c r="CSE60" s="608"/>
      <c r="CSF60" s="608"/>
      <c r="CSG60" s="608"/>
      <c r="CSH60" s="608"/>
      <c r="CSI60" s="608"/>
      <c r="CSJ60" s="608"/>
      <c r="CSK60" s="608"/>
      <c r="CSL60" s="608"/>
      <c r="CSM60" s="608"/>
      <c r="CSN60" s="608"/>
      <c r="CSO60" s="608"/>
      <c r="CSP60" s="608"/>
      <c r="CSQ60" s="608"/>
      <c r="CSR60" s="608"/>
      <c r="CSS60" s="608"/>
      <c r="CST60" s="608"/>
      <c r="CSU60" s="608"/>
      <c r="CSV60" s="608"/>
      <c r="CSW60" s="608"/>
      <c r="CSX60" s="608"/>
      <c r="CSY60" s="608"/>
      <c r="CSZ60" s="608"/>
      <c r="CTA60" s="608"/>
      <c r="CTB60" s="608"/>
      <c r="CTC60" s="608"/>
      <c r="CTD60" s="608"/>
      <c r="CTE60" s="608"/>
      <c r="CTF60" s="608"/>
      <c r="CTG60" s="608"/>
      <c r="CTH60" s="608"/>
      <c r="CTI60" s="608"/>
      <c r="CTJ60" s="608"/>
      <c r="CTK60" s="608"/>
      <c r="CTL60" s="608"/>
      <c r="CTM60" s="608"/>
      <c r="CTN60" s="608"/>
      <c r="CTO60" s="608"/>
      <c r="CTP60" s="608"/>
      <c r="CTQ60" s="608"/>
      <c r="CTR60" s="608"/>
      <c r="CTS60" s="608"/>
      <c r="CTT60" s="608"/>
      <c r="CTU60" s="608"/>
      <c r="CTV60" s="608"/>
      <c r="CTW60" s="608"/>
      <c r="CTX60" s="608"/>
      <c r="CTY60" s="608"/>
      <c r="CTZ60" s="608"/>
      <c r="CUA60" s="608"/>
      <c r="CUB60" s="608"/>
      <c r="CUC60" s="608"/>
      <c r="CUD60" s="608"/>
      <c r="CUE60" s="608"/>
      <c r="CUF60" s="608"/>
      <c r="CUG60" s="608"/>
      <c r="CUH60" s="608"/>
      <c r="CUI60" s="608"/>
      <c r="CUJ60" s="608"/>
      <c r="CUK60" s="608"/>
      <c r="CUL60" s="608"/>
      <c r="CUM60" s="608"/>
      <c r="CUN60" s="608"/>
      <c r="CUO60" s="608"/>
      <c r="CUP60" s="608"/>
      <c r="CUQ60" s="608"/>
      <c r="CUR60" s="608"/>
      <c r="CUS60" s="608"/>
      <c r="CUT60" s="608"/>
      <c r="CUU60" s="608"/>
      <c r="CUV60" s="608"/>
      <c r="CUW60" s="608"/>
      <c r="CUX60" s="608"/>
      <c r="CUY60" s="608"/>
      <c r="CUZ60" s="608"/>
      <c r="CVA60" s="608"/>
      <c r="CVB60" s="608"/>
      <c r="CVC60" s="608"/>
      <c r="CVD60" s="608"/>
      <c r="CVE60" s="608"/>
      <c r="CVF60" s="608"/>
      <c r="CVG60" s="608"/>
      <c r="CVH60" s="608"/>
      <c r="CVI60" s="608"/>
      <c r="CVJ60" s="608"/>
      <c r="CVK60" s="608"/>
      <c r="CVL60" s="608"/>
      <c r="CVM60" s="608"/>
      <c r="CVN60" s="608"/>
      <c r="CVO60" s="608"/>
      <c r="CVP60" s="608"/>
      <c r="CVQ60" s="608"/>
      <c r="CVR60" s="608"/>
      <c r="CVS60" s="608"/>
      <c r="CVT60" s="608"/>
      <c r="CVU60" s="608"/>
      <c r="CVV60" s="608"/>
      <c r="CVW60" s="608"/>
      <c r="CVX60" s="608"/>
      <c r="CVY60" s="608"/>
      <c r="CVZ60" s="608"/>
      <c r="CWA60" s="608"/>
      <c r="CWB60" s="608"/>
      <c r="CWC60" s="608"/>
      <c r="CWD60" s="608"/>
      <c r="CWE60" s="608"/>
      <c r="CWF60" s="608"/>
      <c r="CWG60" s="608"/>
      <c r="CWH60" s="608"/>
      <c r="CWI60" s="608"/>
      <c r="CWJ60" s="608"/>
      <c r="CWK60" s="608"/>
      <c r="CWL60" s="608"/>
      <c r="CWM60" s="608"/>
      <c r="CWN60" s="608"/>
      <c r="CWO60" s="608"/>
      <c r="CWP60" s="608"/>
      <c r="CWQ60" s="608"/>
      <c r="CWR60" s="608"/>
      <c r="CWS60" s="608"/>
      <c r="CWT60" s="608"/>
      <c r="CWU60" s="608"/>
      <c r="CWV60" s="608"/>
      <c r="CWW60" s="608"/>
      <c r="CWX60" s="608"/>
      <c r="CWY60" s="608"/>
      <c r="CWZ60" s="608"/>
      <c r="CXA60" s="608"/>
      <c r="CXB60" s="608"/>
      <c r="CXC60" s="608"/>
      <c r="CXD60" s="608"/>
      <c r="CXE60" s="608"/>
      <c r="CXF60" s="608"/>
      <c r="CXG60" s="608"/>
      <c r="CXH60" s="608"/>
      <c r="CXI60" s="608"/>
      <c r="CXJ60" s="608"/>
      <c r="CXK60" s="608"/>
      <c r="CXL60" s="608"/>
      <c r="CXM60" s="608"/>
      <c r="CXN60" s="608"/>
      <c r="CXO60" s="608"/>
      <c r="CXP60" s="608"/>
      <c r="CXQ60" s="608"/>
      <c r="CXR60" s="608"/>
      <c r="CXS60" s="608"/>
      <c r="CXT60" s="608"/>
      <c r="CXU60" s="608"/>
      <c r="CXV60" s="608"/>
      <c r="CXW60" s="608"/>
      <c r="CXX60" s="608"/>
      <c r="CXY60" s="608"/>
      <c r="CXZ60" s="608"/>
      <c r="CYA60" s="608"/>
      <c r="CYB60" s="608"/>
      <c r="CYC60" s="608"/>
      <c r="CYD60" s="608"/>
      <c r="CYE60" s="608"/>
      <c r="CYF60" s="608"/>
      <c r="CYG60" s="608"/>
      <c r="CYH60" s="608"/>
      <c r="CYI60" s="608"/>
      <c r="CYJ60" s="608"/>
      <c r="CYK60" s="608"/>
      <c r="CYL60" s="608"/>
      <c r="CYM60" s="608"/>
      <c r="CYN60" s="608"/>
      <c r="CYO60" s="608"/>
      <c r="CYP60" s="608"/>
      <c r="CYQ60" s="608"/>
      <c r="CYR60" s="608"/>
      <c r="CYS60" s="608"/>
      <c r="CYT60" s="608"/>
      <c r="CYU60" s="608"/>
      <c r="CYV60" s="608"/>
      <c r="CYW60" s="608"/>
      <c r="CYX60" s="608"/>
      <c r="CYY60" s="608"/>
      <c r="CYZ60" s="608"/>
      <c r="CZA60" s="608"/>
      <c r="CZB60" s="608"/>
      <c r="CZC60" s="608"/>
      <c r="CZD60" s="608"/>
      <c r="CZE60" s="608"/>
      <c r="CZF60" s="608"/>
      <c r="CZG60" s="608"/>
      <c r="CZH60" s="608"/>
      <c r="CZI60" s="608"/>
      <c r="CZJ60" s="608"/>
      <c r="CZK60" s="608"/>
      <c r="CZL60" s="608"/>
      <c r="CZM60" s="608"/>
      <c r="CZN60" s="608"/>
      <c r="CZO60" s="608"/>
      <c r="CZP60" s="608"/>
      <c r="CZQ60" s="608"/>
      <c r="CZR60" s="608"/>
      <c r="CZS60" s="608"/>
      <c r="CZT60" s="608"/>
      <c r="CZU60" s="608"/>
      <c r="CZV60" s="608"/>
      <c r="CZW60" s="608"/>
      <c r="CZX60" s="608"/>
      <c r="CZY60" s="608"/>
      <c r="CZZ60" s="608"/>
      <c r="DAA60" s="608"/>
      <c r="DAB60" s="608"/>
      <c r="DAC60" s="608"/>
      <c r="DAD60" s="608"/>
      <c r="DAE60" s="608"/>
      <c r="DAF60" s="608"/>
      <c r="DAG60" s="608"/>
      <c r="DAH60" s="608"/>
      <c r="DAI60" s="608"/>
      <c r="DAJ60" s="608"/>
      <c r="DAK60" s="608"/>
      <c r="DAL60" s="608"/>
      <c r="DAM60" s="608"/>
      <c r="DAN60" s="608"/>
      <c r="DAO60" s="608"/>
      <c r="DAP60" s="608"/>
      <c r="DAQ60" s="608"/>
      <c r="DAR60" s="608"/>
      <c r="DAS60" s="608"/>
      <c r="DAT60" s="608"/>
      <c r="DAU60" s="608"/>
      <c r="DAV60" s="608"/>
      <c r="DAW60" s="608"/>
      <c r="DAX60" s="608"/>
      <c r="DAY60" s="608"/>
      <c r="DAZ60" s="608"/>
      <c r="DBA60" s="608"/>
      <c r="DBB60" s="608"/>
      <c r="DBC60" s="608"/>
      <c r="DBD60" s="608"/>
      <c r="DBE60" s="608"/>
      <c r="DBF60" s="608"/>
      <c r="DBG60" s="608"/>
      <c r="DBH60" s="608"/>
      <c r="DBI60" s="608"/>
      <c r="DBJ60" s="608"/>
      <c r="DBK60" s="608"/>
      <c r="DBL60" s="608"/>
      <c r="DBM60" s="608"/>
      <c r="DBN60" s="608"/>
      <c r="DBO60" s="608"/>
      <c r="DBP60" s="608"/>
      <c r="DBQ60" s="608"/>
      <c r="DBR60" s="608"/>
      <c r="DBS60" s="608"/>
      <c r="DBT60" s="608"/>
      <c r="DBU60" s="608"/>
      <c r="DBV60" s="608"/>
      <c r="DBW60" s="608"/>
      <c r="DBX60" s="608"/>
      <c r="DBY60" s="608"/>
      <c r="DBZ60" s="608"/>
      <c r="DCA60" s="608"/>
      <c r="DCB60" s="608"/>
      <c r="DCC60" s="608"/>
      <c r="DCD60" s="608"/>
      <c r="DCE60" s="608"/>
      <c r="DCF60" s="608"/>
      <c r="DCG60" s="608"/>
      <c r="DCH60" s="608"/>
      <c r="DCI60" s="608"/>
      <c r="DCJ60" s="608"/>
      <c r="DCK60" s="608"/>
      <c r="DCL60" s="608"/>
      <c r="DCM60" s="608"/>
      <c r="DCN60" s="608"/>
      <c r="DCO60" s="608"/>
      <c r="DCP60" s="608"/>
      <c r="DCQ60" s="608"/>
      <c r="DCR60" s="608"/>
      <c r="DCS60" s="608"/>
      <c r="DCT60" s="608"/>
      <c r="DCU60" s="608"/>
      <c r="DCV60" s="608"/>
      <c r="DCW60" s="608"/>
      <c r="DCX60" s="608"/>
      <c r="DCY60" s="608"/>
      <c r="DCZ60" s="608"/>
      <c r="DDA60" s="608"/>
      <c r="DDB60" s="608"/>
      <c r="DDC60" s="608"/>
      <c r="DDD60" s="608"/>
      <c r="DDE60" s="608"/>
      <c r="DDF60" s="608"/>
      <c r="DDG60" s="608"/>
      <c r="DDH60" s="608"/>
      <c r="DDI60" s="608"/>
      <c r="DDJ60" s="608"/>
      <c r="DDK60" s="608"/>
      <c r="DDL60" s="608"/>
      <c r="DDM60" s="608"/>
      <c r="DDN60" s="608"/>
      <c r="DDO60" s="608"/>
      <c r="DDP60" s="608"/>
      <c r="DDQ60" s="608"/>
      <c r="DDR60" s="608"/>
      <c r="DDS60" s="608"/>
      <c r="DDT60" s="608"/>
      <c r="DDU60" s="608"/>
      <c r="DDV60" s="608"/>
      <c r="DDW60" s="608"/>
      <c r="DDX60" s="608"/>
      <c r="DDY60" s="608"/>
      <c r="DDZ60" s="608"/>
      <c r="DEA60" s="608"/>
      <c r="DEB60" s="608"/>
      <c r="DEC60" s="608"/>
      <c r="DED60" s="608"/>
      <c r="DEE60" s="608"/>
      <c r="DEF60" s="608"/>
      <c r="DEG60" s="608"/>
      <c r="DEH60" s="608"/>
      <c r="DEI60" s="608"/>
      <c r="DEJ60" s="608"/>
      <c r="DEK60" s="608"/>
      <c r="DEL60" s="608"/>
      <c r="DEM60" s="608"/>
      <c r="DEN60" s="608"/>
      <c r="DEO60" s="608"/>
      <c r="DEP60" s="608"/>
      <c r="DEQ60" s="608"/>
      <c r="DER60" s="608"/>
      <c r="DES60" s="608"/>
      <c r="DET60" s="608"/>
      <c r="DEU60" s="608"/>
      <c r="DEV60" s="608"/>
      <c r="DEW60" s="608"/>
      <c r="DEX60" s="608"/>
      <c r="DEY60" s="608"/>
      <c r="DEZ60" s="608"/>
      <c r="DFA60" s="608"/>
      <c r="DFB60" s="608"/>
      <c r="DFC60" s="608"/>
      <c r="DFD60" s="608"/>
      <c r="DFE60" s="608"/>
      <c r="DFF60" s="608"/>
      <c r="DFG60" s="608"/>
      <c r="DFH60" s="608"/>
      <c r="DFI60" s="608"/>
      <c r="DFJ60" s="608"/>
      <c r="DFK60" s="608"/>
      <c r="DFL60" s="608"/>
      <c r="DFM60" s="608"/>
      <c r="DFN60" s="608"/>
      <c r="DFO60" s="608"/>
      <c r="DFP60" s="608"/>
      <c r="DFQ60" s="608"/>
      <c r="DFR60" s="608"/>
      <c r="DFS60" s="608"/>
      <c r="DFT60" s="608"/>
      <c r="DFU60" s="608"/>
      <c r="DFV60" s="608"/>
      <c r="DFW60" s="608"/>
      <c r="DFX60" s="608"/>
      <c r="DFY60" s="608"/>
      <c r="DFZ60" s="608"/>
      <c r="DGA60" s="608"/>
      <c r="DGB60" s="608"/>
      <c r="DGC60" s="608"/>
      <c r="DGD60" s="608"/>
      <c r="DGE60" s="608"/>
      <c r="DGF60" s="608"/>
      <c r="DGG60" s="608"/>
      <c r="DGH60" s="608"/>
      <c r="DGI60" s="608"/>
      <c r="DGJ60" s="608"/>
      <c r="DGK60" s="608"/>
      <c r="DGL60" s="608"/>
      <c r="DGM60" s="608"/>
      <c r="DGN60" s="608"/>
      <c r="DGO60" s="608"/>
      <c r="DGP60" s="608"/>
      <c r="DGQ60" s="608"/>
      <c r="DGR60" s="608"/>
      <c r="DGS60" s="608"/>
      <c r="DGT60" s="608"/>
      <c r="DGU60" s="608"/>
      <c r="DGV60" s="608"/>
      <c r="DGW60" s="608"/>
      <c r="DGX60" s="608"/>
      <c r="DGY60" s="608"/>
      <c r="DGZ60" s="608"/>
      <c r="DHA60" s="608"/>
      <c r="DHB60" s="608"/>
      <c r="DHC60" s="608"/>
      <c r="DHD60" s="608"/>
      <c r="DHE60" s="608"/>
      <c r="DHF60" s="608"/>
      <c r="DHG60" s="608"/>
      <c r="DHH60" s="608"/>
      <c r="DHI60" s="608"/>
      <c r="DHJ60" s="608"/>
      <c r="DHK60" s="608"/>
      <c r="DHL60" s="608"/>
      <c r="DHM60" s="608"/>
      <c r="DHN60" s="608"/>
      <c r="DHO60" s="608"/>
      <c r="DHP60" s="608"/>
      <c r="DHQ60" s="608"/>
      <c r="DHR60" s="608"/>
      <c r="DHS60" s="608"/>
      <c r="DHT60" s="608"/>
      <c r="DHU60" s="608"/>
      <c r="DHV60" s="608"/>
      <c r="DHW60" s="608"/>
      <c r="DHX60" s="608"/>
      <c r="DHY60" s="608"/>
      <c r="DHZ60" s="608"/>
      <c r="DIA60" s="608"/>
      <c r="DIB60" s="608"/>
      <c r="DIC60" s="608"/>
      <c r="DID60" s="608"/>
      <c r="DIE60" s="608"/>
      <c r="DIF60" s="608"/>
      <c r="DIG60" s="608"/>
      <c r="DIH60" s="608"/>
      <c r="DII60" s="608"/>
      <c r="DIJ60" s="608"/>
      <c r="DIK60" s="608"/>
      <c r="DIL60" s="608"/>
      <c r="DIM60" s="608"/>
      <c r="DIN60" s="608"/>
      <c r="DIO60" s="608"/>
      <c r="DIP60" s="608"/>
      <c r="DIQ60" s="608"/>
      <c r="DIR60" s="608"/>
      <c r="DIS60" s="608"/>
      <c r="DIT60" s="608"/>
      <c r="DIU60" s="608"/>
      <c r="DIV60" s="608"/>
      <c r="DIW60" s="608"/>
      <c r="DIX60" s="608"/>
      <c r="DIY60" s="608"/>
      <c r="DIZ60" s="608"/>
      <c r="DJA60" s="608"/>
      <c r="DJB60" s="608"/>
      <c r="DJC60" s="608"/>
      <c r="DJD60" s="608"/>
      <c r="DJE60" s="608"/>
      <c r="DJF60" s="608"/>
      <c r="DJG60" s="608"/>
      <c r="DJH60" s="608"/>
      <c r="DJI60" s="608"/>
      <c r="DJJ60" s="608"/>
      <c r="DJK60" s="608"/>
      <c r="DJL60" s="608"/>
      <c r="DJM60" s="608"/>
      <c r="DJN60" s="608"/>
      <c r="DJO60" s="608"/>
      <c r="DJP60" s="608"/>
      <c r="DJQ60" s="608"/>
      <c r="DJR60" s="608"/>
      <c r="DJS60" s="608"/>
      <c r="DJT60" s="608"/>
      <c r="DJU60" s="608"/>
      <c r="DJV60" s="608"/>
      <c r="DJW60" s="608"/>
      <c r="DJX60" s="608"/>
      <c r="DJY60" s="608"/>
      <c r="DJZ60" s="608"/>
      <c r="DKA60" s="608"/>
      <c r="DKB60" s="608"/>
      <c r="DKC60" s="608"/>
      <c r="DKD60" s="608"/>
      <c r="DKE60" s="608"/>
      <c r="DKF60" s="608"/>
      <c r="DKG60" s="608"/>
      <c r="DKH60" s="608"/>
      <c r="DKI60" s="608"/>
      <c r="DKJ60" s="608"/>
      <c r="DKK60" s="608"/>
      <c r="DKL60" s="608"/>
      <c r="DKM60" s="608"/>
      <c r="DKN60" s="608"/>
      <c r="DKO60" s="608"/>
      <c r="DKP60" s="608"/>
      <c r="DKQ60" s="608"/>
      <c r="DKR60" s="608"/>
      <c r="DKS60" s="608"/>
      <c r="DKT60" s="608"/>
      <c r="DKU60" s="608"/>
      <c r="DKV60" s="608"/>
      <c r="DKW60" s="608"/>
      <c r="DKX60" s="608"/>
      <c r="DKY60" s="608"/>
      <c r="DKZ60" s="608"/>
      <c r="DLA60" s="608"/>
      <c r="DLB60" s="608"/>
      <c r="DLC60" s="608"/>
      <c r="DLD60" s="608"/>
      <c r="DLE60" s="608"/>
      <c r="DLF60" s="608"/>
      <c r="DLG60" s="608"/>
      <c r="DLH60" s="608"/>
      <c r="DLI60" s="608"/>
      <c r="DLJ60" s="608"/>
      <c r="DLK60" s="608"/>
      <c r="DLL60" s="608"/>
      <c r="DLM60" s="608"/>
      <c r="DLN60" s="608"/>
      <c r="DLO60" s="608"/>
      <c r="DLP60" s="608"/>
      <c r="DLQ60" s="608"/>
      <c r="DLR60" s="608"/>
      <c r="DLS60" s="608"/>
      <c r="DLT60" s="608"/>
      <c r="DLU60" s="608"/>
      <c r="DLV60" s="608"/>
      <c r="DLW60" s="608"/>
      <c r="DLX60" s="608"/>
      <c r="DLY60" s="608"/>
      <c r="DLZ60" s="608"/>
      <c r="DMA60" s="608"/>
      <c r="DMB60" s="608"/>
      <c r="DMC60" s="608"/>
      <c r="DMD60" s="608"/>
      <c r="DME60" s="608"/>
      <c r="DMF60" s="608"/>
      <c r="DMG60" s="608"/>
      <c r="DMH60" s="608"/>
      <c r="DMI60" s="608"/>
      <c r="DMJ60" s="608"/>
      <c r="DMK60" s="608"/>
      <c r="DML60" s="608"/>
      <c r="DMM60" s="608"/>
      <c r="DMN60" s="608"/>
      <c r="DMO60" s="608"/>
      <c r="DMP60" s="608"/>
      <c r="DMQ60" s="608"/>
      <c r="DMR60" s="608"/>
      <c r="DMS60" s="608"/>
      <c r="DMT60" s="608"/>
      <c r="DMU60" s="608"/>
      <c r="DMV60" s="608"/>
      <c r="DMW60" s="608"/>
      <c r="DMX60" s="608"/>
      <c r="DMY60" s="608"/>
      <c r="DMZ60" s="608"/>
      <c r="DNA60" s="608"/>
      <c r="DNB60" s="608"/>
      <c r="DNC60" s="608"/>
      <c r="DND60" s="608"/>
      <c r="DNE60" s="608"/>
      <c r="DNF60" s="608"/>
      <c r="DNG60" s="608"/>
      <c r="DNH60" s="608"/>
      <c r="DNI60" s="608"/>
      <c r="DNJ60" s="608"/>
      <c r="DNK60" s="608"/>
      <c r="DNL60" s="608"/>
      <c r="DNM60" s="608"/>
      <c r="DNN60" s="608"/>
      <c r="DNO60" s="608"/>
      <c r="DNP60" s="608"/>
      <c r="DNQ60" s="608"/>
      <c r="DNR60" s="608"/>
      <c r="DNS60" s="608"/>
      <c r="DNT60" s="608"/>
      <c r="DNU60" s="608"/>
      <c r="DNV60" s="608"/>
      <c r="DNW60" s="608"/>
      <c r="DNX60" s="608"/>
      <c r="DNY60" s="608"/>
      <c r="DNZ60" s="608"/>
      <c r="DOA60" s="608"/>
      <c r="DOB60" s="608"/>
      <c r="DOC60" s="608"/>
      <c r="DOD60" s="608"/>
      <c r="DOE60" s="608"/>
      <c r="DOF60" s="608"/>
      <c r="DOG60" s="608"/>
      <c r="DOH60" s="608"/>
      <c r="DOI60" s="608"/>
      <c r="DOJ60" s="608"/>
      <c r="DOK60" s="608"/>
      <c r="DOL60" s="608"/>
      <c r="DOM60" s="608"/>
      <c r="DON60" s="608"/>
      <c r="DOO60" s="608"/>
      <c r="DOP60" s="608"/>
      <c r="DOQ60" s="608"/>
      <c r="DOR60" s="608"/>
      <c r="DOS60" s="608"/>
      <c r="DOT60" s="608"/>
      <c r="DOU60" s="608"/>
      <c r="DOV60" s="608"/>
      <c r="DOW60" s="608"/>
      <c r="DOX60" s="608"/>
      <c r="DOY60" s="608"/>
      <c r="DOZ60" s="608"/>
      <c r="DPA60" s="608"/>
      <c r="DPB60" s="608"/>
      <c r="DPC60" s="608"/>
      <c r="DPD60" s="608"/>
      <c r="DPE60" s="608"/>
      <c r="DPF60" s="608"/>
      <c r="DPG60" s="608"/>
      <c r="DPH60" s="608"/>
      <c r="DPI60" s="608"/>
      <c r="DPJ60" s="608"/>
      <c r="DPK60" s="608"/>
      <c r="DPL60" s="608"/>
      <c r="DPM60" s="608"/>
      <c r="DPN60" s="608"/>
      <c r="DPO60" s="608"/>
      <c r="DPP60" s="608"/>
      <c r="DPQ60" s="608"/>
      <c r="DPR60" s="608"/>
      <c r="DPS60" s="608"/>
      <c r="DPT60" s="608"/>
      <c r="DPU60" s="608"/>
      <c r="DPV60" s="608"/>
      <c r="DPW60" s="608"/>
      <c r="DPX60" s="608"/>
      <c r="DPY60" s="608"/>
      <c r="DPZ60" s="608"/>
      <c r="DQA60" s="608"/>
      <c r="DQB60" s="608"/>
      <c r="DQC60" s="608"/>
      <c r="DQD60" s="608"/>
      <c r="DQE60" s="608"/>
      <c r="DQF60" s="608"/>
      <c r="DQG60" s="608"/>
      <c r="DQH60" s="608"/>
      <c r="DQI60" s="608"/>
      <c r="DQJ60" s="608"/>
      <c r="DQK60" s="608"/>
      <c r="DQL60" s="608"/>
      <c r="DQM60" s="608"/>
      <c r="DQN60" s="608"/>
      <c r="DQO60" s="608"/>
      <c r="DQP60" s="608"/>
      <c r="DQQ60" s="608"/>
      <c r="DQR60" s="608"/>
      <c r="DQS60" s="608"/>
      <c r="DQT60" s="608"/>
      <c r="DQU60" s="608"/>
      <c r="DQV60" s="608"/>
      <c r="DQW60" s="608"/>
      <c r="DQX60" s="608"/>
      <c r="DQY60" s="608"/>
      <c r="DQZ60" s="608"/>
      <c r="DRA60" s="608"/>
      <c r="DRB60" s="608"/>
      <c r="DRC60" s="608"/>
      <c r="DRD60" s="608"/>
      <c r="DRE60" s="608"/>
      <c r="DRF60" s="608"/>
      <c r="DRG60" s="608"/>
      <c r="DRH60" s="608"/>
      <c r="DRI60" s="608"/>
      <c r="DRJ60" s="608"/>
      <c r="DRK60" s="608"/>
      <c r="DRL60" s="608"/>
      <c r="DRM60" s="608"/>
      <c r="DRN60" s="608"/>
      <c r="DRO60" s="608"/>
      <c r="DRP60" s="608"/>
      <c r="DRQ60" s="608"/>
      <c r="DRR60" s="608"/>
      <c r="DRS60" s="608"/>
      <c r="DRT60" s="608"/>
      <c r="DRU60" s="608"/>
      <c r="DRV60" s="608"/>
      <c r="DRW60" s="608"/>
      <c r="DRX60" s="608"/>
      <c r="DRY60" s="608"/>
      <c r="DRZ60" s="608"/>
      <c r="DSA60" s="608"/>
      <c r="DSB60" s="608"/>
      <c r="DSC60" s="608"/>
      <c r="DSD60" s="608"/>
      <c r="DSE60" s="608"/>
      <c r="DSF60" s="608"/>
      <c r="DSG60" s="608"/>
      <c r="DSH60" s="608"/>
      <c r="DSI60" s="608"/>
      <c r="DSJ60" s="608"/>
      <c r="DSK60" s="608"/>
      <c r="DSL60" s="608"/>
      <c r="DSM60" s="608"/>
      <c r="DSN60" s="608"/>
      <c r="DSO60" s="608"/>
      <c r="DSP60" s="608"/>
      <c r="DSQ60" s="608"/>
      <c r="DSR60" s="608"/>
      <c r="DSS60" s="608"/>
      <c r="DST60" s="608"/>
      <c r="DSU60" s="608"/>
      <c r="DSV60" s="608"/>
      <c r="DSW60" s="608"/>
      <c r="DSX60" s="608"/>
      <c r="DSY60" s="608"/>
      <c r="DSZ60" s="608"/>
      <c r="DTA60" s="608"/>
      <c r="DTB60" s="608"/>
      <c r="DTC60" s="608"/>
      <c r="DTD60" s="608"/>
      <c r="DTE60" s="608"/>
      <c r="DTF60" s="608"/>
      <c r="DTG60" s="608"/>
      <c r="DTH60" s="608"/>
      <c r="DTI60" s="608"/>
      <c r="DTJ60" s="608"/>
      <c r="DTK60" s="608"/>
      <c r="DTL60" s="608"/>
      <c r="DTM60" s="608"/>
      <c r="DTN60" s="608"/>
      <c r="DTO60" s="608"/>
      <c r="DTP60" s="608"/>
      <c r="DTQ60" s="608"/>
      <c r="DTR60" s="608"/>
      <c r="DTS60" s="608"/>
      <c r="DTT60" s="608"/>
      <c r="DTU60" s="608"/>
      <c r="DTV60" s="608"/>
      <c r="DTW60" s="608"/>
      <c r="DTX60" s="608"/>
      <c r="DTY60" s="608"/>
      <c r="DTZ60" s="608"/>
      <c r="DUA60" s="608"/>
      <c r="DUB60" s="608"/>
      <c r="DUC60" s="608"/>
      <c r="DUD60" s="608"/>
      <c r="DUE60" s="608"/>
      <c r="DUF60" s="608"/>
      <c r="DUG60" s="608"/>
      <c r="DUH60" s="608"/>
      <c r="DUI60" s="608"/>
      <c r="DUJ60" s="608"/>
      <c r="DUK60" s="608"/>
      <c r="DUL60" s="608"/>
      <c r="DUM60" s="608"/>
      <c r="DUN60" s="608"/>
      <c r="DUO60" s="608"/>
      <c r="DUP60" s="608"/>
      <c r="DUQ60" s="608"/>
      <c r="DUR60" s="608"/>
      <c r="DUS60" s="608"/>
      <c r="DUT60" s="608"/>
      <c r="DUU60" s="608"/>
      <c r="DUV60" s="608"/>
      <c r="DUW60" s="608"/>
      <c r="DUX60" s="608"/>
      <c r="DUY60" s="608"/>
      <c r="DUZ60" s="608"/>
      <c r="DVA60" s="608"/>
      <c r="DVB60" s="608"/>
      <c r="DVC60" s="608"/>
      <c r="DVD60" s="608"/>
      <c r="DVE60" s="608"/>
      <c r="DVF60" s="608"/>
      <c r="DVG60" s="608"/>
      <c r="DVH60" s="608"/>
      <c r="DVI60" s="608"/>
      <c r="DVJ60" s="608"/>
      <c r="DVK60" s="608"/>
      <c r="DVL60" s="608"/>
      <c r="DVM60" s="608"/>
      <c r="DVN60" s="608"/>
      <c r="DVO60" s="608"/>
      <c r="DVP60" s="608"/>
      <c r="DVQ60" s="608"/>
      <c r="DVR60" s="608"/>
      <c r="DVS60" s="608"/>
      <c r="DVT60" s="608"/>
      <c r="DVU60" s="608"/>
      <c r="DVV60" s="608"/>
      <c r="DVW60" s="608"/>
      <c r="DVX60" s="608"/>
      <c r="DVY60" s="608"/>
      <c r="DVZ60" s="608"/>
      <c r="DWA60" s="608"/>
      <c r="DWB60" s="608"/>
      <c r="DWC60" s="608"/>
      <c r="DWD60" s="608"/>
      <c r="DWE60" s="608"/>
      <c r="DWF60" s="608"/>
      <c r="DWG60" s="608"/>
      <c r="DWH60" s="608"/>
      <c r="DWI60" s="608"/>
      <c r="DWJ60" s="608"/>
      <c r="DWK60" s="608"/>
      <c r="DWL60" s="608"/>
      <c r="DWM60" s="608"/>
      <c r="DWN60" s="608"/>
      <c r="DWO60" s="608"/>
      <c r="DWP60" s="608"/>
      <c r="DWQ60" s="608"/>
      <c r="DWR60" s="608"/>
      <c r="DWS60" s="608"/>
      <c r="DWT60" s="608"/>
      <c r="DWU60" s="608"/>
      <c r="DWV60" s="608"/>
      <c r="DWW60" s="608"/>
      <c r="DWX60" s="608"/>
      <c r="DWY60" s="608"/>
      <c r="DWZ60" s="608"/>
      <c r="DXA60" s="608"/>
      <c r="DXB60" s="608"/>
      <c r="DXC60" s="608"/>
      <c r="DXD60" s="608"/>
      <c r="DXE60" s="608"/>
      <c r="DXF60" s="608"/>
      <c r="DXG60" s="608"/>
      <c r="DXH60" s="608"/>
      <c r="DXI60" s="608"/>
      <c r="DXJ60" s="608"/>
      <c r="DXK60" s="608"/>
      <c r="DXL60" s="608"/>
      <c r="DXM60" s="608"/>
      <c r="DXN60" s="608"/>
      <c r="DXO60" s="608"/>
      <c r="DXP60" s="608"/>
      <c r="DXQ60" s="608"/>
      <c r="DXR60" s="608"/>
      <c r="DXS60" s="608"/>
      <c r="DXT60" s="608"/>
      <c r="DXU60" s="608"/>
      <c r="DXV60" s="608"/>
      <c r="DXW60" s="608"/>
      <c r="DXX60" s="608"/>
      <c r="DXY60" s="608"/>
      <c r="DXZ60" s="608"/>
      <c r="DYA60" s="608"/>
      <c r="DYB60" s="608"/>
      <c r="DYC60" s="608"/>
      <c r="DYD60" s="608"/>
      <c r="DYE60" s="608"/>
      <c r="DYF60" s="608"/>
      <c r="DYG60" s="608"/>
      <c r="DYH60" s="608"/>
      <c r="DYI60" s="608"/>
      <c r="DYJ60" s="608"/>
      <c r="DYK60" s="608"/>
      <c r="DYL60" s="608"/>
      <c r="DYM60" s="608"/>
      <c r="DYN60" s="608"/>
      <c r="DYO60" s="608"/>
      <c r="DYP60" s="608"/>
      <c r="DYQ60" s="608"/>
      <c r="DYR60" s="608"/>
      <c r="DYS60" s="608"/>
      <c r="DYT60" s="608"/>
      <c r="DYU60" s="608"/>
      <c r="DYV60" s="608"/>
      <c r="DYW60" s="608"/>
      <c r="DYX60" s="608"/>
      <c r="DYY60" s="608"/>
      <c r="DYZ60" s="608"/>
      <c r="DZA60" s="608"/>
      <c r="DZB60" s="608"/>
      <c r="DZC60" s="608"/>
      <c r="DZD60" s="608"/>
      <c r="DZE60" s="608"/>
      <c r="DZF60" s="608"/>
      <c r="DZG60" s="608"/>
      <c r="DZH60" s="608"/>
      <c r="DZI60" s="608"/>
      <c r="DZJ60" s="608"/>
      <c r="DZK60" s="608"/>
      <c r="DZL60" s="608"/>
      <c r="DZM60" s="608"/>
      <c r="DZN60" s="608"/>
      <c r="DZO60" s="608"/>
      <c r="DZP60" s="608"/>
      <c r="DZQ60" s="608"/>
      <c r="DZR60" s="608"/>
      <c r="DZS60" s="608"/>
      <c r="DZT60" s="608"/>
      <c r="DZU60" s="608"/>
      <c r="DZV60" s="608"/>
      <c r="DZW60" s="608"/>
      <c r="DZX60" s="608"/>
      <c r="DZY60" s="608"/>
      <c r="DZZ60" s="608"/>
      <c r="EAA60" s="608"/>
      <c r="EAB60" s="608"/>
      <c r="EAC60" s="608"/>
      <c r="EAD60" s="608"/>
      <c r="EAE60" s="608"/>
      <c r="EAF60" s="608"/>
      <c r="EAG60" s="608"/>
      <c r="EAH60" s="608"/>
      <c r="EAI60" s="608"/>
      <c r="EAJ60" s="608"/>
      <c r="EAK60" s="608"/>
      <c r="EAL60" s="608"/>
      <c r="EAM60" s="608"/>
      <c r="EAN60" s="608"/>
      <c r="EAO60" s="608"/>
      <c r="EAP60" s="608"/>
      <c r="EAQ60" s="608"/>
      <c r="EAR60" s="608"/>
      <c r="EAS60" s="608"/>
      <c r="EAT60" s="608"/>
      <c r="EAU60" s="608"/>
      <c r="EAV60" s="608"/>
      <c r="EAW60" s="608"/>
      <c r="EAX60" s="608"/>
      <c r="EAY60" s="608"/>
      <c r="EAZ60" s="608"/>
      <c r="EBA60" s="608"/>
      <c r="EBB60" s="608"/>
      <c r="EBC60" s="608"/>
      <c r="EBD60" s="608"/>
      <c r="EBE60" s="608"/>
      <c r="EBF60" s="608"/>
      <c r="EBG60" s="608"/>
      <c r="EBH60" s="608"/>
      <c r="EBI60" s="608"/>
      <c r="EBJ60" s="608"/>
      <c r="EBK60" s="608"/>
      <c r="EBL60" s="608"/>
      <c r="EBM60" s="608"/>
      <c r="EBN60" s="608"/>
      <c r="EBO60" s="608"/>
      <c r="EBP60" s="608"/>
      <c r="EBQ60" s="608"/>
      <c r="EBR60" s="608"/>
      <c r="EBS60" s="608"/>
      <c r="EBT60" s="608"/>
      <c r="EBU60" s="608"/>
      <c r="EBV60" s="608"/>
      <c r="EBW60" s="608"/>
      <c r="EBX60" s="608"/>
      <c r="EBY60" s="608"/>
      <c r="EBZ60" s="608"/>
      <c r="ECA60" s="608"/>
      <c r="ECB60" s="608"/>
      <c r="ECC60" s="608"/>
      <c r="ECD60" s="608"/>
      <c r="ECE60" s="608"/>
      <c r="ECF60" s="608"/>
      <c r="ECG60" s="608"/>
      <c r="ECH60" s="608"/>
      <c r="ECI60" s="608"/>
      <c r="ECJ60" s="608"/>
      <c r="ECK60" s="608"/>
      <c r="ECL60" s="608"/>
      <c r="ECM60" s="608"/>
      <c r="ECN60" s="608"/>
      <c r="ECO60" s="608"/>
      <c r="ECP60" s="608"/>
      <c r="ECQ60" s="608"/>
      <c r="ECR60" s="608"/>
      <c r="ECS60" s="608"/>
      <c r="ECT60" s="608"/>
      <c r="ECU60" s="608"/>
      <c r="ECV60" s="608"/>
      <c r="ECW60" s="608"/>
      <c r="ECX60" s="608"/>
      <c r="ECY60" s="608"/>
      <c r="ECZ60" s="608"/>
      <c r="EDA60" s="608"/>
      <c r="EDB60" s="608"/>
      <c r="EDC60" s="608"/>
      <c r="EDD60" s="608"/>
      <c r="EDE60" s="608"/>
      <c r="EDF60" s="608"/>
      <c r="EDG60" s="608"/>
      <c r="EDH60" s="608"/>
      <c r="EDI60" s="608"/>
      <c r="EDJ60" s="608"/>
      <c r="EDK60" s="608"/>
      <c r="EDL60" s="608"/>
      <c r="EDM60" s="608"/>
      <c r="EDN60" s="608"/>
      <c r="EDO60" s="608"/>
      <c r="EDP60" s="608"/>
      <c r="EDQ60" s="608"/>
      <c r="EDR60" s="608"/>
      <c r="EDS60" s="608"/>
      <c r="EDT60" s="608"/>
      <c r="EDU60" s="608"/>
      <c r="EDV60" s="608"/>
      <c r="EDW60" s="608"/>
      <c r="EDX60" s="608"/>
      <c r="EDY60" s="608"/>
      <c r="EDZ60" s="608"/>
      <c r="EEA60" s="608"/>
      <c r="EEB60" s="608"/>
      <c r="EEC60" s="608"/>
      <c r="EED60" s="608"/>
      <c r="EEE60" s="608"/>
      <c r="EEF60" s="608"/>
      <c r="EEG60" s="608"/>
      <c r="EEH60" s="608"/>
      <c r="EEI60" s="608"/>
      <c r="EEJ60" s="608"/>
      <c r="EEK60" s="608"/>
      <c r="EEL60" s="608"/>
      <c r="EEM60" s="608"/>
      <c r="EEN60" s="608"/>
      <c r="EEO60" s="608"/>
      <c r="EEP60" s="608"/>
      <c r="EEQ60" s="608"/>
      <c r="EER60" s="608"/>
      <c r="EES60" s="608"/>
      <c r="EET60" s="608"/>
      <c r="EEU60" s="608"/>
      <c r="EEV60" s="608"/>
      <c r="EEW60" s="608"/>
      <c r="EEX60" s="608"/>
      <c r="EEY60" s="608"/>
      <c r="EEZ60" s="608"/>
      <c r="EFA60" s="608"/>
      <c r="EFB60" s="608"/>
      <c r="EFC60" s="608"/>
      <c r="EFD60" s="608"/>
      <c r="EFE60" s="608"/>
      <c r="EFF60" s="608"/>
      <c r="EFG60" s="608"/>
      <c r="EFH60" s="608"/>
      <c r="EFI60" s="608"/>
      <c r="EFJ60" s="608"/>
      <c r="EFK60" s="608"/>
      <c r="EFL60" s="608"/>
      <c r="EFM60" s="608"/>
      <c r="EFN60" s="608"/>
      <c r="EFO60" s="608"/>
      <c r="EFP60" s="608"/>
      <c r="EFQ60" s="608"/>
      <c r="EFR60" s="608"/>
      <c r="EFS60" s="608"/>
      <c r="EFT60" s="608"/>
      <c r="EFU60" s="608"/>
      <c r="EFV60" s="608"/>
      <c r="EFW60" s="608"/>
      <c r="EFX60" s="608"/>
      <c r="EFY60" s="608"/>
      <c r="EFZ60" s="608"/>
      <c r="EGA60" s="608"/>
      <c r="EGB60" s="608"/>
      <c r="EGC60" s="608"/>
      <c r="EGD60" s="608"/>
      <c r="EGE60" s="608"/>
      <c r="EGF60" s="608"/>
      <c r="EGG60" s="608"/>
      <c r="EGH60" s="608"/>
      <c r="EGI60" s="608"/>
      <c r="EGJ60" s="608"/>
      <c r="EGK60" s="608"/>
      <c r="EGL60" s="608"/>
      <c r="EGM60" s="608"/>
      <c r="EGN60" s="608"/>
      <c r="EGO60" s="608"/>
      <c r="EGP60" s="608"/>
      <c r="EGQ60" s="608"/>
      <c r="EGR60" s="608"/>
      <c r="EGS60" s="608"/>
      <c r="EGT60" s="608"/>
      <c r="EGU60" s="608"/>
      <c r="EGV60" s="608"/>
      <c r="EGW60" s="608"/>
      <c r="EGX60" s="608"/>
      <c r="EGY60" s="608"/>
      <c r="EGZ60" s="608"/>
      <c r="EHA60" s="608"/>
      <c r="EHB60" s="608"/>
      <c r="EHC60" s="608"/>
      <c r="EHD60" s="608"/>
      <c r="EHE60" s="608"/>
      <c r="EHF60" s="608"/>
      <c r="EHG60" s="608"/>
      <c r="EHH60" s="608"/>
      <c r="EHI60" s="608"/>
      <c r="EHJ60" s="608"/>
      <c r="EHK60" s="608"/>
      <c r="EHL60" s="608"/>
      <c r="EHM60" s="608"/>
      <c r="EHN60" s="608"/>
      <c r="EHO60" s="608"/>
      <c r="EHP60" s="608"/>
      <c r="EHQ60" s="608"/>
      <c r="EHR60" s="608"/>
      <c r="EHS60" s="608"/>
      <c r="EHT60" s="608"/>
      <c r="EHU60" s="608"/>
      <c r="EHV60" s="608"/>
      <c r="EHW60" s="608"/>
      <c r="EHX60" s="608"/>
      <c r="EHY60" s="608"/>
      <c r="EHZ60" s="608"/>
      <c r="EIA60" s="608"/>
      <c r="EIB60" s="608"/>
      <c r="EIC60" s="608"/>
      <c r="EID60" s="608"/>
      <c r="EIE60" s="608"/>
      <c r="EIF60" s="608"/>
      <c r="EIG60" s="608"/>
      <c r="EIH60" s="608"/>
      <c r="EII60" s="608"/>
      <c r="EIJ60" s="608"/>
      <c r="EIK60" s="608"/>
      <c r="EIL60" s="608"/>
      <c r="EIM60" s="608"/>
      <c r="EIN60" s="608"/>
      <c r="EIO60" s="608"/>
      <c r="EIP60" s="608"/>
      <c r="EIQ60" s="608"/>
      <c r="EIR60" s="608"/>
      <c r="EIS60" s="608"/>
      <c r="EIT60" s="608"/>
      <c r="EIU60" s="608"/>
      <c r="EIV60" s="608"/>
      <c r="EIW60" s="608"/>
      <c r="EIX60" s="608"/>
      <c r="EIY60" s="608"/>
      <c r="EIZ60" s="608"/>
      <c r="EJA60" s="608"/>
      <c r="EJB60" s="608"/>
      <c r="EJC60" s="608"/>
      <c r="EJD60" s="608"/>
      <c r="EJE60" s="608"/>
      <c r="EJF60" s="608"/>
      <c r="EJG60" s="608"/>
      <c r="EJH60" s="608"/>
      <c r="EJI60" s="608"/>
      <c r="EJJ60" s="608"/>
      <c r="EJK60" s="608"/>
      <c r="EJL60" s="608"/>
      <c r="EJM60" s="608"/>
      <c r="EJN60" s="608"/>
      <c r="EJO60" s="608"/>
      <c r="EJP60" s="608"/>
      <c r="EJQ60" s="608"/>
      <c r="EJR60" s="608"/>
      <c r="EJS60" s="608"/>
      <c r="EJT60" s="608"/>
      <c r="EJU60" s="608"/>
      <c r="EJV60" s="608"/>
      <c r="EJW60" s="608"/>
      <c r="EJX60" s="608"/>
      <c r="EJY60" s="608"/>
      <c r="EJZ60" s="608"/>
      <c r="EKA60" s="608"/>
      <c r="EKB60" s="608"/>
      <c r="EKC60" s="608"/>
      <c r="EKD60" s="608"/>
      <c r="EKE60" s="608"/>
      <c r="EKF60" s="608"/>
      <c r="EKG60" s="608"/>
      <c r="EKH60" s="608"/>
      <c r="EKI60" s="608"/>
      <c r="EKJ60" s="608"/>
      <c r="EKK60" s="608"/>
      <c r="EKL60" s="608"/>
      <c r="EKM60" s="608"/>
      <c r="EKN60" s="608"/>
      <c r="EKO60" s="608"/>
      <c r="EKP60" s="608"/>
      <c r="EKQ60" s="608"/>
      <c r="EKR60" s="608"/>
      <c r="EKS60" s="608"/>
      <c r="EKT60" s="608"/>
      <c r="EKU60" s="608"/>
      <c r="EKV60" s="608"/>
      <c r="EKW60" s="608"/>
      <c r="EKX60" s="608"/>
      <c r="EKY60" s="608"/>
      <c r="EKZ60" s="608"/>
      <c r="ELA60" s="608"/>
      <c r="ELB60" s="608"/>
      <c r="ELC60" s="608"/>
      <c r="ELD60" s="608"/>
      <c r="ELE60" s="608"/>
      <c r="ELF60" s="608"/>
      <c r="ELG60" s="608"/>
      <c r="ELH60" s="608"/>
      <c r="ELI60" s="608"/>
      <c r="ELJ60" s="608"/>
      <c r="ELK60" s="608"/>
      <c r="ELL60" s="608"/>
      <c r="ELM60" s="608"/>
      <c r="ELN60" s="608"/>
      <c r="ELO60" s="608"/>
      <c r="ELP60" s="608"/>
      <c r="ELQ60" s="608"/>
      <c r="ELR60" s="608"/>
      <c r="ELS60" s="608"/>
      <c r="ELT60" s="608"/>
      <c r="ELU60" s="608"/>
      <c r="ELV60" s="608"/>
      <c r="ELW60" s="608"/>
      <c r="ELX60" s="608"/>
      <c r="ELY60" s="608"/>
      <c r="ELZ60" s="608"/>
      <c r="EMA60" s="608"/>
      <c r="EMB60" s="608"/>
      <c r="EMC60" s="608"/>
      <c r="EMD60" s="608"/>
      <c r="EME60" s="608"/>
      <c r="EMF60" s="608"/>
      <c r="EMG60" s="608"/>
      <c r="EMH60" s="608"/>
      <c r="EMI60" s="608"/>
      <c r="EMJ60" s="608"/>
      <c r="EMK60" s="608"/>
      <c r="EML60" s="608"/>
      <c r="EMM60" s="608"/>
      <c r="EMN60" s="608"/>
      <c r="EMO60" s="608"/>
      <c r="EMP60" s="608"/>
      <c r="EMQ60" s="608"/>
      <c r="EMR60" s="608"/>
      <c r="EMS60" s="608"/>
      <c r="EMT60" s="608"/>
      <c r="EMU60" s="608"/>
      <c r="EMV60" s="608"/>
      <c r="EMW60" s="608"/>
      <c r="EMX60" s="608"/>
      <c r="EMY60" s="608"/>
      <c r="EMZ60" s="608"/>
      <c r="ENA60" s="608"/>
      <c r="ENB60" s="608"/>
      <c r="ENC60" s="608"/>
      <c r="END60" s="608"/>
      <c r="ENE60" s="608"/>
      <c r="ENF60" s="608"/>
      <c r="ENG60" s="608"/>
      <c r="ENH60" s="608"/>
      <c r="ENI60" s="608"/>
      <c r="ENJ60" s="608"/>
      <c r="ENK60" s="608"/>
      <c r="ENL60" s="608"/>
      <c r="ENM60" s="608"/>
      <c r="ENN60" s="608"/>
      <c r="ENO60" s="608"/>
      <c r="ENP60" s="608"/>
      <c r="ENQ60" s="608"/>
      <c r="ENR60" s="608"/>
      <c r="ENS60" s="608"/>
      <c r="ENT60" s="608"/>
      <c r="ENU60" s="608"/>
      <c r="ENV60" s="608"/>
      <c r="ENW60" s="608"/>
      <c r="ENX60" s="608"/>
      <c r="ENY60" s="608"/>
      <c r="ENZ60" s="608"/>
      <c r="EOA60" s="608"/>
      <c r="EOB60" s="608"/>
      <c r="EOC60" s="608"/>
      <c r="EOD60" s="608"/>
      <c r="EOE60" s="608"/>
      <c r="EOF60" s="608"/>
      <c r="EOG60" s="608"/>
      <c r="EOH60" s="608"/>
      <c r="EOI60" s="608"/>
      <c r="EOJ60" s="608"/>
      <c r="EOK60" s="608"/>
      <c r="EOL60" s="608"/>
      <c r="EOM60" s="608"/>
      <c r="EON60" s="608"/>
      <c r="EOO60" s="608"/>
      <c r="EOP60" s="608"/>
      <c r="EOQ60" s="608"/>
      <c r="EOR60" s="608"/>
      <c r="EOS60" s="608"/>
      <c r="EOT60" s="608"/>
      <c r="EOU60" s="608"/>
      <c r="EOV60" s="608"/>
      <c r="EOW60" s="608"/>
      <c r="EOX60" s="608"/>
      <c r="EOY60" s="608"/>
      <c r="EOZ60" s="608"/>
      <c r="EPA60" s="608"/>
      <c r="EPB60" s="608"/>
      <c r="EPC60" s="608"/>
      <c r="EPD60" s="608"/>
      <c r="EPE60" s="608"/>
      <c r="EPF60" s="608"/>
      <c r="EPG60" s="608"/>
      <c r="EPH60" s="608"/>
      <c r="EPI60" s="608"/>
      <c r="EPJ60" s="608"/>
      <c r="EPK60" s="608"/>
      <c r="EPL60" s="608"/>
      <c r="EPM60" s="608"/>
      <c r="EPN60" s="608"/>
      <c r="EPO60" s="608"/>
      <c r="EPP60" s="608"/>
      <c r="EPQ60" s="608"/>
      <c r="EPR60" s="608"/>
      <c r="EPS60" s="608"/>
      <c r="EPT60" s="608"/>
      <c r="EPU60" s="608"/>
      <c r="EPV60" s="608"/>
      <c r="EPW60" s="608"/>
      <c r="EPX60" s="608"/>
      <c r="EPY60" s="608"/>
      <c r="EPZ60" s="608"/>
      <c r="EQA60" s="608"/>
      <c r="EQB60" s="608"/>
      <c r="EQC60" s="608"/>
      <c r="EQD60" s="608"/>
      <c r="EQE60" s="608"/>
      <c r="EQF60" s="608"/>
      <c r="EQG60" s="608"/>
      <c r="EQH60" s="608"/>
      <c r="EQI60" s="608"/>
      <c r="EQJ60" s="608"/>
      <c r="EQK60" s="608"/>
      <c r="EQL60" s="608"/>
      <c r="EQM60" s="608"/>
      <c r="EQN60" s="608"/>
      <c r="EQO60" s="608"/>
      <c r="EQP60" s="608"/>
      <c r="EQQ60" s="608"/>
      <c r="EQR60" s="608"/>
      <c r="EQS60" s="608"/>
      <c r="EQT60" s="608"/>
      <c r="EQU60" s="608"/>
      <c r="EQV60" s="608"/>
      <c r="EQW60" s="608"/>
      <c r="EQX60" s="608"/>
      <c r="EQY60" s="608"/>
      <c r="EQZ60" s="608"/>
      <c r="ERA60" s="608"/>
      <c r="ERB60" s="608"/>
      <c r="ERC60" s="608"/>
      <c r="ERD60" s="608"/>
      <c r="ERE60" s="608"/>
      <c r="ERF60" s="608"/>
      <c r="ERG60" s="608"/>
      <c r="ERH60" s="608"/>
      <c r="ERI60" s="608"/>
      <c r="ERJ60" s="608"/>
      <c r="ERK60" s="608"/>
      <c r="ERL60" s="608"/>
      <c r="ERM60" s="608"/>
      <c r="ERN60" s="608"/>
      <c r="ERO60" s="608"/>
      <c r="ERP60" s="608"/>
      <c r="ERQ60" s="608"/>
      <c r="ERR60" s="608"/>
      <c r="ERS60" s="608"/>
      <c r="ERT60" s="608"/>
      <c r="ERU60" s="608"/>
      <c r="ERV60" s="608"/>
      <c r="ERW60" s="608"/>
      <c r="ERX60" s="608"/>
      <c r="ERY60" s="608"/>
      <c r="ERZ60" s="608"/>
      <c r="ESA60" s="608"/>
      <c r="ESB60" s="608"/>
      <c r="ESC60" s="608"/>
      <c r="ESD60" s="608"/>
      <c r="ESE60" s="608"/>
      <c r="ESF60" s="608"/>
      <c r="ESG60" s="608"/>
      <c r="ESH60" s="608"/>
      <c r="ESI60" s="608"/>
      <c r="ESJ60" s="608"/>
      <c r="ESK60" s="608"/>
      <c r="ESL60" s="608"/>
      <c r="ESM60" s="608"/>
      <c r="ESN60" s="608"/>
      <c r="ESO60" s="608"/>
      <c r="ESP60" s="608"/>
      <c r="ESQ60" s="608"/>
      <c r="ESR60" s="608"/>
      <c r="ESS60" s="608"/>
      <c r="EST60" s="608"/>
      <c r="ESU60" s="608"/>
      <c r="ESV60" s="608"/>
      <c r="ESW60" s="608"/>
      <c r="ESX60" s="608"/>
      <c r="ESY60" s="608"/>
      <c r="ESZ60" s="608"/>
      <c r="ETA60" s="608"/>
      <c r="ETB60" s="608"/>
      <c r="ETC60" s="608"/>
      <c r="ETD60" s="608"/>
      <c r="ETE60" s="608"/>
      <c r="ETF60" s="608"/>
      <c r="ETG60" s="608"/>
      <c r="ETH60" s="608"/>
      <c r="ETI60" s="608"/>
      <c r="ETJ60" s="608"/>
      <c r="ETK60" s="608"/>
      <c r="ETL60" s="608"/>
      <c r="ETM60" s="608"/>
      <c r="ETN60" s="608"/>
      <c r="ETO60" s="608"/>
      <c r="ETP60" s="608"/>
      <c r="ETQ60" s="608"/>
      <c r="ETR60" s="608"/>
      <c r="ETS60" s="608"/>
      <c r="ETT60" s="608"/>
      <c r="ETU60" s="608"/>
      <c r="ETV60" s="608"/>
      <c r="ETW60" s="608"/>
      <c r="ETX60" s="608"/>
      <c r="ETY60" s="608"/>
      <c r="ETZ60" s="608"/>
      <c r="EUA60" s="608"/>
      <c r="EUB60" s="608"/>
      <c r="EUC60" s="608"/>
      <c r="EUD60" s="608"/>
      <c r="EUE60" s="608"/>
      <c r="EUF60" s="608"/>
      <c r="EUG60" s="608"/>
      <c r="EUH60" s="608"/>
      <c r="EUI60" s="608"/>
      <c r="EUJ60" s="608"/>
      <c r="EUK60" s="608"/>
      <c r="EUL60" s="608"/>
      <c r="EUM60" s="608"/>
      <c r="EUN60" s="608"/>
      <c r="EUO60" s="608"/>
      <c r="EUP60" s="608"/>
      <c r="EUQ60" s="608"/>
      <c r="EUR60" s="608"/>
      <c r="EUS60" s="608"/>
      <c r="EUT60" s="608"/>
      <c r="EUU60" s="608"/>
      <c r="EUV60" s="608"/>
      <c r="EUW60" s="608"/>
      <c r="EUX60" s="608"/>
      <c r="EUY60" s="608"/>
      <c r="EUZ60" s="608"/>
      <c r="EVA60" s="608"/>
      <c r="EVB60" s="608"/>
      <c r="EVC60" s="608"/>
      <c r="EVD60" s="608"/>
      <c r="EVE60" s="608"/>
      <c r="EVF60" s="608"/>
      <c r="EVG60" s="608"/>
      <c r="EVH60" s="608"/>
      <c r="EVI60" s="608"/>
      <c r="EVJ60" s="608"/>
      <c r="EVK60" s="608"/>
      <c r="EVL60" s="608"/>
      <c r="EVM60" s="608"/>
      <c r="EVN60" s="608"/>
      <c r="EVO60" s="608"/>
      <c r="EVP60" s="608"/>
      <c r="EVQ60" s="608"/>
      <c r="EVR60" s="608"/>
      <c r="EVS60" s="608"/>
      <c r="EVT60" s="608"/>
      <c r="EVU60" s="608"/>
      <c r="EVV60" s="608"/>
      <c r="EVW60" s="608"/>
      <c r="EVX60" s="608"/>
      <c r="EVY60" s="608"/>
      <c r="EVZ60" s="608"/>
      <c r="EWA60" s="608"/>
      <c r="EWB60" s="608"/>
      <c r="EWC60" s="608"/>
      <c r="EWD60" s="608"/>
      <c r="EWE60" s="608"/>
      <c r="EWF60" s="608"/>
      <c r="EWG60" s="608"/>
      <c r="EWH60" s="608"/>
      <c r="EWI60" s="608"/>
      <c r="EWJ60" s="608"/>
      <c r="EWK60" s="608"/>
      <c r="EWL60" s="608"/>
      <c r="EWM60" s="608"/>
      <c r="EWN60" s="608"/>
      <c r="EWO60" s="608"/>
      <c r="EWP60" s="608"/>
      <c r="EWQ60" s="608"/>
      <c r="EWR60" s="608"/>
      <c r="EWS60" s="608"/>
      <c r="EWT60" s="608"/>
      <c r="EWU60" s="608"/>
      <c r="EWV60" s="608"/>
      <c r="EWW60" s="608"/>
      <c r="EWX60" s="608"/>
      <c r="EWY60" s="608"/>
      <c r="EWZ60" s="608"/>
      <c r="EXA60" s="608"/>
      <c r="EXB60" s="608"/>
      <c r="EXC60" s="608"/>
      <c r="EXD60" s="608"/>
      <c r="EXE60" s="608"/>
      <c r="EXF60" s="608"/>
      <c r="EXG60" s="608"/>
      <c r="EXH60" s="608"/>
      <c r="EXI60" s="608"/>
      <c r="EXJ60" s="608"/>
      <c r="EXK60" s="608"/>
      <c r="EXL60" s="608"/>
      <c r="EXM60" s="608"/>
      <c r="EXN60" s="608"/>
      <c r="EXO60" s="608"/>
      <c r="EXP60" s="608"/>
      <c r="EXQ60" s="608"/>
      <c r="EXR60" s="608"/>
      <c r="EXS60" s="608"/>
      <c r="EXT60" s="608"/>
      <c r="EXU60" s="608"/>
      <c r="EXV60" s="608"/>
      <c r="EXW60" s="608"/>
      <c r="EXX60" s="608"/>
      <c r="EXY60" s="608"/>
      <c r="EXZ60" s="608"/>
      <c r="EYA60" s="608"/>
      <c r="EYB60" s="608"/>
      <c r="EYC60" s="608"/>
      <c r="EYD60" s="608"/>
      <c r="EYE60" s="608"/>
      <c r="EYF60" s="608"/>
      <c r="EYG60" s="608"/>
      <c r="EYH60" s="608"/>
      <c r="EYI60" s="608"/>
      <c r="EYJ60" s="608"/>
      <c r="EYK60" s="608"/>
      <c r="EYL60" s="608"/>
      <c r="EYM60" s="608"/>
      <c r="EYN60" s="608"/>
      <c r="EYO60" s="608"/>
      <c r="EYP60" s="608"/>
      <c r="EYQ60" s="608"/>
      <c r="EYR60" s="608"/>
      <c r="EYS60" s="608"/>
      <c r="EYT60" s="608"/>
      <c r="EYU60" s="608"/>
      <c r="EYV60" s="608"/>
      <c r="EYW60" s="608"/>
      <c r="EYX60" s="608"/>
      <c r="EYY60" s="608"/>
      <c r="EYZ60" s="608"/>
      <c r="EZA60" s="608"/>
      <c r="EZB60" s="608"/>
      <c r="EZC60" s="608"/>
      <c r="EZD60" s="608"/>
      <c r="EZE60" s="608"/>
      <c r="EZF60" s="608"/>
      <c r="EZG60" s="608"/>
      <c r="EZH60" s="608"/>
      <c r="EZI60" s="608"/>
      <c r="EZJ60" s="608"/>
      <c r="EZK60" s="608"/>
      <c r="EZL60" s="608"/>
      <c r="EZM60" s="608"/>
      <c r="EZN60" s="608"/>
      <c r="EZO60" s="608"/>
      <c r="EZP60" s="608"/>
      <c r="EZQ60" s="608"/>
      <c r="EZR60" s="608"/>
      <c r="EZS60" s="608"/>
      <c r="EZT60" s="608"/>
      <c r="EZU60" s="608"/>
      <c r="EZV60" s="608"/>
      <c r="EZW60" s="608"/>
      <c r="EZX60" s="608"/>
      <c r="EZY60" s="608"/>
      <c r="EZZ60" s="608"/>
      <c r="FAA60" s="608"/>
      <c r="FAB60" s="608"/>
      <c r="FAC60" s="608"/>
      <c r="FAD60" s="608"/>
      <c r="FAE60" s="608"/>
      <c r="FAF60" s="608"/>
      <c r="FAG60" s="608"/>
      <c r="FAH60" s="608"/>
      <c r="FAI60" s="608"/>
      <c r="FAJ60" s="608"/>
      <c r="FAK60" s="608"/>
      <c r="FAL60" s="608"/>
      <c r="FAM60" s="608"/>
      <c r="FAN60" s="608"/>
      <c r="FAO60" s="608"/>
      <c r="FAP60" s="608"/>
      <c r="FAQ60" s="608"/>
      <c r="FAR60" s="608"/>
      <c r="FAS60" s="608"/>
      <c r="FAT60" s="608"/>
      <c r="FAU60" s="608"/>
      <c r="FAV60" s="608"/>
      <c r="FAW60" s="608"/>
      <c r="FAX60" s="608"/>
      <c r="FAY60" s="608"/>
      <c r="FAZ60" s="608"/>
      <c r="FBA60" s="608"/>
      <c r="FBB60" s="608"/>
      <c r="FBC60" s="608"/>
      <c r="FBD60" s="608"/>
      <c r="FBE60" s="608"/>
      <c r="FBF60" s="608"/>
      <c r="FBG60" s="608"/>
      <c r="FBH60" s="608"/>
      <c r="FBI60" s="608"/>
      <c r="FBJ60" s="608"/>
      <c r="FBK60" s="608"/>
      <c r="FBL60" s="608"/>
      <c r="FBM60" s="608"/>
      <c r="FBN60" s="608"/>
      <c r="FBO60" s="608"/>
      <c r="FBP60" s="608"/>
      <c r="FBQ60" s="608"/>
      <c r="FBR60" s="608"/>
      <c r="FBS60" s="608"/>
      <c r="FBT60" s="608"/>
      <c r="FBU60" s="608"/>
      <c r="FBV60" s="608"/>
      <c r="FBW60" s="608"/>
      <c r="FBX60" s="608"/>
      <c r="FBY60" s="608"/>
      <c r="FBZ60" s="608"/>
      <c r="FCA60" s="608"/>
      <c r="FCB60" s="608"/>
      <c r="FCC60" s="608"/>
      <c r="FCD60" s="608"/>
      <c r="FCE60" s="608"/>
      <c r="FCF60" s="608"/>
      <c r="FCG60" s="608"/>
      <c r="FCH60" s="608"/>
      <c r="FCI60" s="608"/>
      <c r="FCJ60" s="608"/>
      <c r="FCK60" s="608"/>
      <c r="FCL60" s="608"/>
      <c r="FCM60" s="608"/>
      <c r="FCN60" s="608"/>
      <c r="FCO60" s="608"/>
      <c r="FCP60" s="608"/>
      <c r="FCQ60" s="608"/>
      <c r="FCR60" s="608"/>
      <c r="FCS60" s="608"/>
      <c r="FCT60" s="608"/>
      <c r="FCU60" s="608"/>
      <c r="FCV60" s="608"/>
      <c r="FCW60" s="608"/>
      <c r="FCX60" s="608"/>
      <c r="FCY60" s="608"/>
      <c r="FCZ60" s="608"/>
      <c r="FDA60" s="608"/>
      <c r="FDB60" s="608"/>
      <c r="FDC60" s="608"/>
      <c r="FDD60" s="608"/>
      <c r="FDE60" s="608"/>
      <c r="FDF60" s="608"/>
      <c r="FDG60" s="608"/>
      <c r="FDH60" s="608"/>
      <c r="FDI60" s="608"/>
      <c r="FDJ60" s="608"/>
      <c r="FDK60" s="608"/>
      <c r="FDL60" s="608"/>
      <c r="FDM60" s="608"/>
      <c r="FDN60" s="608"/>
      <c r="FDO60" s="608"/>
      <c r="FDP60" s="608"/>
      <c r="FDQ60" s="608"/>
      <c r="FDR60" s="608"/>
      <c r="FDS60" s="608"/>
      <c r="FDT60" s="608"/>
      <c r="FDU60" s="608"/>
      <c r="FDV60" s="608"/>
      <c r="FDW60" s="608"/>
      <c r="FDX60" s="608"/>
      <c r="FDY60" s="608"/>
      <c r="FDZ60" s="608"/>
      <c r="FEA60" s="608"/>
      <c r="FEB60" s="608"/>
      <c r="FEC60" s="608"/>
      <c r="FED60" s="608"/>
      <c r="FEE60" s="608"/>
      <c r="FEF60" s="608"/>
      <c r="FEG60" s="608"/>
      <c r="FEH60" s="608"/>
      <c r="FEI60" s="608"/>
      <c r="FEJ60" s="608"/>
      <c r="FEK60" s="608"/>
      <c r="FEL60" s="608"/>
      <c r="FEM60" s="608"/>
      <c r="FEN60" s="608"/>
      <c r="FEO60" s="608"/>
      <c r="FEP60" s="608"/>
      <c r="FEQ60" s="608"/>
      <c r="FER60" s="608"/>
      <c r="FES60" s="608"/>
      <c r="FET60" s="608"/>
      <c r="FEU60" s="608"/>
      <c r="FEV60" s="608"/>
      <c r="FEW60" s="608"/>
      <c r="FEX60" s="608"/>
      <c r="FEY60" s="608"/>
      <c r="FEZ60" s="608"/>
      <c r="FFA60" s="608"/>
      <c r="FFB60" s="608"/>
      <c r="FFC60" s="608"/>
      <c r="FFD60" s="608"/>
      <c r="FFE60" s="608"/>
      <c r="FFF60" s="608"/>
      <c r="FFG60" s="608"/>
      <c r="FFH60" s="608"/>
      <c r="FFI60" s="608"/>
      <c r="FFJ60" s="608"/>
      <c r="FFK60" s="608"/>
      <c r="FFL60" s="608"/>
      <c r="FFM60" s="608"/>
      <c r="FFN60" s="608"/>
      <c r="FFO60" s="608"/>
      <c r="FFP60" s="608"/>
      <c r="FFQ60" s="608"/>
      <c r="FFR60" s="608"/>
      <c r="FFS60" s="608"/>
      <c r="FFT60" s="608"/>
      <c r="FFU60" s="608"/>
      <c r="FFV60" s="608"/>
      <c r="FFW60" s="608"/>
      <c r="FFX60" s="608"/>
      <c r="FFY60" s="608"/>
      <c r="FFZ60" s="608"/>
      <c r="FGA60" s="608"/>
      <c r="FGB60" s="608"/>
      <c r="FGC60" s="608"/>
      <c r="FGD60" s="608"/>
      <c r="FGE60" s="608"/>
      <c r="FGF60" s="608"/>
      <c r="FGG60" s="608"/>
      <c r="FGH60" s="608"/>
      <c r="FGI60" s="608"/>
      <c r="FGJ60" s="608"/>
      <c r="FGK60" s="608"/>
      <c r="FGL60" s="608"/>
      <c r="FGM60" s="608"/>
      <c r="FGN60" s="608"/>
      <c r="FGO60" s="608"/>
      <c r="FGP60" s="608"/>
      <c r="FGQ60" s="608"/>
      <c r="FGR60" s="608"/>
      <c r="FGS60" s="608"/>
      <c r="FGT60" s="608"/>
      <c r="FGU60" s="608"/>
      <c r="FGV60" s="608"/>
      <c r="FGW60" s="608"/>
      <c r="FGX60" s="608"/>
      <c r="FGY60" s="608"/>
      <c r="FGZ60" s="608"/>
      <c r="FHA60" s="608"/>
      <c r="FHB60" s="608"/>
      <c r="FHC60" s="608"/>
      <c r="FHD60" s="608"/>
      <c r="FHE60" s="608"/>
      <c r="FHF60" s="608"/>
      <c r="FHG60" s="608"/>
      <c r="FHH60" s="608"/>
      <c r="FHI60" s="608"/>
      <c r="FHJ60" s="608"/>
      <c r="FHK60" s="608"/>
      <c r="FHL60" s="608"/>
      <c r="FHM60" s="608"/>
      <c r="FHN60" s="608"/>
      <c r="FHO60" s="608"/>
      <c r="FHP60" s="608"/>
      <c r="FHQ60" s="608"/>
      <c r="FHR60" s="608"/>
      <c r="FHS60" s="608"/>
      <c r="FHT60" s="608"/>
      <c r="FHU60" s="608"/>
      <c r="FHV60" s="608"/>
      <c r="FHW60" s="608"/>
      <c r="FHX60" s="608"/>
      <c r="FHY60" s="608"/>
      <c r="FHZ60" s="608"/>
      <c r="FIA60" s="608"/>
      <c r="FIB60" s="608"/>
      <c r="FIC60" s="608"/>
      <c r="FID60" s="608"/>
      <c r="FIE60" s="608"/>
      <c r="FIF60" s="608"/>
      <c r="FIG60" s="608"/>
      <c r="FIH60" s="608"/>
      <c r="FII60" s="608"/>
      <c r="FIJ60" s="608"/>
      <c r="FIK60" s="608"/>
      <c r="FIL60" s="608"/>
      <c r="FIM60" s="608"/>
      <c r="FIN60" s="608"/>
      <c r="FIO60" s="608"/>
      <c r="FIP60" s="608"/>
      <c r="FIQ60" s="608"/>
      <c r="FIR60" s="608"/>
      <c r="FIS60" s="608"/>
      <c r="FIT60" s="608"/>
      <c r="FIU60" s="608"/>
      <c r="FIV60" s="608"/>
      <c r="FIW60" s="608"/>
      <c r="FIX60" s="608"/>
      <c r="FIY60" s="608"/>
      <c r="FIZ60" s="608"/>
      <c r="FJA60" s="608"/>
      <c r="FJB60" s="608"/>
      <c r="FJC60" s="608"/>
      <c r="FJD60" s="608"/>
      <c r="FJE60" s="608"/>
      <c r="FJF60" s="608"/>
      <c r="FJG60" s="608"/>
      <c r="FJH60" s="608"/>
      <c r="FJI60" s="608"/>
      <c r="FJJ60" s="608"/>
      <c r="FJK60" s="608"/>
      <c r="FJL60" s="608"/>
      <c r="FJM60" s="608"/>
      <c r="FJN60" s="608"/>
      <c r="FJO60" s="608"/>
      <c r="FJP60" s="608"/>
      <c r="FJQ60" s="608"/>
      <c r="FJR60" s="608"/>
      <c r="FJS60" s="608"/>
      <c r="FJT60" s="608"/>
      <c r="FJU60" s="608"/>
      <c r="FJV60" s="608"/>
      <c r="FJW60" s="608"/>
      <c r="FJX60" s="608"/>
      <c r="FJY60" s="608"/>
      <c r="FJZ60" s="608"/>
      <c r="FKA60" s="608"/>
      <c r="FKB60" s="608"/>
      <c r="FKC60" s="608"/>
      <c r="FKD60" s="608"/>
      <c r="FKE60" s="608"/>
      <c r="FKF60" s="608"/>
      <c r="FKG60" s="608"/>
      <c r="FKH60" s="608"/>
      <c r="FKI60" s="608"/>
      <c r="FKJ60" s="608"/>
      <c r="FKK60" s="608"/>
      <c r="FKL60" s="608"/>
      <c r="FKM60" s="608"/>
      <c r="FKN60" s="608"/>
      <c r="FKO60" s="608"/>
      <c r="FKP60" s="608"/>
      <c r="FKQ60" s="608"/>
      <c r="FKR60" s="608"/>
      <c r="FKS60" s="608"/>
      <c r="FKT60" s="608"/>
      <c r="FKU60" s="608"/>
      <c r="FKV60" s="608"/>
      <c r="FKW60" s="608"/>
      <c r="FKX60" s="608"/>
      <c r="FKY60" s="608"/>
      <c r="FKZ60" s="608"/>
      <c r="FLA60" s="608"/>
      <c r="FLB60" s="608"/>
      <c r="FLC60" s="608"/>
      <c r="FLD60" s="608"/>
      <c r="FLE60" s="608"/>
      <c r="FLF60" s="608"/>
      <c r="FLG60" s="608"/>
      <c r="FLH60" s="608"/>
      <c r="FLI60" s="608"/>
      <c r="FLJ60" s="608"/>
      <c r="FLK60" s="608"/>
      <c r="FLL60" s="608"/>
      <c r="FLM60" s="608"/>
      <c r="FLN60" s="608"/>
      <c r="FLO60" s="608"/>
      <c r="FLP60" s="608"/>
      <c r="FLQ60" s="608"/>
      <c r="FLR60" s="608"/>
      <c r="FLS60" s="608"/>
      <c r="FLT60" s="608"/>
      <c r="FLU60" s="608"/>
      <c r="FLV60" s="608"/>
      <c r="FLW60" s="608"/>
      <c r="FLX60" s="608"/>
      <c r="FLY60" s="608"/>
      <c r="FLZ60" s="608"/>
      <c r="FMA60" s="608"/>
      <c r="FMB60" s="608"/>
      <c r="FMC60" s="608"/>
      <c r="FMD60" s="608"/>
      <c r="FME60" s="608"/>
      <c r="FMF60" s="608"/>
      <c r="FMG60" s="608"/>
      <c r="FMH60" s="608"/>
      <c r="FMI60" s="608"/>
      <c r="FMJ60" s="608"/>
      <c r="FMK60" s="608"/>
      <c r="FML60" s="608"/>
      <c r="FMM60" s="608"/>
      <c r="FMN60" s="608"/>
      <c r="FMO60" s="608"/>
      <c r="FMP60" s="608"/>
      <c r="FMQ60" s="608"/>
      <c r="FMR60" s="608"/>
      <c r="FMS60" s="608"/>
      <c r="FMT60" s="608"/>
      <c r="FMU60" s="608"/>
      <c r="FMV60" s="608"/>
      <c r="FMW60" s="608"/>
      <c r="FMX60" s="608"/>
      <c r="FMY60" s="608"/>
      <c r="FMZ60" s="608"/>
      <c r="FNA60" s="608"/>
      <c r="FNB60" s="608"/>
      <c r="FNC60" s="608"/>
      <c r="FND60" s="608"/>
      <c r="FNE60" s="608"/>
      <c r="FNF60" s="608"/>
      <c r="FNG60" s="608"/>
      <c r="FNH60" s="608"/>
      <c r="FNI60" s="608"/>
      <c r="FNJ60" s="608"/>
      <c r="FNK60" s="608"/>
      <c r="FNL60" s="608"/>
      <c r="FNM60" s="608"/>
      <c r="FNN60" s="608"/>
      <c r="FNO60" s="608"/>
      <c r="FNP60" s="608"/>
      <c r="FNQ60" s="608"/>
      <c r="FNR60" s="608"/>
      <c r="FNS60" s="608"/>
      <c r="FNT60" s="608"/>
      <c r="FNU60" s="608"/>
      <c r="FNV60" s="608"/>
      <c r="FNW60" s="608"/>
      <c r="FNX60" s="608"/>
      <c r="FNY60" s="608"/>
      <c r="FNZ60" s="608"/>
      <c r="FOA60" s="608"/>
      <c r="FOB60" s="608"/>
      <c r="FOC60" s="608"/>
      <c r="FOD60" s="608"/>
      <c r="FOE60" s="608"/>
      <c r="FOF60" s="608"/>
      <c r="FOG60" s="608"/>
      <c r="FOH60" s="608"/>
      <c r="FOI60" s="608"/>
      <c r="FOJ60" s="608"/>
      <c r="FOK60" s="608"/>
      <c r="FOL60" s="608"/>
      <c r="FOM60" s="608"/>
      <c r="FON60" s="608"/>
      <c r="FOO60" s="608"/>
      <c r="FOP60" s="608"/>
      <c r="FOQ60" s="608"/>
      <c r="FOR60" s="608"/>
      <c r="FOS60" s="608"/>
      <c r="FOT60" s="608"/>
      <c r="FOU60" s="608"/>
      <c r="FOV60" s="608"/>
      <c r="FOW60" s="608"/>
      <c r="FOX60" s="608"/>
      <c r="FOY60" s="608"/>
      <c r="FOZ60" s="608"/>
      <c r="FPA60" s="608"/>
      <c r="FPB60" s="608"/>
      <c r="FPC60" s="608"/>
      <c r="FPD60" s="608"/>
      <c r="FPE60" s="608"/>
      <c r="FPF60" s="608"/>
      <c r="FPG60" s="608"/>
      <c r="FPH60" s="608"/>
      <c r="FPI60" s="608"/>
      <c r="FPJ60" s="608"/>
      <c r="FPK60" s="608"/>
      <c r="FPL60" s="608"/>
      <c r="FPM60" s="608"/>
      <c r="FPN60" s="608"/>
      <c r="FPO60" s="608"/>
      <c r="FPP60" s="608"/>
      <c r="FPQ60" s="608"/>
      <c r="FPR60" s="608"/>
      <c r="FPS60" s="608"/>
      <c r="FPT60" s="608"/>
      <c r="FPU60" s="608"/>
      <c r="FPV60" s="608"/>
      <c r="FPW60" s="608"/>
      <c r="FPX60" s="608"/>
      <c r="FPY60" s="608"/>
      <c r="FPZ60" s="608"/>
      <c r="FQA60" s="608"/>
      <c r="FQB60" s="608"/>
      <c r="FQC60" s="608"/>
      <c r="FQD60" s="608"/>
      <c r="FQE60" s="608"/>
      <c r="FQF60" s="608"/>
      <c r="FQG60" s="608"/>
      <c r="FQH60" s="608"/>
      <c r="FQI60" s="608"/>
      <c r="FQJ60" s="608"/>
      <c r="FQK60" s="608"/>
      <c r="FQL60" s="608"/>
      <c r="FQM60" s="608"/>
      <c r="FQN60" s="608"/>
      <c r="FQO60" s="608"/>
      <c r="FQP60" s="608"/>
      <c r="FQQ60" s="608"/>
      <c r="FQR60" s="608"/>
      <c r="FQS60" s="608"/>
      <c r="FQT60" s="608"/>
      <c r="FQU60" s="608"/>
      <c r="FQV60" s="608"/>
      <c r="FQW60" s="608"/>
      <c r="FQX60" s="608"/>
      <c r="FQY60" s="608"/>
      <c r="FQZ60" s="608"/>
      <c r="FRA60" s="608"/>
      <c r="FRB60" s="608"/>
      <c r="FRC60" s="608"/>
      <c r="FRD60" s="608"/>
      <c r="FRE60" s="608"/>
      <c r="FRF60" s="608"/>
      <c r="FRG60" s="608"/>
      <c r="FRH60" s="608"/>
      <c r="FRI60" s="608"/>
      <c r="FRJ60" s="608"/>
      <c r="FRK60" s="608"/>
      <c r="FRL60" s="608"/>
      <c r="FRM60" s="608"/>
      <c r="FRN60" s="608"/>
      <c r="FRO60" s="608"/>
      <c r="FRP60" s="608"/>
      <c r="FRQ60" s="608"/>
      <c r="FRR60" s="608"/>
      <c r="FRS60" s="608"/>
      <c r="FRT60" s="608"/>
      <c r="FRU60" s="608"/>
      <c r="FRV60" s="608"/>
      <c r="FRW60" s="608"/>
      <c r="FRX60" s="608"/>
      <c r="FRY60" s="608"/>
      <c r="FRZ60" s="608"/>
      <c r="FSA60" s="608"/>
      <c r="FSB60" s="608"/>
      <c r="FSC60" s="608"/>
      <c r="FSD60" s="608"/>
      <c r="FSE60" s="608"/>
      <c r="FSF60" s="608"/>
      <c r="FSG60" s="608"/>
      <c r="FSH60" s="608"/>
      <c r="FSI60" s="608"/>
      <c r="FSJ60" s="608"/>
      <c r="FSK60" s="608"/>
      <c r="FSL60" s="608"/>
      <c r="FSM60" s="608"/>
      <c r="FSN60" s="608"/>
      <c r="FSO60" s="608"/>
      <c r="FSP60" s="608"/>
      <c r="FSQ60" s="608"/>
      <c r="FSR60" s="608"/>
      <c r="FSS60" s="608"/>
      <c r="FST60" s="608"/>
      <c r="FSU60" s="608"/>
      <c r="FSV60" s="608"/>
      <c r="FSW60" s="608"/>
      <c r="FSX60" s="608"/>
      <c r="FSY60" s="608"/>
      <c r="FSZ60" s="608"/>
      <c r="FTA60" s="608"/>
      <c r="FTB60" s="608"/>
      <c r="FTC60" s="608"/>
      <c r="FTD60" s="608"/>
      <c r="FTE60" s="608"/>
      <c r="FTF60" s="608"/>
      <c r="FTG60" s="608"/>
      <c r="FTH60" s="608"/>
      <c r="FTI60" s="608"/>
      <c r="FTJ60" s="608"/>
      <c r="FTK60" s="608"/>
      <c r="FTL60" s="608"/>
      <c r="FTM60" s="608"/>
      <c r="FTN60" s="608"/>
      <c r="FTO60" s="608"/>
      <c r="FTP60" s="608"/>
      <c r="FTQ60" s="608"/>
      <c r="FTR60" s="608"/>
      <c r="FTS60" s="608"/>
      <c r="FTT60" s="608"/>
      <c r="FTU60" s="608"/>
      <c r="FTV60" s="608"/>
      <c r="FTW60" s="608"/>
      <c r="FTX60" s="608"/>
      <c r="FTY60" s="608"/>
      <c r="FTZ60" s="608"/>
      <c r="FUA60" s="608"/>
      <c r="FUB60" s="608"/>
      <c r="FUC60" s="608"/>
      <c r="FUD60" s="608"/>
      <c r="FUE60" s="608"/>
      <c r="FUF60" s="608"/>
      <c r="FUG60" s="608"/>
      <c r="FUH60" s="608"/>
      <c r="FUI60" s="608"/>
      <c r="FUJ60" s="608"/>
      <c r="FUK60" s="608"/>
      <c r="FUL60" s="608"/>
      <c r="FUM60" s="608"/>
      <c r="FUN60" s="608"/>
      <c r="FUO60" s="608"/>
      <c r="FUP60" s="608"/>
      <c r="FUQ60" s="608"/>
      <c r="FUR60" s="608"/>
      <c r="FUS60" s="608"/>
      <c r="FUT60" s="608"/>
      <c r="FUU60" s="608"/>
      <c r="FUV60" s="608"/>
      <c r="FUW60" s="608"/>
      <c r="FUX60" s="608"/>
      <c r="FUY60" s="608"/>
      <c r="FUZ60" s="608"/>
      <c r="FVA60" s="608"/>
      <c r="FVB60" s="608"/>
      <c r="FVC60" s="608"/>
      <c r="FVD60" s="608"/>
      <c r="FVE60" s="608"/>
      <c r="FVF60" s="608"/>
      <c r="FVG60" s="608"/>
      <c r="FVH60" s="608"/>
      <c r="FVI60" s="608"/>
      <c r="FVJ60" s="608"/>
      <c r="FVK60" s="608"/>
      <c r="FVL60" s="608"/>
      <c r="FVM60" s="608"/>
      <c r="FVN60" s="608"/>
      <c r="FVO60" s="608"/>
      <c r="FVP60" s="608"/>
      <c r="FVQ60" s="608"/>
      <c r="FVR60" s="608"/>
      <c r="FVS60" s="608"/>
      <c r="FVT60" s="608"/>
      <c r="FVU60" s="608"/>
      <c r="FVV60" s="608"/>
      <c r="FVW60" s="608"/>
      <c r="FVX60" s="608"/>
      <c r="FVY60" s="608"/>
      <c r="FVZ60" s="608"/>
      <c r="FWA60" s="608"/>
      <c r="FWB60" s="608"/>
      <c r="FWC60" s="608"/>
      <c r="FWD60" s="608"/>
      <c r="FWE60" s="608"/>
      <c r="FWF60" s="608"/>
      <c r="FWG60" s="608"/>
      <c r="FWH60" s="608"/>
      <c r="FWI60" s="608"/>
      <c r="FWJ60" s="608"/>
      <c r="FWK60" s="608"/>
      <c r="FWL60" s="608"/>
      <c r="FWM60" s="608"/>
      <c r="FWN60" s="608"/>
      <c r="FWO60" s="608"/>
      <c r="FWP60" s="608"/>
      <c r="FWQ60" s="608"/>
      <c r="FWR60" s="608"/>
      <c r="FWS60" s="608"/>
      <c r="FWT60" s="608"/>
      <c r="FWU60" s="608"/>
      <c r="FWV60" s="608"/>
      <c r="FWW60" s="608"/>
      <c r="FWX60" s="608"/>
      <c r="FWY60" s="608"/>
      <c r="FWZ60" s="608"/>
      <c r="FXA60" s="608"/>
      <c r="FXB60" s="608"/>
      <c r="FXC60" s="608"/>
      <c r="FXD60" s="608"/>
      <c r="FXE60" s="608"/>
      <c r="FXF60" s="608"/>
      <c r="FXG60" s="608"/>
      <c r="FXH60" s="608"/>
      <c r="FXI60" s="608"/>
      <c r="FXJ60" s="608"/>
      <c r="FXK60" s="608"/>
      <c r="FXL60" s="608"/>
      <c r="FXM60" s="608"/>
      <c r="FXN60" s="608"/>
      <c r="FXO60" s="608"/>
      <c r="FXP60" s="608"/>
      <c r="FXQ60" s="608"/>
      <c r="FXR60" s="608"/>
      <c r="FXS60" s="608"/>
      <c r="FXT60" s="608"/>
      <c r="FXU60" s="608"/>
      <c r="FXV60" s="608"/>
      <c r="FXW60" s="608"/>
      <c r="FXX60" s="608"/>
      <c r="FXY60" s="608"/>
      <c r="FXZ60" s="608"/>
      <c r="FYA60" s="608"/>
      <c r="FYB60" s="608"/>
      <c r="FYC60" s="608"/>
      <c r="FYD60" s="608"/>
      <c r="FYE60" s="608"/>
      <c r="FYF60" s="608"/>
      <c r="FYG60" s="608"/>
      <c r="FYH60" s="608"/>
      <c r="FYI60" s="608"/>
      <c r="FYJ60" s="608"/>
      <c r="FYK60" s="608"/>
      <c r="FYL60" s="608"/>
      <c r="FYM60" s="608"/>
      <c r="FYN60" s="608"/>
      <c r="FYO60" s="608"/>
      <c r="FYP60" s="608"/>
      <c r="FYQ60" s="608"/>
      <c r="FYR60" s="608"/>
      <c r="FYS60" s="608"/>
      <c r="FYT60" s="608"/>
      <c r="FYU60" s="608"/>
      <c r="FYV60" s="608"/>
      <c r="FYW60" s="608"/>
      <c r="FYX60" s="608"/>
      <c r="FYY60" s="608"/>
      <c r="FYZ60" s="608"/>
      <c r="FZA60" s="608"/>
      <c r="FZB60" s="608"/>
      <c r="FZC60" s="608"/>
      <c r="FZD60" s="608"/>
      <c r="FZE60" s="608"/>
      <c r="FZF60" s="608"/>
      <c r="FZG60" s="608"/>
      <c r="FZH60" s="608"/>
      <c r="FZI60" s="608"/>
      <c r="FZJ60" s="608"/>
      <c r="FZK60" s="608"/>
      <c r="FZL60" s="608"/>
      <c r="FZM60" s="608"/>
      <c r="FZN60" s="608"/>
      <c r="FZO60" s="608"/>
      <c r="FZP60" s="608"/>
      <c r="FZQ60" s="608"/>
      <c r="FZR60" s="608"/>
      <c r="FZS60" s="608"/>
      <c r="FZT60" s="608"/>
      <c r="FZU60" s="608"/>
      <c r="FZV60" s="608"/>
      <c r="FZW60" s="608"/>
      <c r="FZX60" s="608"/>
      <c r="FZY60" s="608"/>
      <c r="FZZ60" s="608"/>
      <c r="GAA60" s="608"/>
      <c r="GAB60" s="608"/>
      <c r="GAC60" s="608"/>
      <c r="GAD60" s="608"/>
      <c r="GAE60" s="608"/>
      <c r="GAF60" s="608"/>
      <c r="GAG60" s="608"/>
      <c r="GAH60" s="608"/>
      <c r="GAI60" s="608"/>
      <c r="GAJ60" s="608"/>
      <c r="GAK60" s="608"/>
      <c r="GAL60" s="608"/>
      <c r="GAM60" s="608"/>
      <c r="GAN60" s="608"/>
      <c r="GAO60" s="608"/>
      <c r="GAP60" s="608"/>
      <c r="GAQ60" s="608"/>
      <c r="GAR60" s="608"/>
      <c r="GAS60" s="608"/>
      <c r="GAT60" s="608"/>
      <c r="GAU60" s="608"/>
      <c r="GAV60" s="608"/>
      <c r="GAW60" s="608"/>
      <c r="GAX60" s="608"/>
      <c r="GAY60" s="608"/>
      <c r="GAZ60" s="608"/>
      <c r="GBA60" s="608"/>
      <c r="GBB60" s="608"/>
      <c r="GBC60" s="608"/>
      <c r="GBD60" s="608"/>
      <c r="GBE60" s="608"/>
      <c r="GBF60" s="608"/>
      <c r="GBG60" s="608"/>
      <c r="GBH60" s="608"/>
      <c r="GBI60" s="608"/>
      <c r="GBJ60" s="608"/>
      <c r="GBK60" s="608"/>
      <c r="GBL60" s="608"/>
      <c r="GBM60" s="608"/>
      <c r="GBN60" s="608"/>
      <c r="GBO60" s="608"/>
      <c r="GBP60" s="608"/>
      <c r="GBQ60" s="608"/>
      <c r="GBR60" s="608"/>
      <c r="GBS60" s="608"/>
      <c r="GBT60" s="608"/>
      <c r="GBU60" s="608"/>
      <c r="GBV60" s="608"/>
      <c r="GBW60" s="608"/>
      <c r="GBX60" s="608"/>
      <c r="GBY60" s="608"/>
      <c r="GBZ60" s="608"/>
      <c r="GCA60" s="608"/>
      <c r="GCB60" s="608"/>
      <c r="GCC60" s="608"/>
      <c r="GCD60" s="608"/>
      <c r="GCE60" s="608"/>
      <c r="GCF60" s="608"/>
      <c r="GCG60" s="608"/>
      <c r="GCH60" s="608"/>
      <c r="GCI60" s="608"/>
      <c r="GCJ60" s="608"/>
      <c r="GCK60" s="608"/>
      <c r="GCL60" s="608"/>
      <c r="GCM60" s="608"/>
      <c r="GCN60" s="608"/>
      <c r="GCO60" s="608"/>
      <c r="GCP60" s="608"/>
      <c r="GCQ60" s="608"/>
      <c r="GCR60" s="608"/>
      <c r="GCS60" s="608"/>
      <c r="GCT60" s="608"/>
      <c r="GCU60" s="608"/>
      <c r="GCV60" s="608"/>
      <c r="GCW60" s="608"/>
      <c r="GCX60" s="608"/>
      <c r="GCY60" s="608"/>
      <c r="GCZ60" s="608"/>
      <c r="GDA60" s="608"/>
      <c r="GDB60" s="608"/>
      <c r="GDC60" s="608"/>
      <c r="GDD60" s="608"/>
      <c r="GDE60" s="608"/>
      <c r="GDF60" s="608"/>
      <c r="GDG60" s="608"/>
      <c r="GDH60" s="608"/>
      <c r="GDI60" s="608"/>
      <c r="GDJ60" s="608"/>
      <c r="GDK60" s="608"/>
      <c r="GDL60" s="608"/>
      <c r="GDM60" s="608"/>
      <c r="GDN60" s="608"/>
      <c r="GDO60" s="608"/>
      <c r="GDP60" s="608"/>
      <c r="GDQ60" s="608"/>
      <c r="GDR60" s="608"/>
      <c r="GDS60" s="608"/>
      <c r="GDT60" s="608"/>
      <c r="GDU60" s="608"/>
      <c r="GDV60" s="608"/>
      <c r="GDW60" s="608"/>
      <c r="GDX60" s="608"/>
      <c r="GDY60" s="608"/>
      <c r="GDZ60" s="608"/>
      <c r="GEA60" s="608"/>
      <c r="GEB60" s="608"/>
      <c r="GEC60" s="608"/>
      <c r="GED60" s="608"/>
      <c r="GEE60" s="608"/>
      <c r="GEF60" s="608"/>
      <c r="GEG60" s="608"/>
      <c r="GEH60" s="608"/>
      <c r="GEI60" s="608"/>
      <c r="GEJ60" s="608"/>
      <c r="GEK60" s="608"/>
      <c r="GEL60" s="608"/>
      <c r="GEM60" s="608"/>
      <c r="GEN60" s="608"/>
      <c r="GEO60" s="608"/>
      <c r="GEP60" s="608"/>
      <c r="GEQ60" s="608"/>
      <c r="GER60" s="608"/>
      <c r="GES60" s="608"/>
      <c r="GET60" s="608"/>
      <c r="GEU60" s="608"/>
      <c r="GEV60" s="608"/>
      <c r="GEW60" s="608"/>
      <c r="GEX60" s="608"/>
      <c r="GEY60" s="608"/>
      <c r="GEZ60" s="608"/>
      <c r="GFA60" s="608"/>
      <c r="GFB60" s="608"/>
      <c r="GFC60" s="608"/>
      <c r="GFD60" s="608"/>
      <c r="GFE60" s="608"/>
      <c r="GFF60" s="608"/>
      <c r="GFG60" s="608"/>
      <c r="GFH60" s="608"/>
      <c r="GFI60" s="608"/>
      <c r="GFJ60" s="608"/>
      <c r="GFK60" s="608"/>
      <c r="GFL60" s="608"/>
      <c r="GFM60" s="608"/>
      <c r="GFN60" s="608"/>
      <c r="GFO60" s="608"/>
      <c r="GFP60" s="608"/>
      <c r="GFQ60" s="608"/>
      <c r="GFR60" s="608"/>
      <c r="GFS60" s="608"/>
      <c r="GFT60" s="608"/>
      <c r="GFU60" s="608"/>
      <c r="GFV60" s="608"/>
      <c r="GFW60" s="608"/>
      <c r="GFX60" s="608"/>
      <c r="GFY60" s="608"/>
      <c r="GFZ60" s="608"/>
      <c r="GGA60" s="608"/>
      <c r="GGB60" s="608"/>
      <c r="GGC60" s="608"/>
      <c r="GGD60" s="608"/>
      <c r="GGE60" s="608"/>
      <c r="GGF60" s="608"/>
      <c r="GGG60" s="608"/>
      <c r="GGH60" s="608"/>
      <c r="GGI60" s="608"/>
      <c r="GGJ60" s="608"/>
      <c r="GGK60" s="608"/>
      <c r="GGL60" s="608"/>
      <c r="GGM60" s="608"/>
      <c r="GGN60" s="608"/>
      <c r="GGO60" s="608"/>
      <c r="GGP60" s="608"/>
      <c r="GGQ60" s="608"/>
      <c r="GGR60" s="608"/>
      <c r="GGS60" s="608"/>
      <c r="GGT60" s="608"/>
      <c r="GGU60" s="608"/>
      <c r="GGV60" s="608"/>
      <c r="GGW60" s="608"/>
      <c r="GGX60" s="608"/>
      <c r="GGY60" s="608"/>
      <c r="GGZ60" s="608"/>
      <c r="GHA60" s="608"/>
      <c r="GHB60" s="608"/>
      <c r="GHC60" s="608"/>
      <c r="GHD60" s="608"/>
      <c r="GHE60" s="608"/>
      <c r="GHF60" s="608"/>
      <c r="GHG60" s="608"/>
      <c r="GHH60" s="608"/>
      <c r="GHI60" s="608"/>
      <c r="GHJ60" s="608"/>
      <c r="GHK60" s="608"/>
      <c r="GHL60" s="608"/>
      <c r="GHM60" s="608"/>
      <c r="GHN60" s="608"/>
      <c r="GHO60" s="608"/>
      <c r="GHP60" s="608"/>
      <c r="GHQ60" s="608"/>
      <c r="GHR60" s="608"/>
      <c r="GHS60" s="608"/>
      <c r="GHT60" s="608"/>
      <c r="GHU60" s="608"/>
      <c r="GHV60" s="608"/>
      <c r="GHW60" s="608"/>
      <c r="GHX60" s="608"/>
      <c r="GHY60" s="608"/>
      <c r="GHZ60" s="608"/>
      <c r="GIA60" s="608"/>
      <c r="GIB60" s="608"/>
      <c r="GIC60" s="608"/>
      <c r="GID60" s="608"/>
      <c r="GIE60" s="608"/>
      <c r="GIF60" s="608"/>
      <c r="GIG60" s="608"/>
      <c r="GIH60" s="608"/>
      <c r="GII60" s="608"/>
      <c r="GIJ60" s="608"/>
      <c r="GIK60" s="608"/>
      <c r="GIL60" s="608"/>
      <c r="GIM60" s="608"/>
      <c r="GIN60" s="608"/>
      <c r="GIO60" s="608"/>
      <c r="GIP60" s="608"/>
      <c r="GIQ60" s="608"/>
      <c r="GIR60" s="608"/>
      <c r="GIS60" s="608"/>
      <c r="GIT60" s="608"/>
      <c r="GIU60" s="608"/>
      <c r="GIV60" s="608"/>
      <c r="GIW60" s="608"/>
      <c r="GIX60" s="608"/>
      <c r="GIY60" s="608"/>
      <c r="GIZ60" s="608"/>
      <c r="GJA60" s="608"/>
      <c r="GJB60" s="608"/>
      <c r="GJC60" s="608"/>
      <c r="GJD60" s="608"/>
      <c r="GJE60" s="608"/>
      <c r="GJF60" s="608"/>
      <c r="GJG60" s="608"/>
      <c r="GJH60" s="608"/>
      <c r="GJI60" s="608"/>
      <c r="GJJ60" s="608"/>
      <c r="GJK60" s="608"/>
      <c r="GJL60" s="608"/>
      <c r="GJM60" s="608"/>
      <c r="GJN60" s="608"/>
      <c r="GJO60" s="608"/>
      <c r="GJP60" s="608"/>
      <c r="GJQ60" s="608"/>
      <c r="GJR60" s="608"/>
      <c r="GJS60" s="608"/>
      <c r="GJT60" s="608"/>
      <c r="GJU60" s="608"/>
      <c r="GJV60" s="608"/>
      <c r="GJW60" s="608"/>
      <c r="GJX60" s="608"/>
      <c r="GJY60" s="608"/>
      <c r="GJZ60" s="608"/>
      <c r="GKA60" s="608"/>
      <c r="GKB60" s="608"/>
      <c r="GKC60" s="608"/>
      <c r="GKD60" s="608"/>
      <c r="GKE60" s="608"/>
      <c r="GKF60" s="608"/>
      <c r="GKG60" s="608"/>
      <c r="GKH60" s="608"/>
      <c r="GKI60" s="608"/>
      <c r="GKJ60" s="608"/>
      <c r="GKK60" s="608"/>
      <c r="GKL60" s="608"/>
      <c r="GKM60" s="608"/>
      <c r="GKN60" s="608"/>
      <c r="GKO60" s="608"/>
      <c r="GKP60" s="608"/>
      <c r="GKQ60" s="608"/>
      <c r="GKR60" s="608"/>
      <c r="GKS60" s="608"/>
      <c r="GKT60" s="608"/>
      <c r="GKU60" s="608"/>
      <c r="GKV60" s="608"/>
      <c r="GKW60" s="608"/>
      <c r="GKX60" s="608"/>
      <c r="GKY60" s="608"/>
      <c r="GKZ60" s="608"/>
      <c r="GLA60" s="608"/>
      <c r="GLB60" s="608"/>
      <c r="GLC60" s="608"/>
      <c r="GLD60" s="608"/>
      <c r="GLE60" s="608"/>
      <c r="GLF60" s="608"/>
      <c r="GLG60" s="608"/>
      <c r="GLH60" s="608"/>
      <c r="GLI60" s="608"/>
      <c r="GLJ60" s="608"/>
      <c r="GLK60" s="608"/>
      <c r="GLL60" s="608"/>
      <c r="GLM60" s="608"/>
      <c r="GLN60" s="608"/>
      <c r="GLO60" s="608"/>
      <c r="GLP60" s="608"/>
      <c r="GLQ60" s="608"/>
      <c r="GLR60" s="608"/>
      <c r="GLS60" s="608"/>
      <c r="GLT60" s="608"/>
      <c r="GLU60" s="608"/>
      <c r="GLV60" s="608"/>
      <c r="GLW60" s="608"/>
      <c r="GLX60" s="608"/>
      <c r="GLY60" s="608"/>
      <c r="GLZ60" s="608"/>
      <c r="GMA60" s="608"/>
      <c r="GMB60" s="608"/>
      <c r="GMC60" s="608"/>
      <c r="GMD60" s="608"/>
      <c r="GME60" s="608"/>
      <c r="GMF60" s="608"/>
      <c r="GMG60" s="608"/>
      <c r="GMH60" s="608"/>
      <c r="GMI60" s="608"/>
      <c r="GMJ60" s="608"/>
      <c r="GMK60" s="608"/>
      <c r="GML60" s="608"/>
      <c r="GMM60" s="608"/>
      <c r="GMN60" s="608"/>
      <c r="GMO60" s="608"/>
      <c r="GMP60" s="608"/>
      <c r="GMQ60" s="608"/>
      <c r="GMR60" s="608"/>
      <c r="GMS60" s="608"/>
      <c r="GMT60" s="608"/>
      <c r="GMU60" s="608"/>
      <c r="GMV60" s="608"/>
      <c r="GMW60" s="608"/>
      <c r="GMX60" s="608"/>
      <c r="GMY60" s="608"/>
      <c r="GMZ60" s="608"/>
      <c r="GNA60" s="608"/>
      <c r="GNB60" s="608"/>
      <c r="GNC60" s="608"/>
      <c r="GND60" s="608"/>
      <c r="GNE60" s="608"/>
      <c r="GNF60" s="608"/>
      <c r="GNG60" s="608"/>
      <c r="GNH60" s="608"/>
      <c r="GNI60" s="608"/>
      <c r="GNJ60" s="608"/>
      <c r="GNK60" s="608"/>
      <c r="GNL60" s="608"/>
      <c r="GNM60" s="608"/>
      <c r="GNN60" s="608"/>
      <c r="GNO60" s="608"/>
      <c r="GNP60" s="608"/>
      <c r="GNQ60" s="608"/>
      <c r="GNR60" s="608"/>
      <c r="GNS60" s="608"/>
      <c r="GNT60" s="608"/>
      <c r="GNU60" s="608"/>
      <c r="GNV60" s="608"/>
      <c r="GNW60" s="608"/>
      <c r="GNX60" s="608"/>
      <c r="GNY60" s="608"/>
      <c r="GNZ60" s="608"/>
      <c r="GOA60" s="608"/>
      <c r="GOB60" s="608"/>
      <c r="GOC60" s="608"/>
      <c r="GOD60" s="608"/>
      <c r="GOE60" s="608"/>
      <c r="GOF60" s="608"/>
      <c r="GOG60" s="608"/>
      <c r="GOH60" s="608"/>
      <c r="GOI60" s="608"/>
      <c r="GOJ60" s="608"/>
      <c r="GOK60" s="608"/>
      <c r="GOL60" s="608"/>
      <c r="GOM60" s="608"/>
      <c r="GON60" s="608"/>
      <c r="GOO60" s="608"/>
      <c r="GOP60" s="608"/>
      <c r="GOQ60" s="608"/>
      <c r="GOR60" s="608"/>
      <c r="GOS60" s="608"/>
      <c r="GOT60" s="608"/>
      <c r="GOU60" s="608"/>
      <c r="GOV60" s="608"/>
      <c r="GOW60" s="608"/>
      <c r="GOX60" s="608"/>
      <c r="GOY60" s="608"/>
      <c r="GOZ60" s="608"/>
      <c r="GPA60" s="608"/>
      <c r="GPB60" s="608"/>
      <c r="GPC60" s="608"/>
      <c r="GPD60" s="608"/>
      <c r="GPE60" s="608"/>
      <c r="GPF60" s="608"/>
      <c r="GPG60" s="608"/>
      <c r="GPH60" s="608"/>
      <c r="GPI60" s="608"/>
      <c r="GPJ60" s="608"/>
      <c r="GPK60" s="608"/>
      <c r="GPL60" s="608"/>
      <c r="GPM60" s="608"/>
      <c r="GPN60" s="608"/>
      <c r="GPO60" s="608"/>
      <c r="GPP60" s="608"/>
      <c r="GPQ60" s="608"/>
      <c r="GPR60" s="608"/>
      <c r="GPS60" s="608"/>
      <c r="GPT60" s="608"/>
      <c r="GPU60" s="608"/>
      <c r="GPV60" s="608"/>
      <c r="GPW60" s="608"/>
      <c r="GPX60" s="608"/>
      <c r="GPY60" s="608"/>
      <c r="GPZ60" s="608"/>
      <c r="GQA60" s="608"/>
      <c r="GQB60" s="608"/>
      <c r="GQC60" s="608"/>
      <c r="GQD60" s="608"/>
      <c r="GQE60" s="608"/>
      <c r="GQF60" s="608"/>
      <c r="GQG60" s="608"/>
      <c r="GQH60" s="608"/>
      <c r="GQI60" s="608"/>
      <c r="GQJ60" s="608"/>
      <c r="GQK60" s="608"/>
      <c r="GQL60" s="608"/>
      <c r="GQM60" s="608"/>
      <c r="GQN60" s="608"/>
      <c r="GQO60" s="608"/>
      <c r="GQP60" s="608"/>
      <c r="GQQ60" s="608"/>
      <c r="GQR60" s="608"/>
      <c r="GQS60" s="608"/>
      <c r="GQT60" s="608"/>
      <c r="GQU60" s="608"/>
      <c r="GQV60" s="608"/>
      <c r="GQW60" s="608"/>
      <c r="GQX60" s="608"/>
      <c r="GQY60" s="608"/>
      <c r="GQZ60" s="608"/>
      <c r="GRA60" s="608"/>
      <c r="GRB60" s="608"/>
      <c r="GRC60" s="608"/>
      <c r="GRD60" s="608"/>
      <c r="GRE60" s="608"/>
      <c r="GRF60" s="608"/>
      <c r="GRG60" s="608"/>
      <c r="GRH60" s="608"/>
      <c r="GRI60" s="608"/>
      <c r="GRJ60" s="608"/>
      <c r="GRK60" s="608"/>
      <c r="GRL60" s="608"/>
      <c r="GRM60" s="608"/>
      <c r="GRN60" s="608"/>
      <c r="GRO60" s="608"/>
      <c r="GRP60" s="608"/>
      <c r="GRQ60" s="608"/>
      <c r="GRR60" s="608"/>
      <c r="GRS60" s="608"/>
      <c r="GRT60" s="608"/>
      <c r="GRU60" s="608"/>
      <c r="GRV60" s="608"/>
      <c r="GRW60" s="608"/>
      <c r="GRX60" s="608"/>
      <c r="GRY60" s="608"/>
      <c r="GRZ60" s="608"/>
      <c r="GSA60" s="608"/>
      <c r="GSB60" s="608"/>
      <c r="GSC60" s="608"/>
      <c r="GSD60" s="608"/>
      <c r="GSE60" s="608"/>
      <c r="GSF60" s="608"/>
      <c r="GSG60" s="608"/>
      <c r="GSH60" s="608"/>
      <c r="GSI60" s="608"/>
      <c r="GSJ60" s="608"/>
      <c r="GSK60" s="608"/>
      <c r="GSL60" s="608"/>
      <c r="GSM60" s="608"/>
      <c r="GSN60" s="608"/>
      <c r="GSO60" s="608"/>
      <c r="GSP60" s="608"/>
      <c r="GSQ60" s="608"/>
      <c r="GSR60" s="608"/>
      <c r="GSS60" s="608"/>
      <c r="GST60" s="608"/>
      <c r="GSU60" s="608"/>
      <c r="GSV60" s="608"/>
      <c r="GSW60" s="608"/>
      <c r="GSX60" s="608"/>
      <c r="GSY60" s="608"/>
      <c r="GSZ60" s="608"/>
      <c r="GTA60" s="608"/>
      <c r="GTB60" s="608"/>
      <c r="GTC60" s="608"/>
      <c r="GTD60" s="608"/>
      <c r="GTE60" s="608"/>
      <c r="GTF60" s="608"/>
      <c r="GTG60" s="608"/>
      <c r="GTH60" s="608"/>
      <c r="GTI60" s="608"/>
      <c r="GTJ60" s="608"/>
      <c r="GTK60" s="608"/>
      <c r="GTL60" s="608"/>
      <c r="GTM60" s="608"/>
      <c r="GTN60" s="608"/>
      <c r="GTO60" s="608"/>
      <c r="GTP60" s="608"/>
      <c r="GTQ60" s="608"/>
      <c r="GTR60" s="608"/>
      <c r="GTS60" s="608"/>
      <c r="GTT60" s="608"/>
      <c r="GTU60" s="608"/>
      <c r="GTV60" s="608"/>
      <c r="GTW60" s="608"/>
      <c r="GTX60" s="608"/>
      <c r="GTY60" s="608"/>
      <c r="GTZ60" s="608"/>
      <c r="GUA60" s="608"/>
      <c r="GUB60" s="608"/>
      <c r="GUC60" s="608"/>
      <c r="GUD60" s="608"/>
      <c r="GUE60" s="608"/>
      <c r="GUF60" s="608"/>
      <c r="GUG60" s="608"/>
      <c r="GUH60" s="608"/>
      <c r="GUI60" s="608"/>
      <c r="GUJ60" s="608"/>
      <c r="GUK60" s="608"/>
      <c r="GUL60" s="608"/>
      <c r="GUM60" s="608"/>
      <c r="GUN60" s="608"/>
      <c r="GUO60" s="608"/>
      <c r="GUP60" s="608"/>
      <c r="GUQ60" s="608"/>
      <c r="GUR60" s="608"/>
      <c r="GUS60" s="608"/>
      <c r="GUT60" s="608"/>
      <c r="GUU60" s="608"/>
      <c r="GUV60" s="608"/>
      <c r="GUW60" s="608"/>
      <c r="GUX60" s="608"/>
      <c r="GUY60" s="608"/>
      <c r="GUZ60" s="608"/>
      <c r="GVA60" s="608"/>
      <c r="GVB60" s="608"/>
      <c r="GVC60" s="608"/>
      <c r="GVD60" s="608"/>
      <c r="GVE60" s="608"/>
      <c r="GVF60" s="608"/>
      <c r="GVG60" s="608"/>
      <c r="GVH60" s="608"/>
      <c r="GVI60" s="608"/>
      <c r="GVJ60" s="608"/>
      <c r="GVK60" s="608"/>
      <c r="GVL60" s="608"/>
      <c r="GVM60" s="608"/>
      <c r="GVN60" s="608"/>
      <c r="GVO60" s="608"/>
      <c r="GVP60" s="608"/>
      <c r="GVQ60" s="608"/>
      <c r="GVR60" s="608"/>
      <c r="GVS60" s="608"/>
      <c r="GVT60" s="608"/>
      <c r="GVU60" s="608"/>
      <c r="GVV60" s="608"/>
      <c r="GVW60" s="608"/>
      <c r="GVX60" s="608"/>
      <c r="GVY60" s="608"/>
      <c r="GVZ60" s="608"/>
      <c r="GWA60" s="608"/>
      <c r="GWB60" s="608"/>
      <c r="GWC60" s="608"/>
      <c r="GWD60" s="608"/>
      <c r="GWE60" s="608"/>
      <c r="GWF60" s="608"/>
      <c r="GWG60" s="608"/>
      <c r="GWH60" s="608"/>
      <c r="GWI60" s="608"/>
      <c r="GWJ60" s="608"/>
      <c r="GWK60" s="608"/>
      <c r="GWL60" s="608"/>
      <c r="GWM60" s="608"/>
      <c r="GWN60" s="608"/>
      <c r="GWO60" s="608"/>
      <c r="GWP60" s="608"/>
      <c r="GWQ60" s="608"/>
      <c r="GWR60" s="608"/>
      <c r="GWS60" s="608"/>
      <c r="GWT60" s="608"/>
      <c r="GWU60" s="608"/>
      <c r="GWV60" s="608"/>
      <c r="GWW60" s="608"/>
      <c r="GWX60" s="608"/>
      <c r="GWY60" s="608"/>
      <c r="GWZ60" s="608"/>
      <c r="GXA60" s="608"/>
      <c r="GXB60" s="608"/>
      <c r="GXC60" s="608"/>
      <c r="GXD60" s="608"/>
      <c r="GXE60" s="608"/>
      <c r="GXF60" s="608"/>
      <c r="GXG60" s="608"/>
      <c r="GXH60" s="608"/>
      <c r="GXI60" s="608"/>
      <c r="GXJ60" s="608"/>
      <c r="GXK60" s="608"/>
      <c r="GXL60" s="608"/>
      <c r="GXM60" s="608"/>
      <c r="GXN60" s="608"/>
      <c r="GXO60" s="608"/>
      <c r="GXP60" s="608"/>
      <c r="GXQ60" s="608"/>
      <c r="GXR60" s="608"/>
      <c r="GXS60" s="608"/>
      <c r="GXT60" s="608"/>
      <c r="GXU60" s="608"/>
      <c r="GXV60" s="608"/>
      <c r="GXW60" s="608"/>
      <c r="GXX60" s="608"/>
      <c r="GXY60" s="608"/>
      <c r="GXZ60" s="608"/>
      <c r="GYA60" s="608"/>
      <c r="GYB60" s="608"/>
      <c r="GYC60" s="608"/>
      <c r="GYD60" s="608"/>
      <c r="GYE60" s="608"/>
      <c r="GYF60" s="608"/>
      <c r="GYG60" s="608"/>
      <c r="GYH60" s="608"/>
      <c r="GYI60" s="608"/>
      <c r="GYJ60" s="608"/>
      <c r="GYK60" s="608"/>
      <c r="GYL60" s="608"/>
      <c r="GYM60" s="608"/>
      <c r="GYN60" s="608"/>
      <c r="GYO60" s="608"/>
      <c r="GYP60" s="608"/>
      <c r="GYQ60" s="608"/>
      <c r="GYR60" s="608"/>
      <c r="GYS60" s="608"/>
      <c r="GYT60" s="608"/>
      <c r="GYU60" s="608"/>
      <c r="GYV60" s="608"/>
      <c r="GYW60" s="608"/>
      <c r="GYX60" s="608"/>
      <c r="GYY60" s="608"/>
      <c r="GYZ60" s="608"/>
      <c r="GZA60" s="608"/>
      <c r="GZB60" s="608"/>
      <c r="GZC60" s="608"/>
      <c r="GZD60" s="608"/>
      <c r="GZE60" s="608"/>
      <c r="GZF60" s="608"/>
      <c r="GZG60" s="608"/>
      <c r="GZH60" s="608"/>
      <c r="GZI60" s="608"/>
      <c r="GZJ60" s="608"/>
      <c r="GZK60" s="608"/>
      <c r="GZL60" s="608"/>
      <c r="GZM60" s="608"/>
      <c r="GZN60" s="608"/>
      <c r="GZO60" s="608"/>
      <c r="GZP60" s="608"/>
      <c r="GZQ60" s="608"/>
      <c r="GZR60" s="608"/>
      <c r="GZS60" s="608"/>
      <c r="GZT60" s="608"/>
      <c r="GZU60" s="608"/>
      <c r="GZV60" s="608"/>
      <c r="GZW60" s="608"/>
      <c r="GZX60" s="608"/>
      <c r="GZY60" s="608"/>
      <c r="GZZ60" s="608"/>
      <c r="HAA60" s="608"/>
      <c r="HAB60" s="608"/>
      <c r="HAC60" s="608"/>
      <c r="HAD60" s="608"/>
      <c r="HAE60" s="608"/>
      <c r="HAF60" s="608"/>
      <c r="HAG60" s="608"/>
      <c r="HAH60" s="608"/>
      <c r="HAI60" s="608"/>
      <c r="HAJ60" s="608"/>
      <c r="HAK60" s="608"/>
      <c r="HAL60" s="608"/>
      <c r="HAM60" s="608"/>
      <c r="HAN60" s="608"/>
      <c r="HAO60" s="608"/>
      <c r="HAP60" s="608"/>
      <c r="HAQ60" s="608"/>
      <c r="HAR60" s="608"/>
      <c r="HAS60" s="608"/>
      <c r="HAT60" s="608"/>
      <c r="HAU60" s="608"/>
      <c r="HAV60" s="608"/>
      <c r="HAW60" s="608"/>
      <c r="HAX60" s="608"/>
      <c r="HAY60" s="608"/>
      <c r="HAZ60" s="608"/>
      <c r="HBA60" s="608"/>
      <c r="HBB60" s="608"/>
      <c r="HBC60" s="608"/>
      <c r="HBD60" s="608"/>
      <c r="HBE60" s="608"/>
      <c r="HBF60" s="608"/>
      <c r="HBG60" s="608"/>
      <c r="HBH60" s="608"/>
      <c r="HBI60" s="608"/>
      <c r="HBJ60" s="608"/>
      <c r="HBK60" s="608"/>
      <c r="HBL60" s="608"/>
      <c r="HBM60" s="608"/>
      <c r="HBN60" s="608"/>
      <c r="HBO60" s="608"/>
      <c r="HBP60" s="608"/>
      <c r="HBQ60" s="608"/>
      <c r="HBR60" s="608"/>
      <c r="HBS60" s="608"/>
      <c r="HBT60" s="608"/>
      <c r="HBU60" s="608"/>
      <c r="HBV60" s="608"/>
      <c r="HBW60" s="608"/>
      <c r="HBX60" s="608"/>
      <c r="HBY60" s="608"/>
      <c r="HBZ60" s="608"/>
      <c r="HCA60" s="608"/>
      <c r="HCB60" s="608"/>
      <c r="HCC60" s="608"/>
      <c r="HCD60" s="608"/>
      <c r="HCE60" s="608"/>
      <c r="HCF60" s="608"/>
      <c r="HCG60" s="608"/>
      <c r="HCH60" s="608"/>
      <c r="HCI60" s="608"/>
      <c r="HCJ60" s="608"/>
      <c r="HCK60" s="608"/>
      <c r="HCL60" s="608"/>
      <c r="HCM60" s="608"/>
      <c r="HCN60" s="608"/>
      <c r="HCO60" s="608"/>
      <c r="HCP60" s="608"/>
      <c r="HCQ60" s="608"/>
      <c r="HCR60" s="608"/>
      <c r="HCS60" s="608"/>
      <c r="HCT60" s="608"/>
      <c r="HCU60" s="608"/>
      <c r="HCV60" s="608"/>
      <c r="HCW60" s="608"/>
      <c r="HCX60" s="608"/>
      <c r="HCY60" s="608"/>
      <c r="HCZ60" s="608"/>
      <c r="HDA60" s="608"/>
      <c r="HDB60" s="608"/>
      <c r="HDC60" s="608"/>
      <c r="HDD60" s="608"/>
      <c r="HDE60" s="608"/>
      <c r="HDF60" s="608"/>
      <c r="HDG60" s="608"/>
      <c r="HDH60" s="608"/>
      <c r="HDI60" s="608"/>
      <c r="HDJ60" s="608"/>
      <c r="HDK60" s="608"/>
      <c r="HDL60" s="608"/>
      <c r="HDM60" s="608"/>
      <c r="HDN60" s="608"/>
      <c r="HDO60" s="608"/>
      <c r="HDP60" s="608"/>
      <c r="HDQ60" s="608"/>
      <c r="HDR60" s="608"/>
      <c r="HDS60" s="608"/>
      <c r="HDT60" s="608"/>
      <c r="HDU60" s="608"/>
      <c r="HDV60" s="608"/>
      <c r="HDW60" s="608"/>
      <c r="HDX60" s="608"/>
      <c r="HDY60" s="608"/>
      <c r="HDZ60" s="608"/>
      <c r="HEA60" s="608"/>
      <c r="HEB60" s="608"/>
      <c r="HEC60" s="608"/>
      <c r="HED60" s="608"/>
      <c r="HEE60" s="608"/>
      <c r="HEF60" s="608"/>
      <c r="HEG60" s="608"/>
      <c r="HEH60" s="608"/>
      <c r="HEI60" s="608"/>
      <c r="HEJ60" s="608"/>
      <c r="HEK60" s="608"/>
      <c r="HEL60" s="608"/>
      <c r="HEM60" s="608"/>
      <c r="HEN60" s="608"/>
      <c r="HEO60" s="608"/>
      <c r="HEP60" s="608"/>
      <c r="HEQ60" s="608"/>
      <c r="HER60" s="608"/>
      <c r="HES60" s="608"/>
      <c r="HET60" s="608"/>
      <c r="HEU60" s="608"/>
      <c r="HEV60" s="608"/>
      <c r="HEW60" s="608"/>
      <c r="HEX60" s="608"/>
      <c r="HEY60" s="608"/>
      <c r="HEZ60" s="608"/>
      <c r="HFA60" s="608"/>
      <c r="HFB60" s="608"/>
      <c r="HFC60" s="608"/>
      <c r="HFD60" s="608"/>
      <c r="HFE60" s="608"/>
      <c r="HFF60" s="608"/>
      <c r="HFG60" s="608"/>
      <c r="HFH60" s="608"/>
      <c r="HFI60" s="608"/>
      <c r="HFJ60" s="608"/>
      <c r="HFK60" s="608"/>
      <c r="HFL60" s="608"/>
      <c r="HFM60" s="608"/>
      <c r="HFN60" s="608"/>
      <c r="HFO60" s="608"/>
      <c r="HFP60" s="608"/>
      <c r="HFQ60" s="608"/>
      <c r="HFR60" s="608"/>
      <c r="HFS60" s="608"/>
      <c r="HFT60" s="608"/>
      <c r="HFU60" s="608"/>
      <c r="HFV60" s="608"/>
      <c r="HFW60" s="608"/>
      <c r="HFX60" s="608"/>
      <c r="HFY60" s="608"/>
      <c r="HFZ60" s="608"/>
      <c r="HGA60" s="608"/>
      <c r="HGB60" s="608"/>
      <c r="HGC60" s="608"/>
      <c r="HGD60" s="608"/>
      <c r="HGE60" s="608"/>
      <c r="HGF60" s="608"/>
      <c r="HGG60" s="608"/>
      <c r="HGH60" s="608"/>
      <c r="HGI60" s="608"/>
      <c r="HGJ60" s="608"/>
      <c r="HGK60" s="608"/>
      <c r="HGL60" s="608"/>
      <c r="HGM60" s="608"/>
      <c r="HGN60" s="608"/>
      <c r="HGO60" s="608"/>
      <c r="HGP60" s="608"/>
      <c r="HGQ60" s="608"/>
      <c r="HGR60" s="608"/>
      <c r="HGS60" s="608"/>
      <c r="HGT60" s="608"/>
      <c r="HGU60" s="608"/>
      <c r="HGV60" s="608"/>
      <c r="HGW60" s="608"/>
      <c r="HGX60" s="608"/>
      <c r="HGY60" s="608"/>
      <c r="HGZ60" s="608"/>
      <c r="HHA60" s="608"/>
      <c r="HHB60" s="608"/>
      <c r="HHC60" s="608"/>
      <c r="HHD60" s="608"/>
      <c r="HHE60" s="608"/>
      <c r="HHF60" s="608"/>
      <c r="HHG60" s="608"/>
      <c r="HHH60" s="608"/>
      <c r="HHI60" s="608"/>
      <c r="HHJ60" s="608"/>
      <c r="HHK60" s="608"/>
      <c r="HHL60" s="608"/>
      <c r="HHM60" s="608"/>
      <c r="HHN60" s="608"/>
      <c r="HHO60" s="608"/>
      <c r="HHP60" s="608"/>
      <c r="HHQ60" s="608"/>
      <c r="HHR60" s="608"/>
      <c r="HHS60" s="608"/>
      <c r="HHT60" s="608"/>
      <c r="HHU60" s="608"/>
      <c r="HHV60" s="608"/>
      <c r="HHW60" s="608"/>
      <c r="HHX60" s="608"/>
      <c r="HHY60" s="608"/>
      <c r="HHZ60" s="608"/>
      <c r="HIA60" s="608"/>
      <c r="HIB60" s="608"/>
      <c r="HIC60" s="608"/>
      <c r="HID60" s="608"/>
      <c r="HIE60" s="608"/>
      <c r="HIF60" s="608"/>
      <c r="HIG60" s="608"/>
      <c r="HIH60" s="608"/>
      <c r="HII60" s="608"/>
      <c r="HIJ60" s="608"/>
      <c r="HIK60" s="608"/>
      <c r="HIL60" s="608"/>
      <c r="HIM60" s="608"/>
      <c r="HIN60" s="608"/>
      <c r="HIO60" s="608"/>
      <c r="HIP60" s="608"/>
      <c r="HIQ60" s="608"/>
      <c r="HIR60" s="608"/>
      <c r="HIS60" s="608"/>
      <c r="HIT60" s="608"/>
      <c r="HIU60" s="608"/>
      <c r="HIV60" s="608"/>
      <c r="HIW60" s="608"/>
      <c r="HIX60" s="608"/>
      <c r="HIY60" s="608"/>
      <c r="HIZ60" s="608"/>
      <c r="HJA60" s="608"/>
      <c r="HJB60" s="608"/>
      <c r="HJC60" s="608"/>
      <c r="HJD60" s="608"/>
      <c r="HJE60" s="608"/>
      <c r="HJF60" s="608"/>
      <c r="HJG60" s="608"/>
      <c r="HJH60" s="608"/>
      <c r="HJI60" s="608"/>
      <c r="HJJ60" s="608"/>
      <c r="HJK60" s="608"/>
      <c r="HJL60" s="608"/>
      <c r="HJM60" s="608"/>
      <c r="HJN60" s="608"/>
      <c r="HJO60" s="608"/>
      <c r="HJP60" s="608"/>
      <c r="HJQ60" s="608"/>
      <c r="HJR60" s="608"/>
      <c r="HJS60" s="608"/>
      <c r="HJT60" s="608"/>
      <c r="HJU60" s="608"/>
      <c r="HJV60" s="608"/>
      <c r="HJW60" s="608"/>
      <c r="HJX60" s="608"/>
      <c r="HJY60" s="608"/>
      <c r="HJZ60" s="608"/>
      <c r="HKA60" s="608"/>
      <c r="HKB60" s="608"/>
      <c r="HKC60" s="608"/>
      <c r="HKD60" s="608"/>
      <c r="HKE60" s="608"/>
      <c r="HKF60" s="608"/>
      <c r="HKG60" s="608"/>
      <c r="HKH60" s="608"/>
      <c r="HKI60" s="608"/>
      <c r="HKJ60" s="608"/>
      <c r="HKK60" s="608"/>
      <c r="HKL60" s="608"/>
      <c r="HKM60" s="608"/>
      <c r="HKN60" s="608"/>
      <c r="HKO60" s="608"/>
      <c r="HKP60" s="608"/>
      <c r="HKQ60" s="608"/>
      <c r="HKR60" s="608"/>
      <c r="HKS60" s="608"/>
      <c r="HKT60" s="608"/>
      <c r="HKU60" s="608"/>
      <c r="HKV60" s="608"/>
      <c r="HKW60" s="608"/>
      <c r="HKX60" s="608"/>
      <c r="HKY60" s="608"/>
      <c r="HKZ60" s="608"/>
      <c r="HLA60" s="608"/>
      <c r="HLB60" s="608"/>
      <c r="HLC60" s="608"/>
      <c r="HLD60" s="608"/>
      <c r="HLE60" s="608"/>
      <c r="HLF60" s="608"/>
      <c r="HLG60" s="608"/>
      <c r="HLH60" s="608"/>
      <c r="HLI60" s="608"/>
      <c r="HLJ60" s="608"/>
      <c r="HLK60" s="608"/>
      <c r="HLL60" s="608"/>
      <c r="HLM60" s="608"/>
      <c r="HLN60" s="608"/>
      <c r="HLO60" s="608"/>
      <c r="HLP60" s="608"/>
      <c r="HLQ60" s="608"/>
      <c r="HLR60" s="608"/>
      <c r="HLS60" s="608"/>
      <c r="HLT60" s="608"/>
      <c r="HLU60" s="608"/>
      <c r="HLV60" s="608"/>
      <c r="HLW60" s="608"/>
      <c r="HLX60" s="608"/>
      <c r="HLY60" s="608"/>
      <c r="HLZ60" s="608"/>
      <c r="HMA60" s="608"/>
      <c r="HMB60" s="608"/>
      <c r="HMC60" s="608"/>
      <c r="HMD60" s="608"/>
      <c r="HME60" s="608"/>
      <c r="HMF60" s="608"/>
      <c r="HMG60" s="608"/>
      <c r="HMH60" s="608"/>
      <c r="HMI60" s="608"/>
      <c r="HMJ60" s="608"/>
      <c r="HMK60" s="608"/>
      <c r="HML60" s="608"/>
      <c r="HMM60" s="608"/>
      <c r="HMN60" s="608"/>
      <c r="HMO60" s="608"/>
      <c r="HMP60" s="608"/>
      <c r="HMQ60" s="608"/>
      <c r="HMR60" s="608"/>
      <c r="HMS60" s="608"/>
      <c r="HMT60" s="608"/>
      <c r="HMU60" s="608"/>
      <c r="HMV60" s="608"/>
      <c r="HMW60" s="608"/>
      <c r="HMX60" s="608"/>
      <c r="HMY60" s="608"/>
      <c r="HMZ60" s="608"/>
      <c r="HNA60" s="608"/>
      <c r="HNB60" s="608"/>
      <c r="HNC60" s="608"/>
      <c r="HND60" s="608"/>
      <c r="HNE60" s="608"/>
      <c r="HNF60" s="608"/>
      <c r="HNG60" s="608"/>
      <c r="HNH60" s="608"/>
      <c r="HNI60" s="608"/>
      <c r="HNJ60" s="608"/>
      <c r="HNK60" s="608"/>
      <c r="HNL60" s="608"/>
      <c r="HNM60" s="608"/>
      <c r="HNN60" s="608"/>
      <c r="HNO60" s="608"/>
      <c r="HNP60" s="608"/>
      <c r="HNQ60" s="608"/>
      <c r="HNR60" s="608"/>
      <c r="HNS60" s="608"/>
      <c r="HNT60" s="608"/>
      <c r="HNU60" s="608"/>
      <c r="HNV60" s="608"/>
      <c r="HNW60" s="608"/>
      <c r="HNX60" s="608"/>
      <c r="HNY60" s="608"/>
      <c r="HNZ60" s="608"/>
      <c r="HOA60" s="608"/>
      <c r="HOB60" s="608"/>
      <c r="HOC60" s="608"/>
      <c r="HOD60" s="608"/>
      <c r="HOE60" s="608"/>
      <c r="HOF60" s="608"/>
      <c r="HOG60" s="608"/>
      <c r="HOH60" s="608"/>
      <c r="HOI60" s="608"/>
      <c r="HOJ60" s="608"/>
      <c r="HOK60" s="608"/>
      <c r="HOL60" s="608"/>
      <c r="HOM60" s="608"/>
      <c r="HON60" s="608"/>
      <c r="HOO60" s="608"/>
      <c r="HOP60" s="608"/>
      <c r="HOQ60" s="608"/>
      <c r="HOR60" s="608"/>
      <c r="HOS60" s="608"/>
      <c r="HOT60" s="608"/>
      <c r="HOU60" s="608"/>
      <c r="HOV60" s="608"/>
      <c r="HOW60" s="608"/>
      <c r="HOX60" s="608"/>
      <c r="HOY60" s="608"/>
      <c r="HOZ60" s="608"/>
      <c r="HPA60" s="608"/>
      <c r="HPB60" s="608"/>
      <c r="HPC60" s="608"/>
      <c r="HPD60" s="608"/>
      <c r="HPE60" s="608"/>
      <c r="HPF60" s="608"/>
      <c r="HPG60" s="608"/>
      <c r="HPH60" s="608"/>
      <c r="HPI60" s="608"/>
      <c r="HPJ60" s="608"/>
      <c r="HPK60" s="608"/>
      <c r="HPL60" s="608"/>
      <c r="HPM60" s="608"/>
      <c r="HPN60" s="608"/>
      <c r="HPO60" s="608"/>
      <c r="HPP60" s="608"/>
      <c r="HPQ60" s="608"/>
      <c r="HPR60" s="608"/>
      <c r="HPS60" s="608"/>
      <c r="HPT60" s="608"/>
      <c r="HPU60" s="608"/>
      <c r="HPV60" s="608"/>
      <c r="HPW60" s="608"/>
      <c r="HPX60" s="608"/>
      <c r="HPY60" s="608"/>
      <c r="HPZ60" s="608"/>
      <c r="HQA60" s="608"/>
      <c r="HQB60" s="608"/>
      <c r="HQC60" s="608"/>
      <c r="HQD60" s="608"/>
      <c r="HQE60" s="608"/>
      <c r="HQF60" s="608"/>
      <c r="HQG60" s="608"/>
      <c r="HQH60" s="608"/>
      <c r="HQI60" s="608"/>
      <c r="HQJ60" s="608"/>
      <c r="HQK60" s="608"/>
      <c r="HQL60" s="608"/>
      <c r="HQM60" s="608"/>
      <c r="HQN60" s="608"/>
      <c r="HQO60" s="608"/>
      <c r="HQP60" s="608"/>
      <c r="HQQ60" s="608"/>
      <c r="HQR60" s="608"/>
      <c r="HQS60" s="608"/>
      <c r="HQT60" s="608"/>
      <c r="HQU60" s="608"/>
      <c r="HQV60" s="608"/>
      <c r="HQW60" s="608"/>
      <c r="HQX60" s="608"/>
      <c r="HQY60" s="608"/>
      <c r="HQZ60" s="608"/>
      <c r="HRA60" s="608"/>
      <c r="HRB60" s="608"/>
      <c r="HRC60" s="608"/>
      <c r="HRD60" s="608"/>
      <c r="HRE60" s="608"/>
      <c r="HRF60" s="608"/>
      <c r="HRG60" s="608"/>
      <c r="HRH60" s="608"/>
      <c r="HRI60" s="608"/>
      <c r="HRJ60" s="608"/>
      <c r="HRK60" s="608"/>
      <c r="HRL60" s="608"/>
      <c r="HRM60" s="608"/>
      <c r="HRN60" s="608"/>
      <c r="HRO60" s="608"/>
      <c r="HRP60" s="608"/>
      <c r="HRQ60" s="608"/>
      <c r="HRR60" s="608"/>
      <c r="HRS60" s="608"/>
      <c r="HRT60" s="608"/>
      <c r="HRU60" s="608"/>
      <c r="HRV60" s="608"/>
      <c r="HRW60" s="608"/>
      <c r="HRX60" s="608"/>
      <c r="HRY60" s="608"/>
      <c r="HRZ60" s="608"/>
      <c r="HSA60" s="608"/>
      <c r="HSB60" s="608"/>
      <c r="HSC60" s="608"/>
      <c r="HSD60" s="608"/>
      <c r="HSE60" s="608"/>
      <c r="HSF60" s="608"/>
      <c r="HSG60" s="608"/>
      <c r="HSH60" s="608"/>
      <c r="HSI60" s="608"/>
      <c r="HSJ60" s="608"/>
      <c r="HSK60" s="608"/>
      <c r="HSL60" s="608"/>
      <c r="HSM60" s="608"/>
      <c r="HSN60" s="608"/>
      <c r="HSO60" s="608"/>
      <c r="HSP60" s="608"/>
      <c r="HSQ60" s="608"/>
      <c r="HSR60" s="608"/>
      <c r="HSS60" s="608"/>
      <c r="HST60" s="608"/>
      <c r="HSU60" s="608"/>
      <c r="HSV60" s="608"/>
      <c r="HSW60" s="608"/>
      <c r="HSX60" s="608"/>
      <c r="HSY60" s="608"/>
      <c r="HSZ60" s="608"/>
      <c r="HTA60" s="608"/>
      <c r="HTB60" s="608"/>
      <c r="HTC60" s="608"/>
      <c r="HTD60" s="608"/>
      <c r="HTE60" s="608"/>
      <c r="HTF60" s="608"/>
      <c r="HTG60" s="608"/>
      <c r="HTH60" s="608"/>
      <c r="HTI60" s="608"/>
      <c r="HTJ60" s="608"/>
      <c r="HTK60" s="608"/>
      <c r="HTL60" s="608"/>
      <c r="HTM60" s="608"/>
      <c r="HTN60" s="608"/>
      <c r="HTO60" s="608"/>
      <c r="HTP60" s="608"/>
      <c r="HTQ60" s="608"/>
      <c r="HTR60" s="608"/>
      <c r="HTS60" s="608"/>
      <c r="HTT60" s="608"/>
      <c r="HTU60" s="608"/>
      <c r="HTV60" s="608"/>
      <c r="HTW60" s="608"/>
      <c r="HTX60" s="608"/>
      <c r="HTY60" s="608"/>
      <c r="HTZ60" s="608"/>
      <c r="HUA60" s="608"/>
      <c r="HUB60" s="608"/>
      <c r="HUC60" s="608"/>
      <c r="HUD60" s="608"/>
      <c r="HUE60" s="608"/>
      <c r="HUF60" s="608"/>
      <c r="HUG60" s="608"/>
      <c r="HUH60" s="608"/>
      <c r="HUI60" s="608"/>
      <c r="HUJ60" s="608"/>
      <c r="HUK60" s="608"/>
      <c r="HUL60" s="608"/>
      <c r="HUM60" s="608"/>
      <c r="HUN60" s="608"/>
      <c r="HUO60" s="608"/>
      <c r="HUP60" s="608"/>
      <c r="HUQ60" s="608"/>
      <c r="HUR60" s="608"/>
      <c r="HUS60" s="608"/>
      <c r="HUT60" s="608"/>
      <c r="HUU60" s="608"/>
      <c r="HUV60" s="608"/>
      <c r="HUW60" s="608"/>
      <c r="HUX60" s="608"/>
      <c r="HUY60" s="608"/>
      <c r="HUZ60" s="608"/>
      <c r="HVA60" s="608"/>
      <c r="HVB60" s="608"/>
      <c r="HVC60" s="608"/>
      <c r="HVD60" s="608"/>
      <c r="HVE60" s="608"/>
      <c r="HVF60" s="608"/>
      <c r="HVG60" s="608"/>
      <c r="HVH60" s="608"/>
      <c r="HVI60" s="608"/>
      <c r="HVJ60" s="608"/>
      <c r="HVK60" s="608"/>
      <c r="HVL60" s="608"/>
      <c r="HVM60" s="608"/>
      <c r="HVN60" s="608"/>
      <c r="HVO60" s="608"/>
      <c r="HVP60" s="608"/>
      <c r="HVQ60" s="608"/>
      <c r="HVR60" s="608"/>
      <c r="HVS60" s="608"/>
      <c r="HVT60" s="608"/>
      <c r="HVU60" s="608"/>
      <c r="HVV60" s="608"/>
      <c r="HVW60" s="608"/>
      <c r="HVX60" s="608"/>
      <c r="HVY60" s="608"/>
      <c r="HVZ60" s="608"/>
      <c r="HWA60" s="608"/>
      <c r="HWB60" s="608"/>
      <c r="HWC60" s="608"/>
      <c r="HWD60" s="608"/>
      <c r="HWE60" s="608"/>
      <c r="HWF60" s="608"/>
      <c r="HWG60" s="608"/>
      <c r="HWH60" s="608"/>
      <c r="HWI60" s="608"/>
      <c r="HWJ60" s="608"/>
      <c r="HWK60" s="608"/>
      <c r="HWL60" s="608"/>
      <c r="HWM60" s="608"/>
      <c r="HWN60" s="608"/>
      <c r="HWO60" s="608"/>
      <c r="HWP60" s="608"/>
      <c r="HWQ60" s="608"/>
      <c r="HWR60" s="608"/>
      <c r="HWS60" s="608"/>
      <c r="HWT60" s="608"/>
      <c r="HWU60" s="608"/>
      <c r="HWV60" s="608"/>
      <c r="HWW60" s="608"/>
      <c r="HWX60" s="608"/>
      <c r="HWY60" s="608"/>
      <c r="HWZ60" s="608"/>
      <c r="HXA60" s="608"/>
      <c r="HXB60" s="608"/>
      <c r="HXC60" s="608"/>
      <c r="HXD60" s="608"/>
      <c r="HXE60" s="608"/>
      <c r="HXF60" s="608"/>
      <c r="HXG60" s="608"/>
      <c r="HXH60" s="608"/>
      <c r="HXI60" s="608"/>
      <c r="HXJ60" s="608"/>
      <c r="HXK60" s="608"/>
      <c r="HXL60" s="608"/>
      <c r="HXM60" s="608"/>
      <c r="HXN60" s="608"/>
      <c r="HXO60" s="608"/>
      <c r="HXP60" s="608"/>
      <c r="HXQ60" s="608"/>
      <c r="HXR60" s="608"/>
      <c r="HXS60" s="608"/>
      <c r="HXT60" s="608"/>
      <c r="HXU60" s="608"/>
      <c r="HXV60" s="608"/>
      <c r="HXW60" s="608"/>
      <c r="HXX60" s="608"/>
      <c r="HXY60" s="608"/>
      <c r="HXZ60" s="608"/>
      <c r="HYA60" s="608"/>
      <c r="HYB60" s="608"/>
      <c r="HYC60" s="608"/>
      <c r="HYD60" s="608"/>
      <c r="HYE60" s="608"/>
      <c r="HYF60" s="608"/>
      <c r="HYG60" s="608"/>
      <c r="HYH60" s="608"/>
      <c r="HYI60" s="608"/>
      <c r="HYJ60" s="608"/>
      <c r="HYK60" s="608"/>
      <c r="HYL60" s="608"/>
      <c r="HYM60" s="608"/>
      <c r="HYN60" s="608"/>
      <c r="HYO60" s="608"/>
      <c r="HYP60" s="608"/>
      <c r="HYQ60" s="608"/>
      <c r="HYR60" s="608"/>
      <c r="HYS60" s="608"/>
      <c r="HYT60" s="608"/>
      <c r="HYU60" s="608"/>
      <c r="HYV60" s="608"/>
      <c r="HYW60" s="608"/>
      <c r="HYX60" s="608"/>
      <c r="HYY60" s="608"/>
      <c r="HYZ60" s="608"/>
      <c r="HZA60" s="608"/>
      <c r="HZB60" s="608"/>
      <c r="HZC60" s="608"/>
      <c r="HZD60" s="608"/>
      <c r="HZE60" s="608"/>
      <c r="HZF60" s="608"/>
      <c r="HZG60" s="608"/>
      <c r="HZH60" s="608"/>
      <c r="HZI60" s="608"/>
      <c r="HZJ60" s="608"/>
      <c r="HZK60" s="608"/>
      <c r="HZL60" s="608"/>
      <c r="HZM60" s="608"/>
      <c r="HZN60" s="608"/>
      <c r="HZO60" s="608"/>
      <c r="HZP60" s="608"/>
      <c r="HZQ60" s="608"/>
      <c r="HZR60" s="608"/>
      <c r="HZS60" s="608"/>
      <c r="HZT60" s="608"/>
      <c r="HZU60" s="608"/>
      <c r="HZV60" s="608"/>
      <c r="HZW60" s="608"/>
      <c r="HZX60" s="608"/>
      <c r="HZY60" s="608"/>
      <c r="HZZ60" s="608"/>
      <c r="IAA60" s="608"/>
      <c r="IAB60" s="608"/>
      <c r="IAC60" s="608"/>
      <c r="IAD60" s="608"/>
      <c r="IAE60" s="608"/>
      <c r="IAF60" s="608"/>
      <c r="IAG60" s="608"/>
      <c r="IAH60" s="608"/>
      <c r="IAI60" s="608"/>
      <c r="IAJ60" s="608"/>
      <c r="IAK60" s="608"/>
      <c r="IAL60" s="608"/>
      <c r="IAM60" s="608"/>
      <c r="IAN60" s="608"/>
      <c r="IAO60" s="608"/>
      <c r="IAP60" s="608"/>
      <c r="IAQ60" s="608"/>
      <c r="IAR60" s="608"/>
      <c r="IAS60" s="608"/>
      <c r="IAT60" s="608"/>
      <c r="IAU60" s="608"/>
      <c r="IAV60" s="608"/>
      <c r="IAW60" s="608"/>
      <c r="IAX60" s="608"/>
      <c r="IAY60" s="608"/>
      <c r="IAZ60" s="608"/>
      <c r="IBA60" s="608"/>
      <c r="IBB60" s="608"/>
      <c r="IBC60" s="608"/>
      <c r="IBD60" s="608"/>
      <c r="IBE60" s="608"/>
      <c r="IBF60" s="608"/>
      <c r="IBG60" s="608"/>
      <c r="IBH60" s="608"/>
      <c r="IBI60" s="608"/>
      <c r="IBJ60" s="608"/>
      <c r="IBK60" s="608"/>
      <c r="IBL60" s="608"/>
      <c r="IBM60" s="608"/>
      <c r="IBN60" s="608"/>
      <c r="IBO60" s="608"/>
      <c r="IBP60" s="608"/>
      <c r="IBQ60" s="608"/>
      <c r="IBR60" s="608"/>
      <c r="IBS60" s="608"/>
      <c r="IBT60" s="608"/>
      <c r="IBU60" s="608"/>
      <c r="IBV60" s="608"/>
      <c r="IBW60" s="608"/>
      <c r="IBX60" s="608"/>
      <c r="IBY60" s="608"/>
      <c r="IBZ60" s="608"/>
      <c r="ICA60" s="608"/>
      <c r="ICB60" s="608"/>
      <c r="ICC60" s="608"/>
      <c r="ICD60" s="608"/>
      <c r="ICE60" s="608"/>
      <c r="ICF60" s="608"/>
      <c r="ICG60" s="608"/>
      <c r="ICH60" s="608"/>
      <c r="ICI60" s="608"/>
      <c r="ICJ60" s="608"/>
      <c r="ICK60" s="608"/>
      <c r="ICL60" s="608"/>
      <c r="ICM60" s="608"/>
      <c r="ICN60" s="608"/>
      <c r="ICO60" s="608"/>
      <c r="ICP60" s="608"/>
      <c r="ICQ60" s="608"/>
      <c r="ICR60" s="608"/>
      <c r="ICS60" s="608"/>
      <c r="ICT60" s="608"/>
      <c r="ICU60" s="608"/>
      <c r="ICV60" s="608"/>
      <c r="ICW60" s="608"/>
      <c r="ICX60" s="608"/>
      <c r="ICY60" s="608"/>
      <c r="ICZ60" s="608"/>
      <c r="IDA60" s="608"/>
      <c r="IDB60" s="608"/>
      <c r="IDC60" s="608"/>
      <c r="IDD60" s="608"/>
      <c r="IDE60" s="608"/>
      <c r="IDF60" s="608"/>
      <c r="IDG60" s="608"/>
      <c r="IDH60" s="608"/>
      <c r="IDI60" s="608"/>
      <c r="IDJ60" s="608"/>
      <c r="IDK60" s="608"/>
      <c r="IDL60" s="608"/>
      <c r="IDM60" s="608"/>
      <c r="IDN60" s="608"/>
      <c r="IDO60" s="608"/>
      <c r="IDP60" s="608"/>
      <c r="IDQ60" s="608"/>
      <c r="IDR60" s="608"/>
      <c r="IDS60" s="608"/>
      <c r="IDT60" s="608"/>
      <c r="IDU60" s="608"/>
      <c r="IDV60" s="608"/>
      <c r="IDW60" s="608"/>
      <c r="IDX60" s="608"/>
      <c r="IDY60" s="608"/>
      <c r="IDZ60" s="608"/>
      <c r="IEA60" s="608"/>
      <c r="IEB60" s="608"/>
      <c r="IEC60" s="608"/>
      <c r="IED60" s="608"/>
      <c r="IEE60" s="608"/>
      <c r="IEF60" s="608"/>
      <c r="IEG60" s="608"/>
      <c r="IEH60" s="608"/>
      <c r="IEI60" s="608"/>
      <c r="IEJ60" s="608"/>
      <c r="IEK60" s="608"/>
      <c r="IEL60" s="608"/>
      <c r="IEM60" s="608"/>
      <c r="IEN60" s="608"/>
      <c r="IEO60" s="608"/>
      <c r="IEP60" s="608"/>
      <c r="IEQ60" s="608"/>
      <c r="IER60" s="608"/>
      <c r="IES60" s="608"/>
      <c r="IET60" s="608"/>
      <c r="IEU60" s="608"/>
      <c r="IEV60" s="608"/>
      <c r="IEW60" s="608"/>
      <c r="IEX60" s="608"/>
      <c r="IEY60" s="608"/>
      <c r="IEZ60" s="608"/>
      <c r="IFA60" s="608"/>
      <c r="IFB60" s="608"/>
      <c r="IFC60" s="608"/>
      <c r="IFD60" s="608"/>
      <c r="IFE60" s="608"/>
      <c r="IFF60" s="608"/>
      <c r="IFG60" s="608"/>
      <c r="IFH60" s="608"/>
      <c r="IFI60" s="608"/>
      <c r="IFJ60" s="608"/>
      <c r="IFK60" s="608"/>
      <c r="IFL60" s="608"/>
      <c r="IFM60" s="608"/>
      <c r="IFN60" s="608"/>
      <c r="IFO60" s="608"/>
      <c r="IFP60" s="608"/>
      <c r="IFQ60" s="608"/>
      <c r="IFR60" s="608"/>
      <c r="IFS60" s="608"/>
      <c r="IFT60" s="608"/>
      <c r="IFU60" s="608"/>
      <c r="IFV60" s="608"/>
      <c r="IFW60" s="608"/>
      <c r="IFX60" s="608"/>
      <c r="IFY60" s="608"/>
      <c r="IFZ60" s="608"/>
      <c r="IGA60" s="608"/>
      <c r="IGB60" s="608"/>
      <c r="IGC60" s="608"/>
      <c r="IGD60" s="608"/>
      <c r="IGE60" s="608"/>
      <c r="IGF60" s="608"/>
      <c r="IGG60" s="608"/>
      <c r="IGH60" s="608"/>
      <c r="IGI60" s="608"/>
      <c r="IGJ60" s="608"/>
      <c r="IGK60" s="608"/>
      <c r="IGL60" s="608"/>
      <c r="IGM60" s="608"/>
      <c r="IGN60" s="608"/>
      <c r="IGO60" s="608"/>
      <c r="IGP60" s="608"/>
      <c r="IGQ60" s="608"/>
      <c r="IGR60" s="608"/>
      <c r="IGS60" s="608"/>
      <c r="IGT60" s="608"/>
      <c r="IGU60" s="608"/>
      <c r="IGV60" s="608"/>
      <c r="IGW60" s="608"/>
      <c r="IGX60" s="608"/>
      <c r="IGY60" s="608"/>
      <c r="IGZ60" s="608"/>
      <c r="IHA60" s="608"/>
      <c r="IHB60" s="608"/>
      <c r="IHC60" s="608"/>
      <c r="IHD60" s="608"/>
      <c r="IHE60" s="608"/>
      <c r="IHF60" s="608"/>
      <c r="IHG60" s="608"/>
      <c r="IHH60" s="608"/>
      <c r="IHI60" s="608"/>
      <c r="IHJ60" s="608"/>
      <c r="IHK60" s="608"/>
      <c r="IHL60" s="608"/>
      <c r="IHM60" s="608"/>
      <c r="IHN60" s="608"/>
      <c r="IHO60" s="608"/>
      <c r="IHP60" s="608"/>
      <c r="IHQ60" s="608"/>
      <c r="IHR60" s="608"/>
      <c r="IHS60" s="608"/>
      <c r="IHT60" s="608"/>
      <c r="IHU60" s="608"/>
      <c r="IHV60" s="608"/>
      <c r="IHW60" s="608"/>
      <c r="IHX60" s="608"/>
      <c r="IHY60" s="608"/>
      <c r="IHZ60" s="608"/>
      <c r="IIA60" s="608"/>
      <c r="IIB60" s="608"/>
      <c r="IIC60" s="608"/>
      <c r="IID60" s="608"/>
      <c r="IIE60" s="608"/>
      <c r="IIF60" s="608"/>
      <c r="IIG60" s="608"/>
      <c r="IIH60" s="608"/>
      <c r="III60" s="608"/>
      <c r="IIJ60" s="608"/>
      <c r="IIK60" s="608"/>
      <c r="IIL60" s="608"/>
      <c r="IIM60" s="608"/>
      <c r="IIN60" s="608"/>
      <c r="IIO60" s="608"/>
      <c r="IIP60" s="608"/>
      <c r="IIQ60" s="608"/>
      <c r="IIR60" s="608"/>
      <c r="IIS60" s="608"/>
      <c r="IIT60" s="608"/>
      <c r="IIU60" s="608"/>
      <c r="IIV60" s="608"/>
      <c r="IIW60" s="608"/>
      <c r="IIX60" s="608"/>
      <c r="IIY60" s="608"/>
      <c r="IIZ60" s="608"/>
      <c r="IJA60" s="608"/>
      <c r="IJB60" s="608"/>
      <c r="IJC60" s="608"/>
      <c r="IJD60" s="608"/>
      <c r="IJE60" s="608"/>
      <c r="IJF60" s="608"/>
      <c r="IJG60" s="608"/>
      <c r="IJH60" s="608"/>
      <c r="IJI60" s="608"/>
      <c r="IJJ60" s="608"/>
      <c r="IJK60" s="608"/>
      <c r="IJL60" s="608"/>
      <c r="IJM60" s="608"/>
      <c r="IJN60" s="608"/>
      <c r="IJO60" s="608"/>
      <c r="IJP60" s="608"/>
      <c r="IJQ60" s="608"/>
      <c r="IJR60" s="608"/>
      <c r="IJS60" s="608"/>
      <c r="IJT60" s="608"/>
      <c r="IJU60" s="608"/>
      <c r="IJV60" s="608"/>
      <c r="IJW60" s="608"/>
      <c r="IJX60" s="608"/>
      <c r="IJY60" s="608"/>
      <c r="IJZ60" s="608"/>
      <c r="IKA60" s="608"/>
      <c r="IKB60" s="608"/>
      <c r="IKC60" s="608"/>
      <c r="IKD60" s="608"/>
      <c r="IKE60" s="608"/>
      <c r="IKF60" s="608"/>
      <c r="IKG60" s="608"/>
      <c r="IKH60" s="608"/>
      <c r="IKI60" s="608"/>
      <c r="IKJ60" s="608"/>
      <c r="IKK60" s="608"/>
      <c r="IKL60" s="608"/>
      <c r="IKM60" s="608"/>
      <c r="IKN60" s="608"/>
      <c r="IKO60" s="608"/>
      <c r="IKP60" s="608"/>
      <c r="IKQ60" s="608"/>
      <c r="IKR60" s="608"/>
      <c r="IKS60" s="608"/>
      <c r="IKT60" s="608"/>
      <c r="IKU60" s="608"/>
      <c r="IKV60" s="608"/>
      <c r="IKW60" s="608"/>
      <c r="IKX60" s="608"/>
      <c r="IKY60" s="608"/>
      <c r="IKZ60" s="608"/>
      <c r="ILA60" s="608"/>
      <c r="ILB60" s="608"/>
      <c r="ILC60" s="608"/>
      <c r="ILD60" s="608"/>
      <c r="ILE60" s="608"/>
      <c r="ILF60" s="608"/>
      <c r="ILG60" s="608"/>
      <c r="ILH60" s="608"/>
      <c r="ILI60" s="608"/>
      <c r="ILJ60" s="608"/>
      <c r="ILK60" s="608"/>
      <c r="ILL60" s="608"/>
      <c r="ILM60" s="608"/>
      <c r="ILN60" s="608"/>
      <c r="ILO60" s="608"/>
      <c r="ILP60" s="608"/>
      <c r="ILQ60" s="608"/>
      <c r="ILR60" s="608"/>
      <c r="ILS60" s="608"/>
      <c r="ILT60" s="608"/>
      <c r="ILU60" s="608"/>
      <c r="ILV60" s="608"/>
      <c r="ILW60" s="608"/>
      <c r="ILX60" s="608"/>
      <c r="ILY60" s="608"/>
      <c r="ILZ60" s="608"/>
      <c r="IMA60" s="608"/>
      <c r="IMB60" s="608"/>
      <c r="IMC60" s="608"/>
      <c r="IMD60" s="608"/>
      <c r="IME60" s="608"/>
      <c r="IMF60" s="608"/>
      <c r="IMG60" s="608"/>
      <c r="IMH60" s="608"/>
      <c r="IMI60" s="608"/>
      <c r="IMJ60" s="608"/>
      <c r="IMK60" s="608"/>
      <c r="IML60" s="608"/>
      <c r="IMM60" s="608"/>
      <c r="IMN60" s="608"/>
      <c r="IMO60" s="608"/>
      <c r="IMP60" s="608"/>
      <c r="IMQ60" s="608"/>
      <c r="IMR60" s="608"/>
      <c r="IMS60" s="608"/>
      <c r="IMT60" s="608"/>
      <c r="IMU60" s="608"/>
      <c r="IMV60" s="608"/>
      <c r="IMW60" s="608"/>
      <c r="IMX60" s="608"/>
      <c r="IMY60" s="608"/>
      <c r="IMZ60" s="608"/>
      <c r="INA60" s="608"/>
      <c r="INB60" s="608"/>
      <c r="INC60" s="608"/>
      <c r="IND60" s="608"/>
      <c r="INE60" s="608"/>
      <c r="INF60" s="608"/>
      <c r="ING60" s="608"/>
      <c r="INH60" s="608"/>
      <c r="INI60" s="608"/>
      <c r="INJ60" s="608"/>
      <c r="INK60" s="608"/>
      <c r="INL60" s="608"/>
      <c r="INM60" s="608"/>
      <c r="INN60" s="608"/>
      <c r="INO60" s="608"/>
      <c r="INP60" s="608"/>
      <c r="INQ60" s="608"/>
      <c r="INR60" s="608"/>
      <c r="INS60" s="608"/>
      <c r="INT60" s="608"/>
      <c r="INU60" s="608"/>
      <c r="INV60" s="608"/>
      <c r="INW60" s="608"/>
      <c r="INX60" s="608"/>
      <c r="INY60" s="608"/>
      <c r="INZ60" s="608"/>
      <c r="IOA60" s="608"/>
      <c r="IOB60" s="608"/>
      <c r="IOC60" s="608"/>
      <c r="IOD60" s="608"/>
      <c r="IOE60" s="608"/>
      <c r="IOF60" s="608"/>
      <c r="IOG60" s="608"/>
      <c r="IOH60" s="608"/>
      <c r="IOI60" s="608"/>
      <c r="IOJ60" s="608"/>
      <c r="IOK60" s="608"/>
      <c r="IOL60" s="608"/>
      <c r="IOM60" s="608"/>
      <c r="ION60" s="608"/>
      <c r="IOO60" s="608"/>
      <c r="IOP60" s="608"/>
      <c r="IOQ60" s="608"/>
      <c r="IOR60" s="608"/>
      <c r="IOS60" s="608"/>
      <c r="IOT60" s="608"/>
      <c r="IOU60" s="608"/>
      <c r="IOV60" s="608"/>
      <c r="IOW60" s="608"/>
      <c r="IOX60" s="608"/>
      <c r="IOY60" s="608"/>
      <c r="IOZ60" s="608"/>
      <c r="IPA60" s="608"/>
      <c r="IPB60" s="608"/>
      <c r="IPC60" s="608"/>
      <c r="IPD60" s="608"/>
      <c r="IPE60" s="608"/>
      <c r="IPF60" s="608"/>
      <c r="IPG60" s="608"/>
      <c r="IPH60" s="608"/>
      <c r="IPI60" s="608"/>
      <c r="IPJ60" s="608"/>
      <c r="IPK60" s="608"/>
      <c r="IPL60" s="608"/>
      <c r="IPM60" s="608"/>
      <c r="IPN60" s="608"/>
      <c r="IPO60" s="608"/>
      <c r="IPP60" s="608"/>
      <c r="IPQ60" s="608"/>
      <c r="IPR60" s="608"/>
      <c r="IPS60" s="608"/>
      <c r="IPT60" s="608"/>
      <c r="IPU60" s="608"/>
      <c r="IPV60" s="608"/>
      <c r="IPW60" s="608"/>
      <c r="IPX60" s="608"/>
      <c r="IPY60" s="608"/>
      <c r="IPZ60" s="608"/>
      <c r="IQA60" s="608"/>
      <c r="IQB60" s="608"/>
      <c r="IQC60" s="608"/>
      <c r="IQD60" s="608"/>
      <c r="IQE60" s="608"/>
      <c r="IQF60" s="608"/>
      <c r="IQG60" s="608"/>
      <c r="IQH60" s="608"/>
      <c r="IQI60" s="608"/>
      <c r="IQJ60" s="608"/>
      <c r="IQK60" s="608"/>
      <c r="IQL60" s="608"/>
      <c r="IQM60" s="608"/>
      <c r="IQN60" s="608"/>
      <c r="IQO60" s="608"/>
      <c r="IQP60" s="608"/>
      <c r="IQQ60" s="608"/>
      <c r="IQR60" s="608"/>
      <c r="IQS60" s="608"/>
      <c r="IQT60" s="608"/>
      <c r="IQU60" s="608"/>
      <c r="IQV60" s="608"/>
      <c r="IQW60" s="608"/>
      <c r="IQX60" s="608"/>
      <c r="IQY60" s="608"/>
      <c r="IQZ60" s="608"/>
      <c r="IRA60" s="608"/>
      <c r="IRB60" s="608"/>
      <c r="IRC60" s="608"/>
      <c r="IRD60" s="608"/>
      <c r="IRE60" s="608"/>
      <c r="IRF60" s="608"/>
      <c r="IRG60" s="608"/>
      <c r="IRH60" s="608"/>
      <c r="IRI60" s="608"/>
      <c r="IRJ60" s="608"/>
      <c r="IRK60" s="608"/>
      <c r="IRL60" s="608"/>
      <c r="IRM60" s="608"/>
      <c r="IRN60" s="608"/>
      <c r="IRO60" s="608"/>
      <c r="IRP60" s="608"/>
      <c r="IRQ60" s="608"/>
      <c r="IRR60" s="608"/>
      <c r="IRS60" s="608"/>
      <c r="IRT60" s="608"/>
      <c r="IRU60" s="608"/>
      <c r="IRV60" s="608"/>
      <c r="IRW60" s="608"/>
      <c r="IRX60" s="608"/>
      <c r="IRY60" s="608"/>
      <c r="IRZ60" s="608"/>
      <c r="ISA60" s="608"/>
      <c r="ISB60" s="608"/>
      <c r="ISC60" s="608"/>
      <c r="ISD60" s="608"/>
      <c r="ISE60" s="608"/>
      <c r="ISF60" s="608"/>
      <c r="ISG60" s="608"/>
      <c r="ISH60" s="608"/>
      <c r="ISI60" s="608"/>
      <c r="ISJ60" s="608"/>
      <c r="ISK60" s="608"/>
      <c r="ISL60" s="608"/>
      <c r="ISM60" s="608"/>
      <c r="ISN60" s="608"/>
      <c r="ISO60" s="608"/>
      <c r="ISP60" s="608"/>
      <c r="ISQ60" s="608"/>
      <c r="ISR60" s="608"/>
      <c r="ISS60" s="608"/>
      <c r="IST60" s="608"/>
      <c r="ISU60" s="608"/>
      <c r="ISV60" s="608"/>
      <c r="ISW60" s="608"/>
      <c r="ISX60" s="608"/>
      <c r="ISY60" s="608"/>
      <c r="ISZ60" s="608"/>
      <c r="ITA60" s="608"/>
      <c r="ITB60" s="608"/>
      <c r="ITC60" s="608"/>
      <c r="ITD60" s="608"/>
      <c r="ITE60" s="608"/>
      <c r="ITF60" s="608"/>
      <c r="ITG60" s="608"/>
      <c r="ITH60" s="608"/>
      <c r="ITI60" s="608"/>
      <c r="ITJ60" s="608"/>
      <c r="ITK60" s="608"/>
      <c r="ITL60" s="608"/>
      <c r="ITM60" s="608"/>
      <c r="ITN60" s="608"/>
      <c r="ITO60" s="608"/>
      <c r="ITP60" s="608"/>
      <c r="ITQ60" s="608"/>
      <c r="ITR60" s="608"/>
      <c r="ITS60" s="608"/>
      <c r="ITT60" s="608"/>
      <c r="ITU60" s="608"/>
      <c r="ITV60" s="608"/>
      <c r="ITW60" s="608"/>
      <c r="ITX60" s="608"/>
      <c r="ITY60" s="608"/>
      <c r="ITZ60" s="608"/>
      <c r="IUA60" s="608"/>
      <c r="IUB60" s="608"/>
      <c r="IUC60" s="608"/>
      <c r="IUD60" s="608"/>
      <c r="IUE60" s="608"/>
      <c r="IUF60" s="608"/>
      <c r="IUG60" s="608"/>
      <c r="IUH60" s="608"/>
      <c r="IUI60" s="608"/>
      <c r="IUJ60" s="608"/>
      <c r="IUK60" s="608"/>
      <c r="IUL60" s="608"/>
      <c r="IUM60" s="608"/>
      <c r="IUN60" s="608"/>
      <c r="IUO60" s="608"/>
      <c r="IUP60" s="608"/>
      <c r="IUQ60" s="608"/>
      <c r="IUR60" s="608"/>
      <c r="IUS60" s="608"/>
      <c r="IUT60" s="608"/>
      <c r="IUU60" s="608"/>
      <c r="IUV60" s="608"/>
      <c r="IUW60" s="608"/>
      <c r="IUX60" s="608"/>
      <c r="IUY60" s="608"/>
      <c r="IUZ60" s="608"/>
      <c r="IVA60" s="608"/>
      <c r="IVB60" s="608"/>
      <c r="IVC60" s="608"/>
      <c r="IVD60" s="608"/>
      <c r="IVE60" s="608"/>
      <c r="IVF60" s="608"/>
      <c r="IVG60" s="608"/>
      <c r="IVH60" s="608"/>
      <c r="IVI60" s="608"/>
      <c r="IVJ60" s="608"/>
      <c r="IVK60" s="608"/>
      <c r="IVL60" s="608"/>
      <c r="IVM60" s="608"/>
      <c r="IVN60" s="608"/>
      <c r="IVO60" s="608"/>
      <c r="IVP60" s="608"/>
      <c r="IVQ60" s="608"/>
      <c r="IVR60" s="608"/>
      <c r="IVS60" s="608"/>
      <c r="IVT60" s="608"/>
      <c r="IVU60" s="608"/>
      <c r="IVV60" s="608"/>
      <c r="IVW60" s="608"/>
      <c r="IVX60" s="608"/>
      <c r="IVY60" s="608"/>
      <c r="IVZ60" s="608"/>
      <c r="IWA60" s="608"/>
      <c r="IWB60" s="608"/>
      <c r="IWC60" s="608"/>
      <c r="IWD60" s="608"/>
      <c r="IWE60" s="608"/>
      <c r="IWF60" s="608"/>
      <c r="IWG60" s="608"/>
      <c r="IWH60" s="608"/>
      <c r="IWI60" s="608"/>
      <c r="IWJ60" s="608"/>
      <c r="IWK60" s="608"/>
      <c r="IWL60" s="608"/>
      <c r="IWM60" s="608"/>
      <c r="IWN60" s="608"/>
      <c r="IWO60" s="608"/>
      <c r="IWP60" s="608"/>
      <c r="IWQ60" s="608"/>
      <c r="IWR60" s="608"/>
      <c r="IWS60" s="608"/>
      <c r="IWT60" s="608"/>
      <c r="IWU60" s="608"/>
      <c r="IWV60" s="608"/>
      <c r="IWW60" s="608"/>
      <c r="IWX60" s="608"/>
      <c r="IWY60" s="608"/>
      <c r="IWZ60" s="608"/>
      <c r="IXA60" s="608"/>
      <c r="IXB60" s="608"/>
      <c r="IXC60" s="608"/>
      <c r="IXD60" s="608"/>
      <c r="IXE60" s="608"/>
      <c r="IXF60" s="608"/>
      <c r="IXG60" s="608"/>
      <c r="IXH60" s="608"/>
      <c r="IXI60" s="608"/>
      <c r="IXJ60" s="608"/>
      <c r="IXK60" s="608"/>
      <c r="IXL60" s="608"/>
      <c r="IXM60" s="608"/>
      <c r="IXN60" s="608"/>
      <c r="IXO60" s="608"/>
      <c r="IXP60" s="608"/>
      <c r="IXQ60" s="608"/>
      <c r="IXR60" s="608"/>
      <c r="IXS60" s="608"/>
      <c r="IXT60" s="608"/>
      <c r="IXU60" s="608"/>
      <c r="IXV60" s="608"/>
      <c r="IXW60" s="608"/>
      <c r="IXX60" s="608"/>
      <c r="IXY60" s="608"/>
      <c r="IXZ60" s="608"/>
      <c r="IYA60" s="608"/>
      <c r="IYB60" s="608"/>
      <c r="IYC60" s="608"/>
      <c r="IYD60" s="608"/>
      <c r="IYE60" s="608"/>
      <c r="IYF60" s="608"/>
      <c r="IYG60" s="608"/>
      <c r="IYH60" s="608"/>
      <c r="IYI60" s="608"/>
      <c r="IYJ60" s="608"/>
      <c r="IYK60" s="608"/>
      <c r="IYL60" s="608"/>
      <c r="IYM60" s="608"/>
      <c r="IYN60" s="608"/>
      <c r="IYO60" s="608"/>
      <c r="IYP60" s="608"/>
      <c r="IYQ60" s="608"/>
      <c r="IYR60" s="608"/>
      <c r="IYS60" s="608"/>
      <c r="IYT60" s="608"/>
      <c r="IYU60" s="608"/>
      <c r="IYV60" s="608"/>
      <c r="IYW60" s="608"/>
      <c r="IYX60" s="608"/>
      <c r="IYY60" s="608"/>
      <c r="IYZ60" s="608"/>
      <c r="IZA60" s="608"/>
      <c r="IZB60" s="608"/>
      <c r="IZC60" s="608"/>
      <c r="IZD60" s="608"/>
      <c r="IZE60" s="608"/>
      <c r="IZF60" s="608"/>
      <c r="IZG60" s="608"/>
      <c r="IZH60" s="608"/>
      <c r="IZI60" s="608"/>
      <c r="IZJ60" s="608"/>
      <c r="IZK60" s="608"/>
      <c r="IZL60" s="608"/>
      <c r="IZM60" s="608"/>
      <c r="IZN60" s="608"/>
      <c r="IZO60" s="608"/>
      <c r="IZP60" s="608"/>
      <c r="IZQ60" s="608"/>
      <c r="IZR60" s="608"/>
      <c r="IZS60" s="608"/>
      <c r="IZT60" s="608"/>
      <c r="IZU60" s="608"/>
      <c r="IZV60" s="608"/>
      <c r="IZW60" s="608"/>
      <c r="IZX60" s="608"/>
      <c r="IZY60" s="608"/>
      <c r="IZZ60" s="608"/>
      <c r="JAA60" s="608"/>
      <c r="JAB60" s="608"/>
      <c r="JAC60" s="608"/>
      <c r="JAD60" s="608"/>
      <c r="JAE60" s="608"/>
      <c r="JAF60" s="608"/>
      <c r="JAG60" s="608"/>
      <c r="JAH60" s="608"/>
      <c r="JAI60" s="608"/>
      <c r="JAJ60" s="608"/>
      <c r="JAK60" s="608"/>
      <c r="JAL60" s="608"/>
      <c r="JAM60" s="608"/>
      <c r="JAN60" s="608"/>
      <c r="JAO60" s="608"/>
      <c r="JAP60" s="608"/>
      <c r="JAQ60" s="608"/>
      <c r="JAR60" s="608"/>
      <c r="JAS60" s="608"/>
      <c r="JAT60" s="608"/>
      <c r="JAU60" s="608"/>
      <c r="JAV60" s="608"/>
      <c r="JAW60" s="608"/>
      <c r="JAX60" s="608"/>
      <c r="JAY60" s="608"/>
      <c r="JAZ60" s="608"/>
      <c r="JBA60" s="608"/>
      <c r="JBB60" s="608"/>
      <c r="JBC60" s="608"/>
      <c r="JBD60" s="608"/>
      <c r="JBE60" s="608"/>
      <c r="JBF60" s="608"/>
      <c r="JBG60" s="608"/>
      <c r="JBH60" s="608"/>
      <c r="JBI60" s="608"/>
      <c r="JBJ60" s="608"/>
      <c r="JBK60" s="608"/>
      <c r="JBL60" s="608"/>
      <c r="JBM60" s="608"/>
      <c r="JBN60" s="608"/>
      <c r="JBO60" s="608"/>
      <c r="JBP60" s="608"/>
      <c r="JBQ60" s="608"/>
      <c r="JBR60" s="608"/>
      <c r="JBS60" s="608"/>
      <c r="JBT60" s="608"/>
      <c r="JBU60" s="608"/>
      <c r="JBV60" s="608"/>
      <c r="JBW60" s="608"/>
      <c r="JBX60" s="608"/>
      <c r="JBY60" s="608"/>
      <c r="JBZ60" s="608"/>
      <c r="JCA60" s="608"/>
      <c r="JCB60" s="608"/>
      <c r="JCC60" s="608"/>
      <c r="JCD60" s="608"/>
      <c r="JCE60" s="608"/>
      <c r="JCF60" s="608"/>
      <c r="JCG60" s="608"/>
      <c r="JCH60" s="608"/>
      <c r="JCI60" s="608"/>
      <c r="JCJ60" s="608"/>
      <c r="JCK60" s="608"/>
      <c r="JCL60" s="608"/>
      <c r="JCM60" s="608"/>
      <c r="JCN60" s="608"/>
      <c r="JCO60" s="608"/>
      <c r="JCP60" s="608"/>
      <c r="JCQ60" s="608"/>
      <c r="JCR60" s="608"/>
      <c r="JCS60" s="608"/>
      <c r="JCT60" s="608"/>
      <c r="JCU60" s="608"/>
      <c r="JCV60" s="608"/>
      <c r="JCW60" s="608"/>
      <c r="JCX60" s="608"/>
      <c r="JCY60" s="608"/>
      <c r="JCZ60" s="608"/>
      <c r="JDA60" s="608"/>
      <c r="JDB60" s="608"/>
      <c r="JDC60" s="608"/>
      <c r="JDD60" s="608"/>
      <c r="JDE60" s="608"/>
      <c r="JDF60" s="608"/>
      <c r="JDG60" s="608"/>
      <c r="JDH60" s="608"/>
      <c r="JDI60" s="608"/>
      <c r="JDJ60" s="608"/>
      <c r="JDK60" s="608"/>
      <c r="JDL60" s="608"/>
      <c r="JDM60" s="608"/>
      <c r="JDN60" s="608"/>
      <c r="JDO60" s="608"/>
      <c r="JDP60" s="608"/>
      <c r="JDQ60" s="608"/>
      <c r="JDR60" s="608"/>
      <c r="JDS60" s="608"/>
      <c r="JDT60" s="608"/>
      <c r="JDU60" s="608"/>
      <c r="JDV60" s="608"/>
      <c r="JDW60" s="608"/>
      <c r="JDX60" s="608"/>
      <c r="JDY60" s="608"/>
      <c r="JDZ60" s="608"/>
      <c r="JEA60" s="608"/>
      <c r="JEB60" s="608"/>
      <c r="JEC60" s="608"/>
      <c r="JED60" s="608"/>
      <c r="JEE60" s="608"/>
      <c r="JEF60" s="608"/>
      <c r="JEG60" s="608"/>
      <c r="JEH60" s="608"/>
      <c r="JEI60" s="608"/>
      <c r="JEJ60" s="608"/>
      <c r="JEK60" s="608"/>
      <c r="JEL60" s="608"/>
      <c r="JEM60" s="608"/>
      <c r="JEN60" s="608"/>
      <c r="JEO60" s="608"/>
      <c r="JEP60" s="608"/>
      <c r="JEQ60" s="608"/>
      <c r="JER60" s="608"/>
      <c r="JES60" s="608"/>
      <c r="JET60" s="608"/>
      <c r="JEU60" s="608"/>
      <c r="JEV60" s="608"/>
      <c r="JEW60" s="608"/>
      <c r="JEX60" s="608"/>
      <c r="JEY60" s="608"/>
      <c r="JEZ60" s="608"/>
      <c r="JFA60" s="608"/>
      <c r="JFB60" s="608"/>
      <c r="JFC60" s="608"/>
      <c r="JFD60" s="608"/>
      <c r="JFE60" s="608"/>
      <c r="JFF60" s="608"/>
      <c r="JFG60" s="608"/>
      <c r="JFH60" s="608"/>
      <c r="JFI60" s="608"/>
      <c r="JFJ60" s="608"/>
      <c r="JFK60" s="608"/>
      <c r="JFL60" s="608"/>
      <c r="JFM60" s="608"/>
      <c r="JFN60" s="608"/>
      <c r="JFO60" s="608"/>
      <c r="JFP60" s="608"/>
      <c r="JFQ60" s="608"/>
      <c r="JFR60" s="608"/>
      <c r="JFS60" s="608"/>
      <c r="JFT60" s="608"/>
      <c r="JFU60" s="608"/>
      <c r="JFV60" s="608"/>
      <c r="JFW60" s="608"/>
      <c r="JFX60" s="608"/>
      <c r="JFY60" s="608"/>
      <c r="JFZ60" s="608"/>
      <c r="JGA60" s="608"/>
      <c r="JGB60" s="608"/>
      <c r="JGC60" s="608"/>
      <c r="JGD60" s="608"/>
      <c r="JGE60" s="608"/>
      <c r="JGF60" s="608"/>
      <c r="JGG60" s="608"/>
      <c r="JGH60" s="608"/>
      <c r="JGI60" s="608"/>
      <c r="JGJ60" s="608"/>
      <c r="JGK60" s="608"/>
      <c r="JGL60" s="608"/>
      <c r="JGM60" s="608"/>
      <c r="JGN60" s="608"/>
      <c r="JGO60" s="608"/>
      <c r="JGP60" s="608"/>
      <c r="JGQ60" s="608"/>
      <c r="JGR60" s="608"/>
      <c r="JGS60" s="608"/>
      <c r="JGT60" s="608"/>
      <c r="JGU60" s="608"/>
      <c r="JGV60" s="608"/>
      <c r="JGW60" s="608"/>
      <c r="JGX60" s="608"/>
      <c r="JGY60" s="608"/>
      <c r="JGZ60" s="608"/>
      <c r="JHA60" s="608"/>
      <c r="JHB60" s="608"/>
      <c r="JHC60" s="608"/>
      <c r="JHD60" s="608"/>
      <c r="JHE60" s="608"/>
      <c r="JHF60" s="608"/>
      <c r="JHG60" s="608"/>
      <c r="JHH60" s="608"/>
      <c r="JHI60" s="608"/>
      <c r="JHJ60" s="608"/>
      <c r="JHK60" s="608"/>
      <c r="JHL60" s="608"/>
      <c r="JHM60" s="608"/>
      <c r="JHN60" s="608"/>
      <c r="JHO60" s="608"/>
      <c r="JHP60" s="608"/>
      <c r="JHQ60" s="608"/>
      <c r="JHR60" s="608"/>
      <c r="JHS60" s="608"/>
      <c r="JHT60" s="608"/>
      <c r="JHU60" s="608"/>
      <c r="JHV60" s="608"/>
      <c r="JHW60" s="608"/>
      <c r="JHX60" s="608"/>
      <c r="JHY60" s="608"/>
      <c r="JHZ60" s="608"/>
      <c r="JIA60" s="608"/>
      <c r="JIB60" s="608"/>
      <c r="JIC60" s="608"/>
      <c r="JID60" s="608"/>
      <c r="JIE60" s="608"/>
      <c r="JIF60" s="608"/>
      <c r="JIG60" s="608"/>
      <c r="JIH60" s="608"/>
      <c r="JII60" s="608"/>
      <c r="JIJ60" s="608"/>
      <c r="JIK60" s="608"/>
      <c r="JIL60" s="608"/>
      <c r="JIM60" s="608"/>
      <c r="JIN60" s="608"/>
      <c r="JIO60" s="608"/>
      <c r="JIP60" s="608"/>
      <c r="JIQ60" s="608"/>
      <c r="JIR60" s="608"/>
      <c r="JIS60" s="608"/>
      <c r="JIT60" s="608"/>
      <c r="JIU60" s="608"/>
      <c r="JIV60" s="608"/>
      <c r="JIW60" s="608"/>
      <c r="JIX60" s="608"/>
      <c r="JIY60" s="608"/>
      <c r="JIZ60" s="608"/>
      <c r="JJA60" s="608"/>
      <c r="JJB60" s="608"/>
      <c r="JJC60" s="608"/>
      <c r="JJD60" s="608"/>
      <c r="JJE60" s="608"/>
      <c r="JJF60" s="608"/>
      <c r="JJG60" s="608"/>
      <c r="JJH60" s="608"/>
      <c r="JJI60" s="608"/>
      <c r="JJJ60" s="608"/>
      <c r="JJK60" s="608"/>
      <c r="JJL60" s="608"/>
      <c r="JJM60" s="608"/>
      <c r="JJN60" s="608"/>
      <c r="JJO60" s="608"/>
      <c r="JJP60" s="608"/>
      <c r="JJQ60" s="608"/>
      <c r="JJR60" s="608"/>
      <c r="JJS60" s="608"/>
      <c r="JJT60" s="608"/>
      <c r="JJU60" s="608"/>
      <c r="JJV60" s="608"/>
      <c r="JJW60" s="608"/>
      <c r="JJX60" s="608"/>
      <c r="JJY60" s="608"/>
      <c r="JJZ60" s="608"/>
      <c r="JKA60" s="608"/>
      <c r="JKB60" s="608"/>
      <c r="JKC60" s="608"/>
      <c r="JKD60" s="608"/>
      <c r="JKE60" s="608"/>
      <c r="JKF60" s="608"/>
      <c r="JKG60" s="608"/>
      <c r="JKH60" s="608"/>
      <c r="JKI60" s="608"/>
      <c r="JKJ60" s="608"/>
      <c r="JKK60" s="608"/>
      <c r="JKL60" s="608"/>
      <c r="JKM60" s="608"/>
      <c r="JKN60" s="608"/>
      <c r="JKO60" s="608"/>
      <c r="JKP60" s="608"/>
      <c r="JKQ60" s="608"/>
      <c r="JKR60" s="608"/>
      <c r="JKS60" s="608"/>
      <c r="JKT60" s="608"/>
      <c r="JKU60" s="608"/>
      <c r="JKV60" s="608"/>
      <c r="JKW60" s="608"/>
      <c r="JKX60" s="608"/>
      <c r="JKY60" s="608"/>
      <c r="JKZ60" s="608"/>
      <c r="JLA60" s="608"/>
      <c r="JLB60" s="608"/>
      <c r="JLC60" s="608"/>
      <c r="JLD60" s="608"/>
      <c r="JLE60" s="608"/>
      <c r="JLF60" s="608"/>
      <c r="JLG60" s="608"/>
      <c r="JLH60" s="608"/>
      <c r="JLI60" s="608"/>
      <c r="JLJ60" s="608"/>
      <c r="JLK60" s="608"/>
      <c r="JLL60" s="608"/>
      <c r="JLM60" s="608"/>
      <c r="JLN60" s="608"/>
      <c r="JLO60" s="608"/>
      <c r="JLP60" s="608"/>
      <c r="JLQ60" s="608"/>
      <c r="JLR60" s="608"/>
      <c r="JLS60" s="608"/>
      <c r="JLT60" s="608"/>
      <c r="JLU60" s="608"/>
      <c r="JLV60" s="608"/>
      <c r="JLW60" s="608"/>
      <c r="JLX60" s="608"/>
      <c r="JLY60" s="608"/>
      <c r="JLZ60" s="608"/>
      <c r="JMA60" s="608"/>
      <c r="JMB60" s="608"/>
      <c r="JMC60" s="608"/>
      <c r="JMD60" s="608"/>
      <c r="JME60" s="608"/>
      <c r="JMF60" s="608"/>
      <c r="JMG60" s="608"/>
      <c r="JMH60" s="608"/>
      <c r="JMI60" s="608"/>
      <c r="JMJ60" s="608"/>
      <c r="JMK60" s="608"/>
      <c r="JML60" s="608"/>
      <c r="JMM60" s="608"/>
      <c r="JMN60" s="608"/>
      <c r="JMO60" s="608"/>
      <c r="JMP60" s="608"/>
      <c r="JMQ60" s="608"/>
      <c r="JMR60" s="608"/>
      <c r="JMS60" s="608"/>
      <c r="JMT60" s="608"/>
      <c r="JMU60" s="608"/>
      <c r="JMV60" s="608"/>
      <c r="JMW60" s="608"/>
      <c r="JMX60" s="608"/>
      <c r="JMY60" s="608"/>
      <c r="JMZ60" s="608"/>
      <c r="JNA60" s="608"/>
      <c r="JNB60" s="608"/>
      <c r="JNC60" s="608"/>
      <c r="JND60" s="608"/>
      <c r="JNE60" s="608"/>
      <c r="JNF60" s="608"/>
      <c r="JNG60" s="608"/>
      <c r="JNH60" s="608"/>
      <c r="JNI60" s="608"/>
      <c r="JNJ60" s="608"/>
      <c r="JNK60" s="608"/>
      <c r="JNL60" s="608"/>
      <c r="JNM60" s="608"/>
      <c r="JNN60" s="608"/>
      <c r="JNO60" s="608"/>
      <c r="JNP60" s="608"/>
      <c r="JNQ60" s="608"/>
      <c r="JNR60" s="608"/>
      <c r="JNS60" s="608"/>
      <c r="JNT60" s="608"/>
      <c r="JNU60" s="608"/>
      <c r="JNV60" s="608"/>
      <c r="JNW60" s="608"/>
      <c r="JNX60" s="608"/>
      <c r="JNY60" s="608"/>
      <c r="JNZ60" s="608"/>
      <c r="JOA60" s="608"/>
      <c r="JOB60" s="608"/>
      <c r="JOC60" s="608"/>
      <c r="JOD60" s="608"/>
      <c r="JOE60" s="608"/>
      <c r="JOF60" s="608"/>
      <c r="JOG60" s="608"/>
      <c r="JOH60" s="608"/>
      <c r="JOI60" s="608"/>
      <c r="JOJ60" s="608"/>
      <c r="JOK60" s="608"/>
      <c r="JOL60" s="608"/>
      <c r="JOM60" s="608"/>
      <c r="JON60" s="608"/>
      <c r="JOO60" s="608"/>
      <c r="JOP60" s="608"/>
      <c r="JOQ60" s="608"/>
      <c r="JOR60" s="608"/>
      <c r="JOS60" s="608"/>
      <c r="JOT60" s="608"/>
      <c r="JOU60" s="608"/>
      <c r="JOV60" s="608"/>
      <c r="JOW60" s="608"/>
      <c r="JOX60" s="608"/>
      <c r="JOY60" s="608"/>
      <c r="JOZ60" s="608"/>
      <c r="JPA60" s="608"/>
      <c r="JPB60" s="608"/>
      <c r="JPC60" s="608"/>
      <c r="JPD60" s="608"/>
      <c r="JPE60" s="608"/>
      <c r="JPF60" s="608"/>
      <c r="JPG60" s="608"/>
      <c r="JPH60" s="608"/>
      <c r="JPI60" s="608"/>
      <c r="JPJ60" s="608"/>
      <c r="JPK60" s="608"/>
      <c r="JPL60" s="608"/>
      <c r="JPM60" s="608"/>
      <c r="JPN60" s="608"/>
      <c r="JPO60" s="608"/>
      <c r="JPP60" s="608"/>
      <c r="JPQ60" s="608"/>
      <c r="JPR60" s="608"/>
      <c r="JPS60" s="608"/>
      <c r="JPT60" s="608"/>
      <c r="JPU60" s="608"/>
      <c r="JPV60" s="608"/>
      <c r="JPW60" s="608"/>
      <c r="JPX60" s="608"/>
      <c r="JPY60" s="608"/>
      <c r="JPZ60" s="608"/>
      <c r="JQA60" s="608"/>
      <c r="JQB60" s="608"/>
      <c r="JQC60" s="608"/>
      <c r="JQD60" s="608"/>
      <c r="JQE60" s="608"/>
      <c r="JQF60" s="608"/>
      <c r="JQG60" s="608"/>
      <c r="JQH60" s="608"/>
      <c r="JQI60" s="608"/>
      <c r="JQJ60" s="608"/>
      <c r="JQK60" s="608"/>
      <c r="JQL60" s="608"/>
      <c r="JQM60" s="608"/>
      <c r="JQN60" s="608"/>
      <c r="JQO60" s="608"/>
      <c r="JQP60" s="608"/>
      <c r="JQQ60" s="608"/>
      <c r="JQR60" s="608"/>
      <c r="JQS60" s="608"/>
      <c r="JQT60" s="608"/>
      <c r="JQU60" s="608"/>
      <c r="JQV60" s="608"/>
      <c r="JQW60" s="608"/>
      <c r="JQX60" s="608"/>
      <c r="JQY60" s="608"/>
      <c r="JQZ60" s="608"/>
      <c r="JRA60" s="608"/>
      <c r="JRB60" s="608"/>
      <c r="JRC60" s="608"/>
      <c r="JRD60" s="608"/>
      <c r="JRE60" s="608"/>
      <c r="JRF60" s="608"/>
      <c r="JRG60" s="608"/>
      <c r="JRH60" s="608"/>
      <c r="JRI60" s="608"/>
      <c r="JRJ60" s="608"/>
      <c r="JRK60" s="608"/>
      <c r="JRL60" s="608"/>
      <c r="JRM60" s="608"/>
      <c r="JRN60" s="608"/>
      <c r="JRO60" s="608"/>
      <c r="JRP60" s="608"/>
      <c r="JRQ60" s="608"/>
      <c r="JRR60" s="608"/>
      <c r="JRS60" s="608"/>
      <c r="JRT60" s="608"/>
      <c r="JRU60" s="608"/>
      <c r="JRV60" s="608"/>
      <c r="JRW60" s="608"/>
      <c r="JRX60" s="608"/>
      <c r="JRY60" s="608"/>
      <c r="JRZ60" s="608"/>
      <c r="JSA60" s="608"/>
      <c r="JSB60" s="608"/>
      <c r="JSC60" s="608"/>
      <c r="JSD60" s="608"/>
      <c r="JSE60" s="608"/>
      <c r="JSF60" s="608"/>
      <c r="JSG60" s="608"/>
      <c r="JSH60" s="608"/>
      <c r="JSI60" s="608"/>
      <c r="JSJ60" s="608"/>
      <c r="JSK60" s="608"/>
      <c r="JSL60" s="608"/>
      <c r="JSM60" s="608"/>
      <c r="JSN60" s="608"/>
      <c r="JSO60" s="608"/>
      <c r="JSP60" s="608"/>
      <c r="JSQ60" s="608"/>
      <c r="JSR60" s="608"/>
      <c r="JSS60" s="608"/>
      <c r="JST60" s="608"/>
      <c r="JSU60" s="608"/>
      <c r="JSV60" s="608"/>
      <c r="JSW60" s="608"/>
      <c r="JSX60" s="608"/>
      <c r="JSY60" s="608"/>
      <c r="JSZ60" s="608"/>
      <c r="JTA60" s="608"/>
      <c r="JTB60" s="608"/>
      <c r="JTC60" s="608"/>
      <c r="JTD60" s="608"/>
      <c r="JTE60" s="608"/>
      <c r="JTF60" s="608"/>
      <c r="JTG60" s="608"/>
      <c r="JTH60" s="608"/>
      <c r="JTI60" s="608"/>
      <c r="JTJ60" s="608"/>
      <c r="JTK60" s="608"/>
      <c r="JTL60" s="608"/>
      <c r="JTM60" s="608"/>
      <c r="JTN60" s="608"/>
      <c r="JTO60" s="608"/>
      <c r="JTP60" s="608"/>
      <c r="JTQ60" s="608"/>
      <c r="JTR60" s="608"/>
      <c r="JTS60" s="608"/>
      <c r="JTT60" s="608"/>
      <c r="JTU60" s="608"/>
      <c r="JTV60" s="608"/>
      <c r="JTW60" s="608"/>
      <c r="JTX60" s="608"/>
      <c r="JTY60" s="608"/>
      <c r="JTZ60" s="608"/>
      <c r="JUA60" s="608"/>
      <c r="JUB60" s="608"/>
      <c r="JUC60" s="608"/>
      <c r="JUD60" s="608"/>
      <c r="JUE60" s="608"/>
      <c r="JUF60" s="608"/>
      <c r="JUG60" s="608"/>
      <c r="JUH60" s="608"/>
      <c r="JUI60" s="608"/>
      <c r="JUJ60" s="608"/>
      <c r="JUK60" s="608"/>
      <c r="JUL60" s="608"/>
      <c r="JUM60" s="608"/>
      <c r="JUN60" s="608"/>
      <c r="JUO60" s="608"/>
      <c r="JUP60" s="608"/>
      <c r="JUQ60" s="608"/>
      <c r="JUR60" s="608"/>
      <c r="JUS60" s="608"/>
      <c r="JUT60" s="608"/>
      <c r="JUU60" s="608"/>
      <c r="JUV60" s="608"/>
      <c r="JUW60" s="608"/>
      <c r="JUX60" s="608"/>
      <c r="JUY60" s="608"/>
      <c r="JUZ60" s="608"/>
      <c r="JVA60" s="608"/>
      <c r="JVB60" s="608"/>
      <c r="JVC60" s="608"/>
      <c r="JVD60" s="608"/>
      <c r="JVE60" s="608"/>
      <c r="JVF60" s="608"/>
      <c r="JVG60" s="608"/>
      <c r="JVH60" s="608"/>
      <c r="JVI60" s="608"/>
      <c r="JVJ60" s="608"/>
      <c r="JVK60" s="608"/>
      <c r="JVL60" s="608"/>
      <c r="JVM60" s="608"/>
      <c r="JVN60" s="608"/>
      <c r="JVO60" s="608"/>
      <c r="JVP60" s="608"/>
      <c r="JVQ60" s="608"/>
      <c r="JVR60" s="608"/>
      <c r="JVS60" s="608"/>
      <c r="JVT60" s="608"/>
      <c r="JVU60" s="608"/>
      <c r="JVV60" s="608"/>
      <c r="JVW60" s="608"/>
      <c r="JVX60" s="608"/>
      <c r="JVY60" s="608"/>
      <c r="JVZ60" s="608"/>
      <c r="JWA60" s="608"/>
      <c r="JWB60" s="608"/>
      <c r="JWC60" s="608"/>
      <c r="JWD60" s="608"/>
      <c r="JWE60" s="608"/>
      <c r="JWF60" s="608"/>
      <c r="JWG60" s="608"/>
      <c r="JWH60" s="608"/>
      <c r="JWI60" s="608"/>
      <c r="JWJ60" s="608"/>
      <c r="JWK60" s="608"/>
      <c r="JWL60" s="608"/>
      <c r="JWM60" s="608"/>
      <c r="JWN60" s="608"/>
      <c r="JWO60" s="608"/>
      <c r="JWP60" s="608"/>
      <c r="JWQ60" s="608"/>
      <c r="JWR60" s="608"/>
      <c r="JWS60" s="608"/>
      <c r="JWT60" s="608"/>
      <c r="JWU60" s="608"/>
      <c r="JWV60" s="608"/>
      <c r="JWW60" s="608"/>
      <c r="JWX60" s="608"/>
      <c r="JWY60" s="608"/>
      <c r="JWZ60" s="608"/>
      <c r="JXA60" s="608"/>
      <c r="JXB60" s="608"/>
      <c r="JXC60" s="608"/>
      <c r="JXD60" s="608"/>
      <c r="JXE60" s="608"/>
      <c r="JXF60" s="608"/>
      <c r="JXG60" s="608"/>
      <c r="JXH60" s="608"/>
      <c r="JXI60" s="608"/>
      <c r="JXJ60" s="608"/>
      <c r="JXK60" s="608"/>
      <c r="JXL60" s="608"/>
      <c r="JXM60" s="608"/>
      <c r="JXN60" s="608"/>
      <c r="JXO60" s="608"/>
      <c r="JXP60" s="608"/>
      <c r="JXQ60" s="608"/>
      <c r="JXR60" s="608"/>
      <c r="JXS60" s="608"/>
      <c r="JXT60" s="608"/>
      <c r="JXU60" s="608"/>
      <c r="JXV60" s="608"/>
      <c r="JXW60" s="608"/>
      <c r="JXX60" s="608"/>
      <c r="JXY60" s="608"/>
      <c r="JXZ60" s="608"/>
      <c r="JYA60" s="608"/>
      <c r="JYB60" s="608"/>
      <c r="JYC60" s="608"/>
      <c r="JYD60" s="608"/>
      <c r="JYE60" s="608"/>
      <c r="JYF60" s="608"/>
      <c r="JYG60" s="608"/>
      <c r="JYH60" s="608"/>
      <c r="JYI60" s="608"/>
      <c r="JYJ60" s="608"/>
      <c r="JYK60" s="608"/>
      <c r="JYL60" s="608"/>
      <c r="JYM60" s="608"/>
      <c r="JYN60" s="608"/>
      <c r="JYO60" s="608"/>
      <c r="JYP60" s="608"/>
      <c r="JYQ60" s="608"/>
      <c r="JYR60" s="608"/>
      <c r="JYS60" s="608"/>
      <c r="JYT60" s="608"/>
      <c r="JYU60" s="608"/>
      <c r="JYV60" s="608"/>
      <c r="JYW60" s="608"/>
      <c r="JYX60" s="608"/>
      <c r="JYY60" s="608"/>
      <c r="JYZ60" s="608"/>
      <c r="JZA60" s="608"/>
      <c r="JZB60" s="608"/>
      <c r="JZC60" s="608"/>
      <c r="JZD60" s="608"/>
      <c r="JZE60" s="608"/>
      <c r="JZF60" s="608"/>
      <c r="JZG60" s="608"/>
      <c r="JZH60" s="608"/>
      <c r="JZI60" s="608"/>
      <c r="JZJ60" s="608"/>
      <c r="JZK60" s="608"/>
      <c r="JZL60" s="608"/>
      <c r="JZM60" s="608"/>
      <c r="JZN60" s="608"/>
      <c r="JZO60" s="608"/>
      <c r="JZP60" s="608"/>
      <c r="JZQ60" s="608"/>
      <c r="JZR60" s="608"/>
      <c r="JZS60" s="608"/>
      <c r="JZT60" s="608"/>
      <c r="JZU60" s="608"/>
      <c r="JZV60" s="608"/>
      <c r="JZW60" s="608"/>
      <c r="JZX60" s="608"/>
      <c r="JZY60" s="608"/>
      <c r="JZZ60" s="608"/>
      <c r="KAA60" s="608"/>
      <c r="KAB60" s="608"/>
      <c r="KAC60" s="608"/>
      <c r="KAD60" s="608"/>
      <c r="KAE60" s="608"/>
      <c r="KAF60" s="608"/>
      <c r="KAG60" s="608"/>
      <c r="KAH60" s="608"/>
      <c r="KAI60" s="608"/>
      <c r="KAJ60" s="608"/>
      <c r="KAK60" s="608"/>
      <c r="KAL60" s="608"/>
      <c r="KAM60" s="608"/>
      <c r="KAN60" s="608"/>
      <c r="KAO60" s="608"/>
      <c r="KAP60" s="608"/>
      <c r="KAQ60" s="608"/>
      <c r="KAR60" s="608"/>
      <c r="KAS60" s="608"/>
      <c r="KAT60" s="608"/>
      <c r="KAU60" s="608"/>
      <c r="KAV60" s="608"/>
      <c r="KAW60" s="608"/>
      <c r="KAX60" s="608"/>
      <c r="KAY60" s="608"/>
      <c r="KAZ60" s="608"/>
      <c r="KBA60" s="608"/>
      <c r="KBB60" s="608"/>
      <c r="KBC60" s="608"/>
      <c r="KBD60" s="608"/>
      <c r="KBE60" s="608"/>
      <c r="KBF60" s="608"/>
      <c r="KBG60" s="608"/>
      <c r="KBH60" s="608"/>
      <c r="KBI60" s="608"/>
      <c r="KBJ60" s="608"/>
      <c r="KBK60" s="608"/>
      <c r="KBL60" s="608"/>
      <c r="KBM60" s="608"/>
      <c r="KBN60" s="608"/>
      <c r="KBO60" s="608"/>
      <c r="KBP60" s="608"/>
      <c r="KBQ60" s="608"/>
      <c r="KBR60" s="608"/>
      <c r="KBS60" s="608"/>
      <c r="KBT60" s="608"/>
      <c r="KBU60" s="608"/>
      <c r="KBV60" s="608"/>
      <c r="KBW60" s="608"/>
      <c r="KBX60" s="608"/>
      <c r="KBY60" s="608"/>
      <c r="KBZ60" s="608"/>
      <c r="KCA60" s="608"/>
      <c r="KCB60" s="608"/>
      <c r="KCC60" s="608"/>
      <c r="KCD60" s="608"/>
      <c r="KCE60" s="608"/>
      <c r="KCF60" s="608"/>
      <c r="KCG60" s="608"/>
      <c r="KCH60" s="608"/>
      <c r="KCI60" s="608"/>
      <c r="KCJ60" s="608"/>
      <c r="KCK60" s="608"/>
      <c r="KCL60" s="608"/>
      <c r="KCM60" s="608"/>
      <c r="KCN60" s="608"/>
      <c r="KCO60" s="608"/>
      <c r="KCP60" s="608"/>
      <c r="KCQ60" s="608"/>
      <c r="KCR60" s="608"/>
      <c r="KCS60" s="608"/>
      <c r="KCT60" s="608"/>
      <c r="KCU60" s="608"/>
      <c r="KCV60" s="608"/>
      <c r="KCW60" s="608"/>
      <c r="KCX60" s="608"/>
      <c r="KCY60" s="608"/>
      <c r="KCZ60" s="608"/>
      <c r="KDA60" s="608"/>
      <c r="KDB60" s="608"/>
      <c r="KDC60" s="608"/>
      <c r="KDD60" s="608"/>
      <c r="KDE60" s="608"/>
      <c r="KDF60" s="608"/>
      <c r="KDG60" s="608"/>
      <c r="KDH60" s="608"/>
      <c r="KDI60" s="608"/>
      <c r="KDJ60" s="608"/>
      <c r="KDK60" s="608"/>
      <c r="KDL60" s="608"/>
      <c r="KDM60" s="608"/>
      <c r="KDN60" s="608"/>
      <c r="KDO60" s="608"/>
      <c r="KDP60" s="608"/>
      <c r="KDQ60" s="608"/>
      <c r="KDR60" s="608"/>
      <c r="KDS60" s="608"/>
      <c r="KDT60" s="608"/>
      <c r="KDU60" s="608"/>
      <c r="KDV60" s="608"/>
      <c r="KDW60" s="608"/>
      <c r="KDX60" s="608"/>
      <c r="KDY60" s="608"/>
      <c r="KDZ60" s="608"/>
      <c r="KEA60" s="608"/>
      <c r="KEB60" s="608"/>
      <c r="KEC60" s="608"/>
      <c r="KED60" s="608"/>
      <c r="KEE60" s="608"/>
      <c r="KEF60" s="608"/>
      <c r="KEG60" s="608"/>
      <c r="KEH60" s="608"/>
      <c r="KEI60" s="608"/>
      <c r="KEJ60" s="608"/>
      <c r="KEK60" s="608"/>
      <c r="KEL60" s="608"/>
      <c r="KEM60" s="608"/>
      <c r="KEN60" s="608"/>
      <c r="KEO60" s="608"/>
      <c r="KEP60" s="608"/>
      <c r="KEQ60" s="608"/>
      <c r="KER60" s="608"/>
      <c r="KES60" s="608"/>
      <c r="KET60" s="608"/>
      <c r="KEU60" s="608"/>
      <c r="KEV60" s="608"/>
      <c r="KEW60" s="608"/>
      <c r="KEX60" s="608"/>
      <c r="KEY60" s="608"/>
      <c r="KEZ60" s="608"/>
      <c r="KFA60" s="608"/>
      <c r="KFB60" s="608"/>
      <c r="KFC60" s="608"/>
      <c r="KFD60" s="608"/>
      <c r="KFE60" s="608"/>
      <c r="KFF60" s="608"/>
      <c r="KFG60" s="608"/>
      <c r="KFH60" s="608"/>
      <c r="KFI60" s="608"/>
      <c r="KFJ60" s="608"/>
      <c r="KFK60" s="608"/>
      <c r="KFL60" s="608"/>
      <c r="KFM60" s="608"/>
      <c r="KFN60" s="608"/>
      <c r="KFO60" s="608"/>
      <c r="KFP60" s="608"/>
      <c r="KFQ60" s="608"/>
      <c r="KFR60" s="608"/>
      <c r="KFS60" s="608"/>
      <c r="KFT60" s="608"/>
      <c r="KFU60" s="608"/>
      <c r="KFV60" s="608"/>
      <c r="KFW60" s="608"/>
      <c r="KFX60" s="608"/>
      <c r="KFY60" s="608"/>
      <c r="KFZ60" s="608"/>
      <c r="KGA60" s="608"/>
      <c r="KGB60" s="608"/>
      <c r="KGC60" s="608"/>
      <c r="KGD60" s="608"/>
      <c r="KGE60" s="608"/>
      <c r="KGF60" s="608"/>
      <c r="KGG60" s="608"/>
      <c r="KGH60" s="608"/>
      <c r="KGI60" s="608"/>
      <c r="KGJ60" s="608"/>
      <c r="KGK60" s="608"/>
      <c r="KGL60" s="608"/>
      <c r="KGM60" s="608"/>
      <c r="KGN60" s="608"/>
      <c r="KGO60" s="608"/>
      <c r="KGP60" s="608"/>
      <c r="KGQ60" s="608"/>
      <c r="KGR60" s="608"/>
      <c r="KGS60" s="608"/>
      <c r="KGT60" s="608"/>
      <c r="KGU60" s="608"/>
      <c r="KGV60" s="608"/>
      <c r="KGW60" s="608"/>
      <c r="KGX60" s="608"/>
      <c r="KGY60" s="608"/>
      <c r="KGZ60" s="608"/>
      <c r="KHA60" s="608"/>
      <c r="KHB60" s="608"/>
      <c r="KHC60" s="608"/>
      <c r="KHD60" s="608"/>
      <c r="KHE60" s="608"/>
      <c r="KHF60" s="608"/>
      <c r="KHG60" s="608"/>
      <c r="KHH60" s="608"/>
      <c r="KHI60" s="608"/>
      <c r="KHJ60" s="608"/>
      <c r="KHK60" s="608"/>
      <c r="KHL60" s="608"/>
      <c r="KHM60" s="608"/>
      <c r="KHN60" s="608"/>
      <c r="KHO60" s="608"/>
      <c r="KHP60" s="608"/>
      <c r="KHQ60" s="608"/>
      <c r="KHR60" s="608"/>
      <c r="KHS60" s="608"/>
      <c r="KHT60" s="608"/>
      <c r="KHU60" s="608"/>
      <c r="KHV60" s="608"/>
      <c r="KHW60" s="608"/>
      <c r="KHX60" s="608"/>
      <c r="KHY60" s="608"/>
      <c r="KHZ60" s="608"/>
      <c r="KIA60" s="608"/>
      <c r="KIB60" s="608"/>
      <c r="KIC60" s="608"/>
      <c r="KID60" s="608"/>
      <c r="KIE60" s="608"/>
      <c r="KIF60" s="608"/>
      <c r="KIG60" s="608"/>
      <c r="KIH60" s="608"/>
      <c r="KII60" s="608"/>
      <c r="KIJ60" s="608"/>
      <c r="KIK60" s="608"/>
      <c r="KIL60" s="608"/>
      <c r="KIM60" s="608"/>
      <c r="KIN60" s="608"/>
      <c r="KIO60" s="608"/>
      <c r="KIP60" s="608"/>
      <c r="KIQ60" s="608"/>
      <c r="KIR60" s="608"/>
      <c r="KIS60" s="608"/>
      <c r="KIT60" s="608"/>
      <c r="KIU60" s="608"/>
      <c r="KIV60" s="608"/>
      <c r="KIW60" s="608"/>
      <c r="KIX60" s="608"/>
      <c r="KIY60" s="608"/>
      <c r="KIZ60" s="608"/>
      <c r="KJA60" s="608"/>
      <c r="KJB60" s="608"/>
      <c r="KJC60" s="608"/>
      <c r="KJD60" s="608"/>
      <c r="KJE60" s="608"/>
      <c r="KJF60" s="608"/>
      <c r="KJG60" s="608"/>
      <c r="KJH60" s="608"/>
      <c r="KJI60" s="608"/>
      <c r="KJJ60" s="608"/>
      <c r="KJK60" s="608"/>
      <c r="KJL60" s="608"/>
      <c r="KJM60" s="608"/>
      <c r="KJN60" s="608"/>
      <c r="KJO60" s="608"/>
      <c r="KJP60" s="608"/>
      <c r="KJQ60" s="608"/>
      <c r="KJR60" s="608"/>
      <c r="KJS60" s="608"/>
      <c r="KJT60" s="608"/>
      <c r="KJU60" s="608"/>
      <c r="KJV60" s="608"/>
      <c r="KJW60" s="608"/>
      <c r="KJX60" s="608"/>
      <c r="KJY60" s="608"/>
      <c r="KJZ60" s="608"/>
      <c r="KKA60" s="608"/>
      <c r="KKB60" s="608"/>
      <c r="KKC60" s="608"/>
      <c r="KKD60" s="608"/>
      <c r="KKE60" s="608"/>
      <c r="KKF60" s="608"/>
      <c r="KKG60" s="608"/>
      <c r="KKH60" s="608"/>
      <c r="KKI60" s="608"/>
      <c r="KKJ60" s="608"/>
      <c r="KKK60" s="608"/>
      <c r="KKL60" s="608"/>
      <c r="KKM60" s="608"/>
      <c r="KKN60" s="608"/>
      <c r="KKO60" s="608"/>
      <c r="KKP60" s="608"/>
      <c r="KKQ60" s="608"/>
      <c r="KKR60" s="608"/>
      <c r="KKS60" s="608"/>
      <c r="KKT60" s="608"/>
      <c r="KKU60" s="608"/>
      <c r="KKV60" s="608"/>
      <c r="KKW60" s="608"/>
      <c r="KKX60" s="608"/>
      <c r="KKY60" s="608"/>
      <c r="KKZ60" s="608"/>
      <c r="KLA60" s="608"/>
      <c r="KLB60" s="608"/>
      <c r="KLC60" s="608"/>
      <c r="KLD60" s="608"/>
      <c r="KLE60" s="608"/>
      <c r="KLF60" s="608"/>
      <c r="KLG60" s="608"/>
      <c r="KLH60" s="608"/>
      <c r="KLI60" s="608"/>
      <c r="KLJ60" s="608"/>
      <c r="KLK60" s="608"/>
      <c r="KLL60" s="608"/>
      <c r="KLM60" s="608"/>
      <c r="KLN60" s="608"/>
      <c r="KLO60" s="608"/>
      <c r="KLP60" s="608"/>
      <c r="KLQ60" s="608"/>
      <c r="KLR60" s="608"/>
      <c r="KLS60" s="608"/>
      <c r="KLT60" s="608"/>
      <c r="KLU60" s="608"/>
      <c r="KLV60" s="608"/>
      <c r="KLW60" s="608"/>
      <c r="KLX60" s="608"/>
      <c r="KLY60" s="608"/>
      <c r="KLZ60" s="608"/>
      <c r="KMA60" s="608"/>
      <c r="KMB60" s="608"/>
      <c r="KMC60" s="608"/>
      <c r="KMD60" s="608"/>
      <c r="KME60" s="608"/>
      <c r="KMF60" s="608"/>
      <c r="KMG60" s="608"/>
      <c r="KMH60" s="608"/>
      <c r="KMI60" s="608"/>
      <c r="KMJ60" s="608"/>
      <c r="KMK60" s="608"/>
      <c r="KML60" s="608"/>
      <c r="KMM60" s="608"/>
      <c r="KMN60" s="608"/>
      <c r="KMO60" s="608"/>
      <c r="KMP60" s="608"/>
      <c r="KMQ60" s="608"/>
      <c r="KMR60" s="608"/>
      <c r="KMS60" s="608"/>
      <c r="KMT60" s="608"/>
      <c r="KMU60" s="608"/>
      <c r="KMV60" s="608"/>
      <c r="KMW60" s="608"/>
      <c r="KMX60" s="608"/>
      <c r="KMY60" s="608"/>
      <c r="KMZ60" s="608"/>
      <c r="KNA60" s="608"/>
      <c r="KNB60" s="608"/>
      <c r="KNC60" s="608"/>
      <c r="KND60" s="608"/>
      <c r="KNE60" s="608"/>
      <c r="KNF60" s="608"/>
      <c r="KNG60" s="608"/>
      <c r="KNH60" s="608"/>
      <c r="KNI60" s="608"/>
      <c r="KNJ60" s="608"/>
      <c r="KNK60" s="608"/>
      <c r="KNL60" s="608"/>
      <c r="KNM60" s="608"/>
      <c r="KNN60" s="608"/>
      <c r="KNO60" s="608"/>
      <c r="KNP60" s="608"/>
      <c r="KNQ60" s="608"/>
      <c r="KNR60" s="608"/>
      <c r="KNS60" s="608"/>
      <c r="KNT60" s="608"/>
      <c r="KNU60" s="608"/>
      <c r="KNV60" s="608"/>
      <c r="KNW60" s="608"/>
      <c r="KNX60" s="608"/>
      <c r="KNY60" s="608"/>
      <c r="KNZ60" s="608"/>
      <c r="KOA60" s="608"/>
      <c r="KOB60" s="608"/>
      <c r="KOC60" s="608"/>
      <c r="KOD60" s="608"/>
      <c r="KOE60" s="608"/>
      <c r="KOF60" s="608"/>
      <c r="KOG60" s="608"/>
      <c r="KOH60" s="608"/>
      <c r="KOI60" s="608"/>
      <c r="KOJ60" s="608"/>
      <c r="KOK60" s="608"/>
      <c r="KOL60" s="608"/>
      <c r="KOM60" s="608"/>
      <c r="KON60" s="608"/>
      <c r="KOO60" s="608"/>
      <c r="KOP60" s="608"/>
      <c r="KOQ60" s="608"/>
      <c r="KOR60" s="608"/>
      <c r="KOS60" s="608"/>
      <c r="KOT60" s="608"/>
      <c r="KOU60" s="608"/>
      <c r="KOV60" s="608"/>
      <c r="KOW60" s="608"/>
      <c r="KOX60" s="608"/>
      <c r="KOY60" s="608"/>
      <c r="KOZ60" s="608"/>
      <c r="KPA60" s="608"/>
      <c r="KPB60" s="608"/>
      <c r="KPC60" s="608"/>
      <c r="KPD60" s="608"/>
      <c r="KPE60" s="608"/>
      <c r="KPF60" s="608"/>
      <c r="KPG60" s="608"/>
      <c r="KPH60" s="608"/>
      <c r="KPI60" s="608"/>
      <c r="KPJ60" s="608"/>
      <c r="KPK60" s="608"/>
      <c r="KPL60" s="608"/>
      <c r="KPM60" s="608"/>
      <c r="KPN60" s="608"/>
      <c r="KPO60" s="608"/>
      <c r="KPP60" s="608"/>
      <c r="KPQ60" s="608"/>
      <c r="KPR60" s="608"/>
      <c r="KPS60" s="608"/>
      <c r="KPT60" s="608"/>
      <c r="KPU60" s="608"/>
      <c r="KPV60" s="608"/>
      <c r="KPW60" s="608"/>
      <c r="KPX60" s="608"/>
      <c r="KPY60" s="608"/>
      <c r="KPZ60" s="608"/>
      <c r="KQA60" s="608"/>
      <c r="KQB60" s="608"/>
      <c r="KQC60" s="608"/>
      <c r="KQD60" s="608"/>
      <c r="KQE60" s="608"/>
      <c r="KQF60" s="608"/>
      <c r="KQG60" s="608"/>
      <c r="KQH60" s="608"/>
      <c r="KQI60" s="608"/>
      <c r="KQJ60" s="608"/>
      <c r="KQK60" s="608"/>
      <c r="KQL60" s="608"/>
      <c r="KQM60" s="608"/>
      <c r="KQN60" s="608"/>
      <c r="KQO60" s="608"/>
      <c r="KQP60" s="608"/>
      <c r="KQQ60" s="608"/>
      <c r="KQR60" s="608"/>
      <c r="KQS60" s="608"/>
      <c r="KQT60" s="608"/>
      <c r="KQU60" s="608"/>
      <c r="KQV60" s="608"/>
      <c r="KQW60" s="608"/>
      <c r="KQX60" s="608"/>
      <c r="KQY60" s="608"/>
      <c r="KQZ60" s="608"/>
      <c r="KRA60" s="608"/>
      <c r="KRB60" s="608"/>
      <c r="KRC60" s="608"/>
      <c r="KRD60" s="608"/>
      <c r="KRE60" s="608"/>
      <c r="KRF60" s="608"/>
      <c r="KRG60" s="608"/>
      <c r="KRH60" s="608"/>
      <c r="KRI60" s="608"/>
      <c r="KRJ60" s="608"/>
      <c r="KRK60" s="608"/>
      <c r="KRL60" s="608"/>
      <c r="KRM60" s="608"/>
      <c r="KRN60" s="608"/>
      <c r="KRO60" s="608"/>
      <c r="KRP60" s="608"/>
      <c r="KRQ60" s="608"/>
      <c r="KRR60" s="608"/>
      <c r="KRS60" s="608"/>
      <c r="KRT60" s="608"/>
      <c r="KRU60" s="608"/>
      <c r="KRV60" s="608"/>
      <c r="KRW60" s="608"/>
      <c r="KRX60" s="608"/>
      <c r="KRY60" s="608"/>
      <c r="KRZ60" s="608"/>
      <c r="KSA60" s="608"/>
      <c r="KSB60" s="608"/>
      <c r="KSC60" s="608"/>
      <c r="KSD60" s="608"/>
      <c r="KSE60" s="608"/>
      <c r="KSF60" s="608"/>
      <c r="KSG60" s="608"/>
      <c r="KSH60" s="608"/>
      <c r="KSI60" s="608"/>
      <c r="KSJ60" s="608"/>
      <c r="KSK60" s="608"/>
      <c r="KSL60" s="608"/>
      <c r="KSM60" s="608"/>
      <c r="KSN60" s="608"/>
      <c r="KSO60" s="608"/>
      <c r="KSP60" s="608"/>
      <c r="KSQ60" s="608"/>
      <c r="KSR60" s="608"/>
      <c r="KSS60" s="608"/>
      <c r="KST60" s="608"/>
      <c r="KSU60" s="608"/>
      <c r="KSV60" s="608"/>
      <c r="KSW60" s="608"/>
      <c r="KSX60" s="608"/>
      <c r="KSY60" s="608"/>
      <c r="KSZ60" s="608"/>
      <c r="KTA60" s="608"/>
      <c r="KTB60" s="608"/>
      <c r="KTC60" s="608"/>
      <c r="KTD60" s="608"/>
      <c r="KTE60" s="608"/>
      <c r="KTF60" s="608"/>
      <c r="KTG60" s="608"/>
      <c r="KTH60" s="608"/>
      <c r="KTI60" s="608"/>
      <c r="KTJ60" s="608"/>
      <c r="KTK60" s="608"/>
      <c r="KTL60" s="608"/>
      <c r="KTM60" s="608"/>
      <c r="KTN60" s="608"/>
      <c r="KTO60" s="608"/>
      <c r="KTP60" s="608"/>
      <c r="KTQ60" s="608"/>
      <c r="KTR60" s="608"/>
      <c r="KTS60" s="608"/>
      <c r="KTT60" s="608"/>
      <c r="KTU60" s="608"/>
      <c r="KTV60" s="608"/>
      <c r="KTW60" s="608"/>
      <c r="KTX60" s="608"/>
      <c r="KTY60" s="608"/>
      <c r="KTZ60" s="608"/>
      <c r="KUA60" s="608"/>
      <c r="KUB60" s="608"/>
      <c r="KUC60" s="608"/>
      <c r="KUD60" s="608"/>
      <c r="KUE60" s="608"/>
      <c r="KUF60" s="608"/>
      <c r="KUG60" s="608"/>
      <c r="KUH60" s="608"/>
      <c r="KUI60" s="608"/>
      <c r="KUJ60" s="608"/>
      <c r="KUK60" s="608"/>
      <c r="KUL60" s="608"/>
      <c r="KUM60" s="608"/>
      <c r="KUN60" s="608"/>
      <c r="KUO60" s="608"/>
      <c r="KUP60" s="608"/>
      <c r="KUQ60" s="608"/>
      <c r="KUR60" s="608"/>
      <c r="KUS60" s="608"/>
      <c r="KUT60" s="608"/>
      <c r="KUU60" s="608"/>
      <c r="KUV60" s="608"/>
      <c r="KUW60" s="608"/>
      <c r="KUX60" s="608"/>
      <c r="KUY60" s="608"/>
      <c r="KUZ60" s="608"/>
      <c r="KVA60" s="608"/>
      <c r="KVB60" s="608"/>
      <c r="KVC60" s="608"/>
      <c r="KVD60" s="608"/>
      <c r="KVE60" s="608"/>
      <c r="KVF60" s="608"/>
      <c r="KVG60" s="608"/>
      <c r="KVH60" s="608"/>
      <c r="KVI60" s="608"/>
      <c r="KVJ60" s="608"/>
      <c r="KVK60" s="608"/>
      <c r="KVL60" s="608"/>
      <c r="KVM60" s="608"/>
      <c r="KVN60" s="608"/>
      <c r="KVO60" s="608"/>
      <c r="KVP60" s="608"/>
      <c r="KVQ60" s="608"/>
      <c r="KVR60" s="608"/>
      <c r="KVS60" s="608"/>
      <c r="KVT60" s="608"/>
      <c r="KVU60" s="608"/>
      <c r="KVV60" s="608"/>
      <c r="KVW60" s="608"/>
      <c r="KVX60" s="608"/>
      <c r="KVY60" s="608"/>
      <c r="KVZ60" s="608"/>
      <c r="KWA60" s="608"/>
      <c r="KWB60" s="608"/>
      <c r="KWC60" s="608"/>
      <c r="KWD60" s="608"/>
      <c r="KWE60" s="608"/>
      <c r="KWF60" s="608"/>
      <c r="KWG60" s="608"/>
      <c r="KWH60" s="608"/>
      <c r="KWI60" s="608"/>
      <c r="KWJ60" s="608"/>
      <c r="KWK60" s="608"/>
      <c r="KWL60" s="608"/>
      <c r="KWM60" s="608"/>
      <c r="KWN60" s="608"/>
      <c r="KWO60" s="608"/>
      <c r="KWP60" s="608"/>
      <c r="KWQ60" s="608"/>
      <c r="KWR60" s="608"/>
      <c r="KWS60" s="608"/>
      <c r="KWT60" s="608"/>
      <c r="KWU60" s="608"/>
      <c r="KWV60" s="608"/>
      <c r="KWW60" s="608"/>
      <c r="KWX60" s="608"/>
      <c r="KWY60" s="608"/>
      <c r="KWZ60" s="608"/>
      <c r="KXA60" s="608"/>
      <c r="KXB60" s="608"/>
      <c r="KXC60" s="608"/>
      <c r="KXD60" s="608"/>
      <c r="KXE60" s="608"/>
      <c r="KXF60" s="608"/>
      <c r="KXG60" s="608"/>
      <c r="KXH60" s="608"/>
      <c r="KXI60" s="608"/>
      <c r="KXJ60" s="608"/>
      <c r="KXK60" s="608"/>
      <c r="KXL60" s="608"/>
      <c r="KXM60" s="608"/>
      <c r="KXN60" s="608"/>
      <c r="KXO60" s="608"/>
      <c r="KXP60" s="608"/>
      <c r="KXQ60" s="608"/>
      <c r="KXR60" s="608"/>
      <c r="KXS60" s="608"/>
      <c r="KXT60" s="608"/>
      <c r="KXU60" s="608"/>
      <c r="KXV60" s="608"/>
      <c r="KXW60" s="608"/>
      <c r="KXX60" s="608"/>
      <c r="KXY60" s="608"/>
      <c r="KXZ60" s="608"/>
      <c r="KYA60" s="608"/>
      <c r="KYB60" s="608"/>
      <c r="KYC60" s="608"/>
      <c r="KYD60" s="608"/>
      <c r="KYE60" s="608"/>
      <c r="KYF60" s="608"/>
      <c r="KYG60" s="608"/>
      <c r="KYH60" s="608"/>
      <c r="KYI60" s="608"/>
      <c r="KYJ60" s="608"/>
      <c r="KYK60" s="608"/>
      <c r="KYL60" s="608"/>
      <c r="KYM60" s="608"/>
      <c r="KYN60" s="608"/>
      <c r="KYO60" s="608"/>
      <c r="KYP60" s="608"/>
      <c r="KYQ60" s="608"/>
      <c r="KYR60" s="608"/>
      <c r="KYS60" s="608"/>
      <c r="KYT60" s="608"/>
      <c r="KYU60" s="608"/>
      <c r="KYV60" s="608"/>
      <c r="KYW60" s="608"/>
      <c r="KYX60" s="608"/>
      <c r="KYY60" s="608"/>
      <c r="KYZ60" s="608"/>
      <c r="KZA60" s="608"/>
      <c r="KZB60" s="608"/>
      <c r="KZC60" s="608"/>
      <c r="KZD60" s="608"/>
      <c r="KZE60" s="608"/>
      <c r="KZF60" s="608"/>
      <c r="KZG60" s="608"/>
      <c r="KZH60" s="608"/>
      <c r="KZI60" s="608"/>
      <c r="KZJ60" s="608"/>
      <c r="KZK60" s="608"/>
      <c r="KZL60" s="608"/>
      <c r="KZM60" s="608"/>
      <c r="KZN60" s="608"/>
      <c r="KZO60" s="608"/>
      <c r="KZP60" s="608"/>
      <c r="KZQ60" s="608"/>
      <c r="KZR60" s="608"/>
      <c r="KZS60" s="608"/>
      <c r="KZT60" s="608"/>
      <c r="KZU60" s="608"/>
      <c r="KZV60" s="608"/>
      <c r="KZW60" s="608"/>
      <c r="KZX60" s="608"/>
      <c r="KZY60" s="608"/>
      <c r="KZZ60" s="608"/>
      <c r="LAA60" s="608"/>
      <c r="LAB60" s="608"/>
      <c r="LAC60" s="608"/>
      <c r="LAD60" s="608"/>
      <c r="LAE60" s="608"/>
      <c r="LAF60" s="608"/>
      <c r="LAG60" s="608"/>
      <c r="LAH60" s="608"/>
      <c r="LAI60" s="608"/>
      <c r="LAJ60" s="608"/>
      <c r="LAK60" s="608"/>
      <c r="LAL60" s="608"/>
      <c r="LAM60" s="608"/>
      <c r="LAN60" s="608"/>
      <c r="LAO60" s="608"/>
      <c r="LAP60" s="608"/>
      <c r="LAQ60" s="608"/>
      <c r="LAR60" s="608"/>
      <c r="LAS60" s="608"/>
      <c r="LAT60" s="608"/>
      <c r="LAU60" s="608"/>
      <c r="LAV60" s="608"/>
      <c r="LAW60" s="608"/>
      <c r="LAX60" s="608"/>
      <c r="LAY60" s="608"/>
      <c r="LAZ60" s="608"/>
      <c r="LBA60" s="608"/>
      <c r="LBB60" s="608"/>
      <c r="LBC60" s="608"/>
      <c r="LBD60" s="608"/>
      <c r="LBE60" s="608"/>
      <c r="LBF60" s="608"/>
      <c r="LBG60" s="608"/>
      <c r="LBH60" s="608"/>
      <c r="LBI60" s="608"/>
      <c r="LBJ60" s="608"/>
      <c r="LBK60" s="608"/>
      <c r="LBL60" s="608"/>
      <c r="LBM60" s="608"/>
      <c r="LBN60" s="608"/>
      <c r="LBO60" s="608"/>
      <c r="LBP60" s="608"/>
      <c r="LBQ60" s="608"/>
      <c r="LBR60" s="608"/>
      <c r="LBS60" s="608"/>
      <c r="LBT60" s="608"/>
      <c r="LBU60" s="608"/>
      <c r="LBV60" s="608"/>
      <c r="LBW60" s="608"/>
      <c r="LBX60" s="608"/>
      <c r="LBY60" s="608"/>
      <c r="LBZ60" s="608"/>
      <c r="LCA60" s="608"/>
      <c r="LCB60" s="608"/>
      <c r="LCC60" s="608"/>
      <c r="LCD60" s="608"/>
      <c r="LCE60" s="608"/>
      <c r="LCF60" s="608"/>
      <c r="LCG60" s="608"/>
      <c r="LCH60" s="608"/>
      <c r="LCI60" s="608"/>
      <c r="LCJ60" s="608"/>
      <c r="LCK60" s="608"/>
      <c r="LCL60" s="608"/>
      <c r="LCM60" s="608"/>
      <c r="LCN60" s="608"/>
      <c r="LCO60" s="608"/>
      <c r="LCP60" s="608"/>
      <c r="LCQ60" s="608"/>
      <c r="LCR60" s="608"/>
      <c r="LCS60" s="608"/>
      <c r="LCT60" s="608"/>
      <c r="LCU60" s="608"/>
      <c r="LCV60" s="608"/>
      <c r="LCW60" s="608"/>
      <c r="LCX60" s="608"/>
      <c r="LCY60" s="608"/>
      <c r="LCZ60" s="608"/>
      <c r="LDA60" s="608"/>
      <c r="LDB60" s="608"/>
      <c r="LDC60" s="608"/>
      <c r="LDD60" s="608"/>
      <c r="LDE60" s="608"/>
      <c r="LDF60" s="608"/>
      <c r="LDG60" s="608"/>
      <c r="LDH60" s="608"/>
      <c r="LDI60" s="608"/>
      <c r="LDJ60" s="608"/>
      <c r="LDK60" s="608"/>
      <c r="LDL60" s="608"/>
      <c r="LDM60" s="608"/>
      <c r="LDN60" s="608"/>
      <c r="LDO60" s="608"/>
      <c r="LDP60" s="608"/>
      <c r="LDQ60" s="608"/>
      <c r="LDR60" s="608"/>
      <c r="LDS60" s="608"/>
      <c r="LDT60" s="608"/>
      <c r="LDU60" s="608"/>
      <c r="LDV60" s="608"/>
      <c r="LDW60" s="608"/>
      <c r="LDX60" s="608"/>
      <c r="LDY60" s="608"/>
      <c r="LDZ60" s="608"/>
      <c r="LEA60" s="608"/>
      <c r="LEB60" s="608"/>
      <c r="LEC60" s="608"/>
      <c r="LED60" s="608"/>
      <c r="LEE60" s="608"/>
      <c r="LEF60" s="608"/>
      <c r="LEG60" s="608"/>
      <c r="LEH60" s="608"/>
      <c r="LEI60" s="608"/>
      <c r="LEJ60" s="608"/>
      <c r="LEK60" s="608"/>
      <c r="LEL60" s="608"/>
      <c r="LEM60" s="608"/>
      <c r="LEN60" s="608"/>
      <c r="LEO60" s="608"/>
      <c r="LEP60" s="608"/>
      <c r="LEQ60" s="608"/>
      <c r="LER60" s="608"/>
      <c r="LES60" s="608"/>
      <c r="LET60" s="608"/>
      <c r="LEU60" s="608"/>
      <c r="LEV60" s="608"/>
      <c r="LEW60" s="608"/>
      <c r="LEX60" s="608"/>
      <c r="LEY60" s="608"/>
      <c r="LEZ60" s="608"/>
      <c r="LFA60" s="608"/>
      <c r="LFB60" s="608"/>
      <c r="LFC60" s="608"/>
      <c r="LFD60" s="608"/>
      <c r="LFE60" s="608"/>
      <c r="LFF60" s="608"/>
      <c r="LFG60" s="608"/>
      <c r="LFH60" s="608"/>
      <c r="LFI60" s="608"/>
      <c r="LFJ60" s="608"/>
      <c r="LFK60" s="608"/>
      <c r="LFL60" s="608"/>
      <c r="LFM60" s="608"/>
      <c r="LFN60" s="608"/>
      <c r="LFO60" s="608"/>
      <c r="LFP60" s="608"/>
      <c r="LFQ60" s="608"/>
      <c r="LFR60" s="608"/>
      <c r="LFS60" s="608"/>
      <c r="LFT60" s="608"/>
      <c r="LFU60" s="608"/>
      <c r="LFV60" s="608"/>
      <c r="LFW60" s="608"/>
      <c r="LFX60" s="608"/>
      <c r="LFY60" s="608"/>
      <c r="LFZ60" s="608"/>
      <c r="LGA60" s="608"/>
      <c r="LGB60" s="608"/>
      <c r="LGC60" s="608"/>
      <c r="LGD60" s="608"/>
      <c r="LGE60" s="608"/>
      <c r="LGF60" s="608"/>
      <c r="LGG60" s="608"/>
      <c r="LGH60" s="608"/>
      <c r="LGI60" s="608"/>
      <c r="LGJ60" s="608"/>
      <c r="LGK60" s="608"/>
      <c r="LGL60" s="608"/>
      <c r="LGM60" s="608"/>
      <c r="LGN60" s="608"/>
      <c r="LGO60" s="608"/>
      <c r="LGP60" s="608"/>
      <c r="LGQ60" s="608"/>
      <c r="LGR60" s="608"/>
      <c r="LGS60" s="608"/>
      <c r="LGT60" s="608"/>
      <c r="LGU60" s="608"/>
      <c r="LGV60" s="608"/>
      <c r="LGW60" s="608"/>
      <c r="LGX60" s="608"/>
      <c r="LGY60" s="608"/>
      <c r="LGZ60" s="608"/>
      <c r="LHA60" s="608"/>
      <c r="LHB60" s="608"/>
      <c r="LHC60" s="608"/>
      <c r="LHD60" s="608"/>
      <c r="LHE60" s="608"/>
      <c r="LHF60" s="608"/>
      <c r="LHG60" s="608"/>
      <c r="LHH60" s="608"/>
      <c r="LHI60" s="608"/>
      <c r="LHJ60" s="608"/>
      <c r="LHK60" s="608"/>
      <c r="LHL60" s="608"/>
      <c r="LHM60" s="608"/>
      <c r="LHN60" s="608"/>
      <c r="LHO60" s="608"/>
      <c r="LHP60" s="608"/>
      <c r="LHQ60" s="608"/>
      <c r="LHR60" s="608"/>
      <c r="LHS60" s="608"/>
      <c r="LHT60" s="608"/>
      <c r="LHU60" s="608"/>
      <c r="LHV60" s="608"/>
      <c r="LHW60" s="608"/>
      <c r="LHX60" s="608"/>
      <c r="LHY60" s="608"/>
      <c r="LHZ60" s="608"/>
      <c r="LIA60" s="608"/>
      <c r="LIB60" s="608"/>
      <c r="LIC60" s="608"/>
      <c r="LID60" s="608"/>
      <c r="LIE60" s="608"/>
      <c r="LIF60" s="608"/>
      <c r="LIG60" s="608"/>
      <c r="LIH60" s="608"/>
      <c r="LII60" s="608"/>
      <c r="LIJ60" s="608"/>
      <c r="LIK60" s="608"/>
      <c r="LIL60" s="608"/>
      <c r="LIM60" s="608"/>
      <c r="LIN60" s="608"/>
      <c r="LIO60" s="608"/>
      <c r="LIP60" s="608"/>
      <c r="LIQ60" s="608"/>
      <c r="LIR60" s="608"/>
      <c r="LIS60" s="608"/>
      <c r="LIT60" s="608"/>
      <c r="LIU60" s="608"/>
      <c r="LIV60" s="608"/>
      <c r="LIW60" s="608"/>
      <c r="LIX60" s="608"/>
      <c r="LIY60" s="608"/>
      <c r="LIZ60" s="608"/>
      <c r="LJA60" s="608"/>
      <c r="LJB60" s="608"/>
      <c r="LJC60" s="608"/>
      <c r="LJD60" s="608"/>
      <c r="LJE60" s="608"/>
      <c r="LJF60" s="608"/>
      <c r="LJG60" s="608"/>
      <c r="LJH60" s="608"/>
      <c r="LJI60" s="608"/>
      <c r="LJJ60" s="608"/>
      <c r="LJK60" s="608"/>
      <c r="LJL60" s="608"/>
      <c r="LJM60" s="608"/>
      <c r="LJN60" s="608"/>
      <c r="LJO60" s="608"/>
      <c r="LJP60" s="608"/>
      <c r="LJQ60" s="608"/>
      <c r="LJR60" s="608"/>
      <c r="LJS60" s="608"/>
      <c r="LJT60" s="608"/>
      <c r="LJU60" s="608"/>
      <c r="LJV60" s="608"/>
      <c r="LJW60" s="608"/>
      <c r="LJX60" s="608"/>
      <c r="LJY60" s="608"/>
      <c r="LJZ60" s="608"/>
      <c r="LKA60" s="608"/>
      <c r="LKB60" s="608"/>
      <c r="LKC60" s="608"/>
      <c r="LKD60" s="608"/>
      <c r="LKE60" s="608"/>
      <c r="LKF60" s="608"/>
      <c r="LKG60" s="608"/>
      <c r="LKH60" s="608"/>
      <c r="LKI60" s="608"/>
      <c r="LKJ60" s="608"/>
      <c r="LKK60" s="608"/>
      <c r="LKL60" s="608"/>
      <c r="LKM60" s="608"/>
      <c r="LKN60" s="608"/>
      <c r="LKO60" s="608"/>
      <c r="LKP60" s="608"/>
      <c r="LKQ60" s="608"/>
      <c r="LKR60" s="608"/>
      <c r="LKS60" s="608"/>
      <c r="LKT60" s="608"/>
      <c r="LKU60" s="608"/>
      <c r="LKV60" s="608"/>
      <c r="LKW60" s="608"/>
      <c r="LKX60" s="608"/>
      <c r="LKY60" s="608"/>
      <c r="LKZ60" s="608"/>
      <c r="LLA60" s="608"/>
      <c r="LLB60" s="608"/>
      <c r="LLC60" s="608"/>
      <c r="LLD60" s="608"/>
      <c r="LLE60" s="608"/>
      <c r="LLF60" s="608"/>
      <c r="LLG60" s="608"/>
      <c r="LLH60" s="608"/>
      <c r="LLI60" s="608"/>
      <c r="LLJ60" s="608"/>
      <c r="LLK60" s="608"/>
      <c r="LLL60" s="608"/>
      <c r="LLM60" s="608"/>
      <c r="LLN60" s="608"/>
      <c r="LLO60" s="608"/>
      <c r="LLP60" s="608"/>
      <c r="LLQ60" s="608"/>
      <c r="LLR60" s="608"/>
      <c r="LLS60" s="608"/>
      <c r="LLT60" s="608"/>
      <c r="LLU60" s="608"/>
      <c r="LLV60" s="608"/>
      <c r="LLW60" s="608"/>
      <c r="LLX60" s="608"/>
      <c r="LLY60" s="608"/>
      <c r="LLZ60" s="608"/>
      <c r="LMA60" s="608"/>
      <c r="LMB60" s="608"/>
      <c r="LMC60" s="608"/>
      <c r="LMD60" s="608"/>
      <c r="LME60" s="608"/>
      <c r="LMF60" s="608"/>
      <c r="LMG60" s="608"/>
      <c r="LMH60" s="608"/>
      <c r="LMI60" s="608"/>
      <c r="LMJ60" s="608"/>
      <c r="LMK60" s="608"/>
      <c r="LML60" s="608"/>
      <c r="LMM60" s="608"/>
      <c r="LMN60" s="608"/>
      <c r="LMO60" s="608"/>
      <c r="LMP60" s="608"/>
      <c r="LMQ60" s="608"/>
      <c r="LMR60" s="608"/>
      <c r="LMS60" s="608"/>
      <c r="LMT60" s="608"/>
      <c r="LMU60" s="608"/>
      <c r="LMV60" s="608"/>
      <c r="LMW60" s="608"/>
      <c r="LMX60" s="608"/>
      <c r="LMY60" s="608"/>
      <c r="LMZ60" s="608"/>
      <c r="LNA60" s="608"/>
      <c r="LNB60" s="608"/>
      <c r="LNC60" s="608"/>
      <c r="LND60" s="608"/>
      <c r="LNE60" s="608"/>
      <c r="LNF60" s="608"/>
      <c r="LNG60" s="608"/>
      <c r="LNH60" s="608"/>
      <c r="LNI60" s="608"/>
      <c r="LNJ60" s="608"/>
      <c r="LNK60" s="608"/>
      <c r="LNL60" s="608"/>
      <c r="LNM60" s="608"/>
      <c r="LNN60" s="608"/>
      <c r="LNO60" s="608"/>
      <c r="LNP60" s="608"/>
      <c r="LNQ60" s="608"/>
      <c r="LNR60" s="608"/>
      <c r="LNS60" s="608"/>
      <c r="LNT60" s="608"/>
      <c r="LNU60" s="608"/>
      <c r="LNV60" s="608"/>
      <c r="LNW60" s="608"/>
      <c r="LNX60" s="608"/>
      <c r="LNY60" s="608"/>
      <c r="LNZ60" s="608"/>
      <c r="LOA60" s="608"/>
      <c r="LOB60" s="608"/>
      <c r="LOC60" s="608"/>
      <c r="LOD60" s="608"/>
      <c r="LOE60" s="608"/>
      <c r="LOF60" s="608"/>
      <c r="LOG60" s="608"/>
      <c r="LOH60" s="608"/>
      <c r="LOI60" s="608"/>
      <c r="LOJ60" s="608"/>
      <c r="LOK60" s="608"/>
      <c r="LOL60" s="608"/>
      <c r="LOM60" s="608"/>
      <c r="LON60" s="608"/>
      <c r="LOO60" s="608"/>
      <c r="LOP60" s="608"/>
      <c r="LOQ60" s="608"/>
      <c r="LOR60" s="608"/>
      <c r="LOS60" s="608"/>
      <c r="LOT60" s="608"/>
      <c r="LOU60" s="608"/>
      <c r="LOV60" s="608"/>
      <c r="LOW60" s="608"/>
      <c r="LOX60" s="608"/>
      <c r="LOY60" s="608"/>
      <c r="LOZ60" s="608"/>
      <c r="LPA60" s="608"/>
      <c r="LPB60" s="608"/>
      <c r="LPC60" s="608"/>
      <c r="LPD60" s="608"/>
      <c r="LPE60" s="608"/>
      <c r="LPF60" s="608"/>
      <c r="LPG60" s="608"/>
      <c r="LPH60" s="608"/>
      <c r="LPI60" s="608"/>
      <c r="LPJ60" s="608"/>
      <c r="LPK60" s="608"/>
      <c r="LPL60" s="608"/>
      <c r="LPM60" s="608"/>
      <c r="LPN60" s="608"/>
      <c r="LPO60" s="608"/>
      <c r="LPP60" s="608"/>
      <c r="LPQ60" s="608"/>
      <c r="LPR60" s="608"/>
      <c r="LPS60" s="608"/>
      <c r="LPT60" s="608"/>
      <c r="LPU60" s="608"/>
      <c r="LPV60" s="608"/>
      <c r="LPW60" s="608"/>
      <c r="LPX60" s="608"/>
      <c r="LPY60" s="608"/>
      <c r="LPZ60" s="608"/>
      <c r="LQA60" s="608"/>
      <c r="LQB60" s="608"/>
      <c r="LQC60" s="608"/>
      <c r="LQD60" s="608"/>
      <c r="LQE60" s="608"/>
      <c r="LQF60" s="608"/>
      <c r="LQG60" s="608"/>
      <c r="LQH60" s="608"/>
      <c r="LQI60" s="608"/>
      <c r="LQJ60" s="608"/>
      <c r="LQK60" s="608"/>
      <c r="LQL60" s="608"/>
      <c r="LQM60" s="608"/>
      <c r="LQN60" s="608"/>
      <c r="LQO60" s="608"/>
      <c r="LQP60" s="608"/>
      <c r="LQQ60" s="608"/>
      <c r="LQR60" s="608"/>
      <c r="LQS60" s="608"/>
      <c r="LQT60" s="608"/>
      <c r="LQU60" s="608"/>
      <c r="LQV60" s="608"/>
      <c r="LQW60" s="608"/>
      <c r="LQX60" s="608"/>
      <c r="LQY60" s="608"/>
      <c r="LQZ60" s="608"/>
      <c r="LRA60" s="608"/>
      <c r="LRB60" s="608"/>
      <c r="LRC60" s="608"/>
      <c r="LRD60" s="608"/>
      <c r="LRE60" s="608"/>
      <c r="LRF60" s="608"/>
      <c r="LRG60" s="608"/>
      <c r="LRH60" s="608"/>
      <c r="LRI60" s="608"/>
      <c r="LRJ60" s="608"/>
      <c r="LRK60" s="608"/>
      <c r="LRL60" s="608"/>
      <c r="LRM60" s="608"/>
      <c r="LRN60" s="608"/>
      <c r="LRO60" s="608"/>
      <c r="LRP60" s="608"/>
      <c r="LRQ60" s="608"/>
      <c r="LRR60" s="608"/>
      <c r="LRS60" s="608"/>
      <c r="LRT60" s="608"/>
      <c r="LRU60" s="608"/>
      <c r="LRV60" s="608"/>
      <c r="LRW60" s="608"/>
      <c r="LRX60" s="608"/>
      <c r="LRY60" s="608"/>
      <c r="LRZ60" s="608"/>
      <c r="LSA60" s="608"/>
      <c r="LSB60" s="608"/>
      <c r="LSC60" s="608"/>
      <c r="LSD60" s="608"/>
      <c r="LSE60" s="608"/>
      <c r="LSF60" s="608"/>
      <c r="LSG60" s="608"/>
      <c r="LSH60" s="608"/>
      <c r="LSI60" s="608"/>
      <c r="LSJ60" s="608"/>
      <c r="LSK60" s="608"/>
      <c r="LSL60" s="608"/>
      <c r="LSM60" s="608"/>
      <c r="LSN60" s="608"/>
      <c r="LSO60" s="608"/>
      <c r="LSP60" s="608"/>
      <c r="LSQ60" s="608"/>
      <c r="LSR60" s="608"/>
      <c r="LSS60" s="608"/>
      <c r="LST60" s="608"/>
      <c r="LSU60" s="608"/>
      <c r="LSV60" s="608"/>
      <c r="LSW60" s="608"/>
      <c r="LSX60" s="608"/>
      <c r="LSY60" s="608"/>
      <c r="LSZ60" s="608"/>
      <c r="LTA60" s="608"/>
      <c r="LTB60" s="608"/>
      <c r="LTC60" s="608"/>
      <c r="LTD60" s="608"/>
      <c r="LTE60" s="608"/>
      <c r="LTF60" s="608"/>
      <c r="LTG60" s="608"/>
      <c r="LTH60" s="608"/>
      <c r="LTI60" s="608"/>
      <c r="LTJ60" s="608"/>
      <c r="LTK60" s="608"/>
      <c r="LTL60" s="608"/>
      <c r="LTM60" s="608"/>
      <c r="LTN60" s="608"/>
      <c r="LTO60" s="608"/>
      <c r="LTP60" s="608"/>
      <c r="LTQ60" s="608"/>
      <c r="LTR60" s="608"/>
      <c r="LTS60" s="608"/>
      <c r="LTT60" s="608"/>
      <c r="LTU60" s="608"/>
      <c r="LTV60" s="608"/>
      <c r="LTW60" s="608"/>
      <c r="LTX60" s="608"/>
      <c r="LTY60" s="608"/>
      <c r="LTZ60" s="608"/>
      <c r="LUA60" s="608"/>
      <c r="LUB60" s="608"/>
      <c r="LUC60" s="608"/>
      <c r="LUD60" s="608"/>
      <c r="LUE60" s="608"/>
      <c r="LUF60" s="608"/>
      <c r="LUG60" s="608"/>
      <c r="LUH60" s="608"/>
      <c r="LUI60" s="608"/>
      <c r="LUJ60" s="608"/>
      <c r="LUK60" s="608"/>
      <c r="LUL60" s="608"/>
      <c r="LUM60" s="608"/>
      <c r="LUN60" s="608"/>
      <c r="LUO60" s="608"/>
      <c r="LUP60" s="608"/>
      <c r="LUQ60" s="608"/>
      <c r="LUR60" s="608"/>
      <c r="LUS60" s="608"/>
      <c r="LUT60" s="608"/>
      <c r="LUU60" s="608"/>
      <c r="LUV60" s="608"/>
      <c r="LUW60" s="608"/>
      <c r="LUX60" s="608"/>
      <c r="LUY60" s="608"/>
      <c r="LUZ60" s="608"/>
      <c r="LVA60" s="608"/>
      <c r="LVB60" s="608"/>
      <c r="LVC60" s="608"/>
      <c r="LVD60" s="608"/>
      <c r="LVE60" s="608"/>
      <c r="LVF60" s="608"/>
      <c r="LVG60" s="608"/>
      <c r="LVH60" s="608"/>
      <c r="LVI60" s="608"/>
      <c r="LVJ60" s="608"/>
      <c r="LVK60" s="608"/>
      <c r="LVL60" s="608"/>
      <c r="LVM60" s="608"/>
      <c r="LVN60" s="608"/>
      <c r="LVO60" s="608"/>
      <c r="LVP60" s="608"/>
      <c r="LVQ60" s="608"/>
      <c r="LVR60" s="608"/>
      <c r="LVS60" s="608"/>
      <c r="LVT60" s="608"/>
      <c r="LVU60" s="608"/>
      <c r="LVV60" s="608"/>
      <c r="LVW60" s="608"/>
      <c r="LVX60" s="608"/>
      <c r="LVY60" s="608"/>
      <c r="LVZ60" s="608"/>
      <c r="LWA60" s="608"/>
      <c r="LWB60" s="608"/>
      <c r="LWC60" s="608"/>
      <c r="LWD60" s="608"/>
      <c r="LWE60" s="608"/>
      <c r="LWF60" s="608"/>
      <c r="LWG60" s="608"/>
      <c r="LWH60" s="608"/>
      <c r="LWI60" s="608"/>
      <c r="LWJ60" s="608"/>
      <c r="LWK60" s="608"/>
      <c r="LWL60" s="608"/>
      <c r="LWM60" s="608"/>
      <c r="LWN60" s="608"/>
      <c r="LWO60" s="608"/>
      <c r="LWP60" s="608"/>
      <c r="LWQ60" s="608"/>
      <c r="LWR60" s="608"/>
      <c r="LWS60" s="608"/>
      <c r="LWT60" s="608"/>
      <c r="LWU60" s="608"/>
      <c r="LWV60" s="608"/>
      <c r="LWW60" s="608"/>
      <c r="LWX60" s="608"/>
      <c r="LWY60" s="608"/>
      <c r="LWZ60" s="608"/>
      <c r="LXA60" s="608"/>
      <c r="LXB60" s="608"/>
      <c r="LXC60" s="608"/>
      <c r="LXD60" s="608"/>
      <c r="LXE60" s="608"/>
      <c r="LXF60" s="608"/>
      <c r="LXG60" s="608"/>
      <c r="LXH60" s="608"/>
      <c r="LXI60" s="608"/>
      <c r="LXJ60" s="608"/>
      <c r="LXK60" s="608"/>
      <c r="LXL60" s="608"/>
      <c r="LXM60" s="608"/>
      <c r="LXN60" s="608"/>
      <c r="LXO60" s="608"/>
      <c r="LXP60" s="608"/>
      <c r="LXQ60" s="608"/>
      <c r="LXR60" s="608"/>
      <c r="LXS60" s="608"/>
      <c r="LXT60" s="608"/>
      <c r="LXU60" s="608"/>
      <c r="LXV60" s="608"/>
      <c r="LXW60" s="608"/>
      <c r="LXX60" s="608"/>
      <c r="LXY60" s="608"/>
      <c r="LXZ60" s="608"/>
      <c r="LYA60" s="608"/>
      <c r="LYB60" s="608"/>
      <c r="LYC60" s="608"/>
      <c r="LYD60" s="608"/>
      <c r="LYE60" s="608"/>
      <c r="LYF60" s="608"/>
      <c r="LYG60" s="608"/>
      <c r="LYH60" s="608"/>
      <c r="LYI60" s="608"/>
      <c r="LYJ60" s="608"/>
      <c r="LYK60" s="608"/>
      <c r="LYL60" s="608"/>
      <c r="LYM60" s="608"/>
      <c r="LYN60" s="608"/>
      <c r="LYO60" s="608"/>
      <c r="LYP60" s="608"/>
      <c r="LYQ60" s="608"/>
      <c r="LYR60" s="608"/>
      <c r="LYS60" s="608"/>
      <c r="LYT60" s="608"/>
      <c r="LYU60" s="608"/>
      <c r="LYV60" s="608"/>
      <c r="LYW60" s="608"/>
      <c r="LYX60" s="608"/>
      <c r="LYY60" s="608"/>
      <c r="LYZ60" s="608"/>
      <c r="LZA60" s="608"/>
      <c r="LZB60" s="608"/>
      <c r="LZC60" s="608"/>
      <c r="LZD60" s="608"/>
      <c r="LZE60" s="608"/>
      <c r="LZF60" s="608"/>
      <c r="LZG60" s="608"/>
      <c r="LZH60" s="608"/>
      <c r="LZI60" s="608"/>
      <c r="LZJ60" s="608"/>
      <c r="LZK60" s="608"/>
      <c r="LZL60" s="608"/>
      <c r="LZM60" s="608"/>
      <c r="LZN60" s="608"/>
      <c r="LZO60" s="608"/>
      <c r="LZP60" s="608"/>
      <c r="LZQ60" s="608"/>
      <c r="LZR60" s="608"/>
      <c r="LZS60" s="608"/>
      <c r="LZT60" s="608"/>
      <c r="LZU60" s="608"/>
      <c r="LZV60" s="608"/>
      <c r="LZW60" s="608"/>
      <c r="LZX60" s="608"/>
      <c r="LZY60" s="608"/>
      <c r="LZZ60" s="608"/>
      <c r="MAA60" s="608"/>
      <c r="MAB60" s="608"/>
      <c r="MAC60" s="608"/>
      <c r="MAD60" s="608"/>
      <c r="MAE60" s="608"/>
      <c r="MAF60" s="608"/>
      <c r="MAG60" s="608"/>
      <c r="MAH60" s="608"/>
      <c r="MAI60" s="608"/>
      <c r="MAJ60" s="608"/>
      <c r="MAK60" s="608"/>
      <c r="MAL60" s="608"/>
      <c r="MAM60" s="608"/>
      <c r="MAN60" s="608"/>
      <c r="MAO60" s="608"/>
      <c r="MAP60" s="608"/>
      <c r="MAQ60" s="608"/>
      <c r="MAR60" s="608"/>
      <c r="MAS60" s="608"/>
      <c r="MAT60" s="608"/>
      <c r="MAU60" s="608"/>
      <c r="MAV60" s="608"/>
      <c r="MAW60" s="608"/>
      <c r="MAX60" s="608"/>
      <c r="MAY60" s="608"/>
      <c r="MAZ60" s="608"/>
      <c r="MBA60" s="608"/>
      <c r="MBB60" s="608"/>
      <c r="MBC60" s="608"/>
      <c r="MBD60" s="608"/>
      <c r="MBE60" s="608"/>
      <c r="MBF60" s="608"/>
      <c r="MBG60" s="608"/>
      <c r="MBH60" s="608"/>
      <c r="MBI60" s="608"/>
      <c r="MBJ60" s="608"/>
      <c r="MBK60" s="608"/>
      <c r="MBL60" s="608"/>
      <c r="MBM60" s="608"/>
      <c r="MBN60" s="608"/>
      <c r="MBO60" s="608"/>
      <c r="MBP60" s="608"/>
      <c r="MBQ60" s="608"/>
      <c r="MBR60" s="608"/>
      <c r="MBS60" s="608"/>
      <c r="MBT60" s="608"/>
      <c r="MBU60" s="608"/>
      <c r="MBV60" s="608"/>
      <c r="MBW60" s="608"/>
      <c r="MBX60" s="608"/>
      <c r="MBY60" s="608"/>
      <c r="MBZ60" s="608"/>
      <c r="MCA60" s="608"/>
      <c r="MCB60" s="608"/>
      <c r="MCC60" s="608"/>
      <c r="MCD60" s="608"/>
      <c r="MCE60" s="608"/>
      <c r="MCF60" s="608"/>
      <c r="MCG60" s="608"/>
      <c r="MCH60" s="608"/>
      <c r="MCI60" s="608"/>
      <c r="MCJ60" s="608"/>
      <c r="MCK60" s="608"/>
      <c r="MCL60" s="608"/>
      <c r="MCM60" s="608"/>
      <c r="MCN60" s="608"/>
      <c r="MCO60" s="608"/>
      <c r="MCP60" s="608"/>
      <c r="MCQ60" s="608"/>
      <c r="MCR60" s="608"/>
      <c r="MCS60" s="608"/>
      <c r="MCT60" s="608"/>
      <c r="MCU60" s="608"/>
      <c r="MCV60" s="608"/>
      <c r="MCW60" s="608"/>
      <c r="MCX60" s="608"/>
      <c r="MCY60" s="608"/>
      <c r="MCZ60" s="608"/>
      <c r="MDA60" s="608"/>
      <c r="MDB60" s="608"/>
      <c r="MDC60" s="608"/>
      <c r="MDD60" s="608"/>
      <c r="MDE60" s="608"/>
      <c r="MDF60" s="608"/>
      <c r="MDG60" s="608"/>
      <c r="MDH60" s="608"/>
      <c r="MDI60" s="608"/>
      <c r="MDJ60" s="608"/>
      <c r="MDK60" s="608"/>
      <c r="MDL60" s="608"/>
      <c r="MDM60" s="608"/>
      <c r="MDN60" s="608"/>
      <c r="MDO60" s="608"/>
      <c r="MDP60" s="608"/>
      <c r="MDQ60" s="608"/>
      <c r="MDR60" s="608"/>
      <c r="MDS60" s="608"/>
      <c r="MDT60" s="608"/>
      <c r="MDU60" s="608"/>
      <c r="MDV60" s="608"/>
      <c r="MDW60" s="608"/>
      <c r="MDX60" s="608"/>
      <c r="MDY60" s="608"/>
      <c r="MDZ60" s="608"/>
      <c r="MEA60" s="608"/>
      <c r="MEB60" s="608"/>
      <c r="MEC60" s="608"/>
      <c r="MED60" s="608"/>
      <c r="MEE60" s="608"/>
      <c r="MEF60" s="608"/>
      <c r="MEG60" s="608"/>
      <c r="MEH60" s="608"/>
      <c r="MEI60" s="608"/>
      <c r="MEJ60" s="608"/>
      <c r="MEK60" s="608"/>
      <c r="MEL60" s="608"/>
      <c r="MEM60" s="608"/>
      <c r="MEN60" s="608"/>
      <c r="MEO60" s="608"/>
      <c r="MEP60" s="608"/>
      <c r="MEQ60" s="608"/>
      <c r="MER60" s="608"/>
      <c r="MES60" s="608"/>
      <c r="MET60" s="608"/>
      <c r="MEU60" s="608"/>
      <c r="MEV60" s="608"/>
      <c r="MEW60" s="608"/>
      <c r="MEX60" s="608"/>
      <c r="MEY60" s="608"/>
      <c r="MEZ60" s="608"/>
      <c r="MFA60" s="608"/>
      <c r="MFB60" s="608"/>
      <c r="MFC60" s="608"/>
      <c r="MFD60" s="608"/>
      <c r="MFE60" s="608"/>
      <c r="MFF60" s="608"/>
      <c r="MFG60" s="608"/>
      <c r="MFH60" s="608"/>
      <c r="MFI60" s="608"/>
      <c r="MFJ60" s="608"/>
      <c r="MFK60" s="608"/>
      <c r="MFL60" s="608"/>
      <c r="MFM60" s="608"/>
      <c r="MFN60" s="608"/>
      <c r="MFO60" s="608"/>
      <c r="MFP60" s="608"/>
      <c r="MFQ60" s="608"/>
      <c r="MFR60" s="608"/>
      <c r="MFS60" s="608"/>
      <c r="MFT60" s="608"/>
      <c r="MFU60" s="608"/>
      <c r="MFV60" s="608"/>
      <c r="MFW60" s="608"/>
      <c r="MFX60" s="608"/>
      <c r="MFY60" s="608"/>
      <c r="MFZ60" s="608"/>
      <c r="MGA60" s="608"/>
      <c r="MGB60" s="608"/>
      <c r="MGC60" s="608"/>
      <c r="MGD60" s="608"/>
      <c r="MGE60" s="608"/>
      <c r="MGF60" s="608"/>
      <c r="MGG60" s="608"/>
      <c r="MGH60" s="608"/>
      <c r="MGI60" s="608"/>
      <c r="MGJ60" s="608"/>
      <c r="MGK60" s="608"/>
      <c r="MGL60" s="608"/>
      <c r="MGM60" s="608"/>
      <c r="MGN60" s="608"/>
      <c r="MGO60" s="608"/>
      <c r="MGP60" s="608"/>
      <c r="MGQ60" s="608"/>
      <c r="MGR60" s="608"/>
      <c r="MGS60" s="608"/>
      <c r="MGT60" s="608"/>
      <c r="MGU60" s="608"/>
      <c r="MGV60" s="608"/>
      <c r="MGW60" s="608"/>
      <c r="MGX60" s="608"/>
      <c r="MGY60" s="608"/>
      <c r="MGZ60" s="608"/>
      <c r="MHA60" s="608"/>
      <c r="MHB60" s="608"/>
      <c r="MHC60" s="608"/>
      <c r="MHD60" s="608"/>
      <c r="MHE60" s="608"/>
      <c r="MHF60" s="608"/>
      <c r="MHG60" s="608"/>
      <c r="MHH60" s="608"/>
      <c r="MHI60" s="608"/>
      <c r="MHJ60" s="608"/>
      <c r="MHK60" s="608"/>
      <c r="MHL60" s="608"/>
      <c r="MHM60" s="608"/>
      <c r="MHN60" s="608"/>
      <c r="MHO60" s="608"/>
      <c r="MHP60" s="608"/>
      <c r="MHQ60" s="608"/>
      <c r="MHR60" s="608"/>
      <c r="MHS60" s="608"/>
      <c r="MHT60" s="608"/>
      <c r="MHU60" s="608"/>
      <c r="MHV60" s="608"/>
      <c r="MHW60" s="608"/>
      <c r="MHX60" s="608"/>
      <c r="MHY60" s="608"/>
      <c r="MHZ60" s="608"/>
      <c r="MIA60" s="608"/>
      <c r="MIB60" s="608"/>
      <c r="MIC60" s="608"/>
      <c r="MID60" s="608"/>
      <c r="MIE60" s="608"/>
      <c r="MIF60" s="608"/>
      <c r="MIG60" s="608"/>
      <c r="MIH60" s="608"/>
      <c r="MII60" s="608"/>
      <c r="MIJ60" s="608"/>
      <c r="MIK60" s="608"/>
      <c r="MIL60" s="608"/>
      <c r="MIM60" s="608"/>
      <c r="MIN60" s="608"/>
      <c r="MIO60" s="608"/>
      <c r="MIP60" s="608"/>
      <c r="MIQ60" s="608"/>
      <c r="MIR60" s="608"/>
      <c r="MIS60" s="608"/>
      <c r="MIT60" s="608"/>
      <c r="MIU60" s="608"/>
      <c r="MIV60" s="608"/>
      <c r="MIW60" s="608"/>
      <c r="MIX60" s="608"/>
      <c r="MIY60" s="608"/>
      <c r="MIZ60" s="608"/>
      <c r="MJA60" s="608"/>
      <c r="MJB60" s="608"/>
      <c r="MJC60" s="608"/>
      <c r="MJD60" s="608"/>
      <c r="MJE60" s="608"/>
      <c r="MJF60" s="608"/>
      <c r="MJG60" s="608"/>
      <c r="MJH60" s="608"/>
      <c r="MJI60" s="608"/>
      <c r="MJJ60" s="608"/>
      <c r="MJK60" s="608"/>
      <c r="MJL60" s="608"/>
      <c r="MJM60" s="608"/>
      <c r="MJN60" s="608"/>
      <c r="MJO60" s="608"/>
      <c r="MJP60" s="608"/>
      <c r="MJQ60" s="608"/>
      <c r="MJR60" s="608"/>
      <c r="MJS60" s="608"/>
      <c r="MJT60" s="608"/>
      <c r="MJU60" s="608"/>
      <c r="MJV60" s="608"/>
      <c r="MJW60" s="608"/>
      <c r="MJX60" s="608"/>
      <c r="MJY60" s="608"/>
      <c r="MJZ60" s="608"/>
      <c r="MKA60" s="608"/>
      <c r="MKB60" s="608"/>
      <c r="MKC60" s="608"/>
      <c r="MKD60" s="608"/>
      <c r="MKE60" s="608"/>
      <c r="MKF60" s="608"/>
      <c r="MKG60" s="608"/>
      <c r="MKH60" s="608"/>
      <c r="MKI60" s="608"/>
      <c r="MKJ60" s="608"/>
      <c r="MKK60" s="608"/>
      <c r="MKL60" s="608"/>
      <c r="MKM60" s="608"/>
      <c r="MKN60" s="608"/>
      <c r="MKO60" s="608"/>
      <c r="MKP60" s="608"/>
      <c r="MKQ60" s="608"/>
      <c r="MKR60" s="608"/>
      <c r="MKS60" s="608"/>
      <c r="MKT60" s="608"/>
      <c r="MKU60" s="608"/>
      <c r="MKV60" s="608"/>
      <c r="MKW60" s="608"/>
      <c r="MKX60" s="608"/>
      <c r="MKY60" s="608"/>
      <c r="MKZ60" s="608"/>
      <c r="MLA60" s="608"/>
      <c r="MLB60" s="608"/>
      <c r="MLC60" s="608"/>
      <c r="MLD60" s="608"/>
      <c r="MLE60" s="608"/>
      <c r="MLF60" s="608"/>
      <c r="MLG60" s="608"/>
      <c r="MLH60" s="608"/>
      <c r="MLI60" s="608"/>
      <c r="MLJ60" s="608"/>
      <c r="MLK60" s="608"/>
      <c r="MLL60" s="608"/>
      <c r="MLM60" s="608"/>
      <c r="MLN60" s="608"/>
      <c r="MLO60" s="608"/>
      <c r="MLP60" s="608"/>
      <c r="MLQ60" s="608"/>
      <c r="MLR60" s="608"/>
      <c r="MLS60" s="608"/>
      <c r="MLT60" s="608"/>
      <c r="MLU60" s="608"/>
      <c r="MLV60" s="608"/>
      <c r="MLW60" s="608"/>
      <c r="MLX60" s="608"/>
      <c r="MLY60" s="608"/>
      <c r="MLZ60" s="608"/>
      <c r="MMA60" s="608"/>
      <c r="MMB60" s="608"/>
      <c r="MMC60" s="608"/>
      <c r="MMD60" s="608"/>
      <c r="MME60" s="608"/>
      <c r="MMF60" s="608"/>
      <c r="MMG60" s="608"/>
      <c r="MMH60" s="608"/>
      <c r="MMI60" s="608"/>
      <c r="MMJ60" s="608"/>
      <c r="MMK60" s="608"/>
      <c r="MML60" s="608"/>
      <c r="MMM60" s="608"/>
      <c r="MMN60" s="608"/>
      <c r="MMO60" s="608"/>
      <c r="MMP60" s="608"/>
      <c r="MMQ60" s="608"/>
      <c r="MMR60" s="608"/>
      <c r="MMS60" s="608"/>
      <c r="MMT60" s="608"/>
      <c r="MMU60" s="608"/>
      <c r="MMV60" s="608"/>
      <c r="MMW60" s="608"/>
      <c r="MMX60" s="608"/>
      <c r="MMY60" s="608"/>
      <c r="MMZ60" s="608"/>
      <c r="MNA60" s="608"/>
      <c r="MNB60" s="608"/>
      <c r="MNC60" s="608"/>
      <c r="MND60" s="608"/>
      <c r="MNE60" s="608"/>
      <c r="MNF60" s="608"/>
      <c r="MNG60" s="608"/>
      <c r="MNH60" s="608"/>
      <c r="MNI60" s="608"/>
      <c r="MNJ60" s="608"/>
      <c r="MNK60" s="608"/>
      <c r="MNL60" s="608"/>
      <c r="MNM60" s="608"/>
      <c r="MNN60" s="608"/>
      <c r="MNO60" s="608"/>
      <c r="MNP60" s="608"/>
      <c r="MNQ60" s="608"/>
      <c r="MNR60" s="608"/>
      <c r="MNS60" s="608"/>
      <c r="MNT60" s="608"/>
      <c r="MNU60" s="608"/>
      <c r="MNV60" s="608"/>
      <c r="MNW60" s="608"/>
      <c r="MNX60" s="608"/>
      <c r="MNY60" s="608"/>
      <c r="MNZ60" s="608"/>
      <c r="MOA60" s="608"/>
      <c r="MOB60" s="608"/>
      <c r="MOC60" s="608"/>
      <c r="MOD60" s="608"/>
      <c r="MOE60" s="608"/>
      <c r="MOF60" s="608"/>
      <c r="MOG60" s="608"/>
      <c r="MOH60" s="608"/>
      <c r="MOI60" s="608"/>
      <c r="MOJ60" s="608"/>
      <c r="MOK60" s="608"/>
      <c r="MOL60" s="608"/>
      <c r="MOM60" s="608"/>
      <c r="MON60" s="608"/>
      <c r="MOO60" s="608"/>
      <c r="MOP60" s="608"/>
      <c r="MOQ60" s="608"/>
      <c r="MOR60" s="608"/>
      <c r="MOS60" s="608"/>
      <c r="MOT60" s="608"/>
      <c r="MOU60" s="608"/>
      <c r="MOV60" s="608"/>
      <c r="MOW60" s="608"/>
      <c r="MOX60" s="608"/>
      <c r="MOY60" s="608"/>
      <c r="MOZ60" s="608"/>
      <c r="MPA60" s="608"/>
      <c r="MPB60" s="608"/>
      <c r="MPC60" s="608"/>
      <c r="MPD60" s="608"/>
      <c r="MPE60" s="608"/>
      <c r="MPF60" s="608"/>
      <c r="MPG60" s="608"/>
      <c r="MPH60" s="608"/>
      <c r="MPI60" s="608"/>
      <c r="MPJ60" s="608"/>
      <c r="MPK60" s="608"/>
      <c r="MPL60" s="608"/>
      <c r="MPM60" s="608"/>
      <c r="MPN60" s="608"/>
      <c r="MPO60" s="608"/>
      <c r="MPP60" s="608"/>
      <c r="MPQ60" s="608"/>
      <c r="MPR60" s="608"/>
      <c r="MPS60" s="608"/>
      <c r="MPT60" s="608"/>
      <c r="MPU60" s="608"/>
      <c r="MPV60" s="608"/>
      <c r="MPW60" s="608"/>
      <c r="MPX60" s="608"/>
      <c r="MPY60" s="608"/>
      <c r="MPZ60" s="608"/>
      <c r="MQA60" s="608"/>
      <c r="MQB60" s="608"/>
      <c r="MQC60" s="608"/>
      <c r="MQD60" s="608"/>
      <c r="MQE60" s="608"/>
      <c r="MQF60" s="608"/>
      <c r="MQG60" s="608"/>
      <c r="MQH60" s="608"/>
      <c r="MQI60" s="608"/>
      <c r="MQJ60" s="608"/>
      <c r="MQK60" s="608"/>
      <c r="MQL60" s="608"/>
      <c r="MQM60" s="608"/>
      <c r="MQN60" s="608"/>
      <c r="MQO60" s="608"/>
      <c r="MQP60" s="608"/>
      <c r="MQQ60" s="608"/>
      <c r="MQR60" s="608"/>
      <c r="MQS60" s="608"/>
      <c r="MQT60" s="608"/>
      <c r="MQU60" s="608"/>
      <c r="MQV60" s="608"/>
      <c r="MQW60" s="608"/>
      <c r="MQX60" s="608"/>
      <c r="MQY60" s="608"/>
      <c r="MQZ60" s="608"/>
      <c r="MRA60" s="608"/>
      <c r="MRB60" s="608"/>
      <c r="MRC60" s="608"/>
      <c r="MRD60" s="608"/>
      <c r="MRE60" s="608"/>
      <c r="MRF60" s="608"/>
      <c r="MRG60" s="608"/>
      <c r="MRH60" s="608"/>
      <c r="MRI60" s="608"/>
      <c r="MRJ60" s="608"/>
      <c r="MRK60" s="608"/>
      <c r="MRL60" s="608"/>
      <c r="MRM60" s="608"/>
      <c r="MRN60" s="608"/>
      <c r="MRO60" s="608"/>
      <c r="MRP60" s="608"/>
      <c r="MRQ60" s="608"/>
      <c r="MRR60" s="608"/>
      <c r="MRS60" s="608"/>
      <c r="MRT60" s="608"/>
      <c r="MRU60" s="608"/>
      <c r="MRV60" s="608"/>
      <c r="MRW60" s="608"/>
      <c r="MRX60" s="608"/>
      <c r="MRY60" s="608"/>
      <c r="MRZ60" s="608"/>
      <c r="MSA60" s="608"/>
      <c r="MSB60" s="608"/>
      <c r="MSC60" s="608"/>
      <c r="MSD60" s="608"/>
      <c r="MSE60" s="608"/>
      <c r="MSF60" s="608"/>
      <c r="MSG60" s="608"/>
      <c r="MSH60" s="608"/>
      <c r="MSI60" s="608"/>
      <c r="MSJ60" s="608"/>
      <c r="MSK60" s="608"/>
      <c r="MSL60" s="608"/>
      <c r="MSM60" s="608"/>
      <c r="MSN60" s="608"/>
      <c r="MSO60" s="608"/>
      <c r="MSP60" s="608"/>
      <c r="MSQ60" s="608"/>
      <c r="MSR60" s="608"/>
      <c r="MSS60" s="608"/>
      <c r="MST60" s="608"/>
      <c r="MSU60" s="608"/>
      <c r="MSV60" s="608"/>
      <c r="MSW60" s="608"/>
      <c r="MSX60" s="608"/>
      <c r="MSY60" s="608"/>
      <c r="MSZ60" s="608"/>
      <c r="MTA60" s="608"/>
      <c r="MTB60" s="608"/>
      <c r="MTC60" s="608"/>
      <c r="MTD60" s="608"/>
      <c r="MTE60" s="608"/>
      <c r="MTF60" s="608"/>
      <c r="MTG60" s="608"/>
      <c r="MTH60" s="608"/>
      <c r="MTI60" s="608"/>
      <c r="MTJ60" s="608"/>
      <c r="MTK60" s="608"/>
      <c r="MTL60" s="608"/>
      <c r="MTM60" s="608"/>
      <c r="MTN60" s="608"/>
      <c r="MTO60" s="608"/>
      <c r="MTP60" s="608"/>
      <c r="MTQ60" s="608"/>
      <c r="MTR60" s="608"/>
      <c r="MTS60" s="608"/>
      <c r="MTT60" s="608"/>
      <c r="MTU60" s="608"/>
      <c r="MTV60" s="608"/>
      <c r="MTW60" s="608"/>
      <c r="MTX60" s="608"/>
      <c r="MTY60" s="608"/>
      <c r="MTZ60" s="608"/>
      <c r="MUA60" s="608"/>
      <c r="MUB60" s="608"/>
      <c r="MUC60" s="608"/>
      <c r="MUD60" s="608"/>
      <c r="MUE60" s="608"/>
      <c r="MUF60" s="608"/>
      <c r="MUG60" s="608"/>
      <c r="MUH60" s="608"/>
      <c r="MUI60" s="608"/>
      <c r="MUJ60" s="608"/>
      <c r="MUK60" s="608"/>
      <c r="MUL60" s="608"/>
      <c r="MUM60" s="608"/>
      <c r="MUN60" s="608"/>
      <c r="MUO60" s="608"/>
      <c r="MUP60" s="608"/>
      <c r="MUQ60" s="608"/>
      <c r="MUR60" s="608"/>
      <c r="MUS60" s="608"/>
      <c r="MUT60" s="608"/>
      <c r="MUU60" s="608"/>
      <c r="MUV60" s="608"/>
      <c r="MUW60" s="608"/>
      <c r="MUX60" s="608"/>
      <c r="MUY60" s="608"/>
      <c r="MUZ60" s="608"/>
      <c r="MVA60" s="608"/>
      <c r="MVB60" s="608"/>
      <c r="MVC60" s="608"/>
      <c r="MVD60" s="608"/>
      <c r="MVE60" s="608"/>
      <c r="MVF60" s="608"/>
      <c r="MVG60" s="608"/>
      <c r="MVH60" s="608"/>
      <c r="MVI60" s="608"/>
      <c r="MVJ60" s="608"/>
      <c r="MVK60" s="608"/>
      <c r="MVL60" s="608"/>
      <c r="MVM60" s="608"/>
      <c r="MVN60" s="608"/>
      <c r="MVO60" s="608"/>
      <c r="MVP60" s="608"/>
      <c r="MVQ60" s="608"/>
      <c r="MVR60" s="608"/>
      <c r="MVS60" s="608"/>
      <c r="MVT60" s="608"/>
      <c r="MVU60" s="608"/>
      <c r="MVV60" s="608"/>
      <c r="MVW60" s="608"/>
      <c r="MVX60" s="608"/>
      <c r="MVY60" s="608"/>
      <c r="MVZ60" s="608"/>
      <c r="MWA60" s="608"/>
      <c r="MWB60" s="608"/>
      <c r="MWC60" s="608"/>
      <c r="MWD60" s="608"/>
      <c r="MWE60" s="608"/>
      <c r="MWF60" s="608"/>
      <c r="MWG60" s="608"/>
      <c r="MWH60" s="608"/>
      <c r="MWI60" s="608"/>
      <c r="MWJ60" s="608"/>
      <c r="MWK60" s="608"/>
      <c r="MWL60" s="608"/>
      <c r="MWM60" s="608"/>
      <c r="MWN60" s="608"/>
      <c r="MWO60" s="608"/>
      <c r="MWP60" s="608"/>
      <c r="MWQ60" s="608"/>
      <c r="MWR60" s="608"/>
      <c r="MWS60" s="608"/>
      <c r="MWT60" s="608"/>
      <c r="MWU60" s="608"/>
      <c r="MWV60" s="608"/>
      <c r="MWW60" s="608"/>
      <c r="MWX60" s="608"/>
      <c r="MWY60" s="608"/>
      <c r="MWZ60" s="608"/>
      <c r="MXA60" s="608"/>
      <c r="MXB60" s="608"/>
      <c r="MXC60" s="608"/>
      <c r="MXD60" s="608"/>
      <c r="MXE60" s="608"/>
      <c r="MXF60" s="608"/>
      <c r="MXG60" s="608"/>
      <c r="MXH60" s="608"/>
      <c r="MXI60" s="608"/>
      <c r="MXJ60" s="608"/>
      <c r="MXK60" s="608"/>
      <c r="MXL60" s="608"/>
      <c r="MXM60" s="608"/>
      <c r="MXN60" s="608"/>
      <c r="MXO60" s="608"/>
      <c r="MXP60" s="608"/>
      <c r="MXQ60" s="608"/>
      <c r="MXR60" s="608"/>
      <c r="MXS60" s="608"/>
      <c r="MXT60" s="608"/>
      <c r="MXU60" s="608"/>
      <c r="MXV60" s="608"/>
      <c r="MXW60" s="608"/>
      <c r="MXX60" s="608"/>
      <c r="MXY60" s="608"/>
      <c r="MXZ60" s="608"/>
      <c r="MYA60" s="608"/>
      <c r="MYB60" s="608"/>
      <c r="MYC60" s="608"/>
      <c r="MYD60" s="608"/>
      <c r="MYE60" s="608"/>
      <c r="MYF60" s="608"/>
      <c r="MYG60" s="608"/>
      <c r="MYH60" s="608"/>
      <c r="MYI60" s="608"/>
      <c r="MYJ60" s="608"/>
      <c r="MYK60" s="608"/>
      <c r="MYL60" s="608"/>
      <c r="MYM60" s="608"/>
      <c r="MYN60" s="608"/>
      <c r="MYO60" s="608"/>
      <c r="MYP60" s="608"/>
      <c r="MYQ60" s="608"/>
      <c r="MYR60" s="608"/>
      <c r="MYS60" s="608"/>
      <c r="MYT60" s="608"/>
      <c r="MYU60" s="608"/>
      <c r="MYV60" s="608"/>
      <c r="MYW60" s="608"/>
      <c r="MYX60" s="608"/>
      <c r="MYY60" s="608"/>
      <c r="MYZ60" s="608"/>
      <c r="MZA60" s="608"/>
      <c r="MZB60" s="608"/>
      <c r="MZC60" s="608"/>
      <c r="MZD60" s="608"/>
      <c r="MZE60" s="608"/>
      <c r="MZF60" s="608"/>
      <c r="MZG60" s="608"/>
      <c r="MZH60" s="608"/>
      <c r="MZI60" s="608"/>
      <c r="MZJ60" s="608"/>
      <c r="MZK60" s="608"/>
      <c r="MZL60" s="608"/>
      <c r="MZM60" s="608"/>
      <c r="MZN60" s="608"/>
      <c r="MZO60" s="608"/>
      <c r="MZP60" s="608"/>
      <c r="MZQ60" s="608"/>
      <c r="MZR60" s="608"/>
      <c r="MZS60" s="608"/>
      <c r="MZT60" s="608"/>
      <c r="MZU60" s="608"/>
      <c r="MZV60" s="608"/>
      <c r="MZW60" s="608"/>
      <c r="MZX60" s="608"/>
      <c r="MZY60" s="608"/>
      <c r="MZZ60" s="608"/>
      <c r="NAA60" s="608"/>
      <c r="NAB60" s="608"/>
      <c r="NAC60" s="608"/>
      <c r="NAD60" s="608"/>
      <c r="NAE60" s="608"/>
      <c r="NAF60" s="608"/>
      <c r="NAG60" s="608"/>
      <c r="NAH60" s="608"/>
      <c r="NAI60" s="608"/>
      <c r="NAJ60" s="608"/>
      <c r="NAK60" s="608"/>
      <c r="NAL60" s="608"/>
      <c r="NAM60" s="608"/>
      <c r="NAN60" s="608"/>
      <c r="NAO60" s="608"/>
      <c r="NAP60" s="608"/>
      <c r="NAQ60" s="608"/>
      <c r="NAR60" s="608"/>
      <c r="NAS60" s="608"/>
      <c r="NAT60" s="608"/>
      <c r="NAU60" s="608"/>
      <c r="NAV60" s="608"/>
      <c r="NAW60" s="608"/>
      <c r="NAX60" s="608"/>
      <c r="NAY60" s="608"/>
      <c r="NAZ60" s="608"/>
      <c r="NBA60" s="608"/>
      <c r="NBB60" s="608"/>
      <c r="NBC60" s="608"/>
      <c r="NBD60" s="608"/>
      <c r="NBE60" s="608"/>
      <c r="NBF60" s="608"/>
      <c r="NBG60" s="608"/>
      <c r="NBH60" s="608"/>
      <c r="NBI60" s="608"/>
      <c r="NBJ60" s="608"/>
      <c r="NBK60" s="608"/>
      <c r="NBL60" s="608"/>
      <c r="NBM60" s="608"/>
      <c r="NBN60" s="608"/>
      <c r="NBO60" s="608"/>
      <c r="NBP60" s="608"/>
      <c r="NBQ60" s="608"/>
      <c r="NBR60" s="608"/>
      <c r="NBS60" s="608"/>
      <c r="NBT60" s="608"/>
      <c r="NBU60" s="608"/>
      <c r="NBV60" s="608"/>
      <c r="NBW60" s="608"/>
      <c r="NBX60" s="608"/>
      <c r="NBY60" s="608"/>
      <c r="NBZ60" s="608"/>
      <c r="NCA60" s="608"/>
      <c r="NCB60" s="608"/>
      <c r="NCC60" s="608"/>
      <c r="NCD60" s="608"/>
      <c r="NCE60" s="608"/>
      <c r="NCF60" s="608"/>
      <c r="NCG60" s="608"/>
      <c r="NCH60" s="608"/>
      <c r="NCI60" s="608"/>
      <c r="NCJ60" s="608"/>
      <c r="NCK60" s="608"/>
      <c r="NCL60" s="608"/>
      <c r="NCM60" s="608"/>
      <c r="NCN60" s="608"/>
      <c r="NCO60" s="608"/>
      <c r="NCP60" s="608"/>
      <c r="NCQ60" s="608"/>
      <c r="NCR60" s="608"/>
      <c r="NCS60" s="608"/>
      <c r="NCT60" s="608"/>
      <c r="NCU60" s="608"/>
      <c r="NCV60" s="608"/>
      <c r="NCW60" s="608"/>
      <c r="NCX60" s="608"/>
      <c r="NCY60" s="608"/>
      <c r="NCZ60" s="608"/>
      <c r="NDA60" s="608"/>
      <c r="NDB60" s="608"/>
      <c r="NDC60" s="608"/>
      <c r="NDD60" s="608"/>
      <c r="NDE60" s="608"/>
      <c r="NDF60" s="608"/>
      <c r="NDG60" s="608"/>
      <c r="NDH60" s="608"/>
      <c r="NDI60" s="608"/>
      <c r="NDJ60" s="608"/>
      <c r="NDK60" s="608"/>
      <c r="NDL60" s="608"/>
      <c r="NDM60" s="608"/>
      <c r="NDN60" s="608"/>
      <c r="NDO60" s="608"/>
      <c r="NDP60" s="608"/>
      <c r="NDQ60" s="608"/>
      <c r="NDR60" s="608"/>
      <c r="NDS60" s="608"/>
      <c r="NDT60" s="608"/>
      <c r="NDU60" s="608"/>
      <c r="NDV60" s="608"/>
      <c r="NDW60" s="608"/>
      <c r="NDX60" s="608"/>
      <c r="NDY60" s="608"/>
      <c r="NDZ60" s="608"/>
      <c r="NEA60" s="608"/>
      <c r="NEB60" s="608"/>
      <c r="NEC60" s="608"/>
      <c r="NED60" s="608"/>
      <c r="NEE60" s="608"/>
      <c r="NEF60" s="608"/>
      <c r="NEG60" s="608"/>
      <c r="NEH60" s="608"/>
      <c r="NEI60" s="608"/>
      <c r="NEJ60" s="608"/>
      <c r="NEK60" s="608"/>
      <c r="NEL60" s="608"/>
      <c r="NEM60" s="608"/>
      <c r="NEN60" s="608"/>
      <c r="NEO60" s="608"/>
      <c r="NEP60" s="608"/>
      <c r="NEQ60" s="608"/>
      <c r="NER60" s="608"/>
      <c r="NES60" s="608"/>
      <c r="NET60" s="608"/>
      <c r="NEU60" s="608"/>
      <c r="NEV60" s="608"/>
      <c r="NEW60" s="608"/>
      <c r="NEX60" s="608"/>
      <c r="NEY60" s="608"/>
      <c r="NEZ60" s="608"/>
      <c r="NFA60" s="608"/>
      <c r="NFB60" s="608"/>
      <c r="NFC60" s="608"/>
      <c r="NFD60" s="608"/>
      <c r="NFE60" s="608"/>
      <c r="NFF60" s="608"/>
      <c r="NFG60" s="608"/>
      <c r="NFH60" s="608"/>
      <c r="NFI60" s="608"/>
      <c r="NFJ60" s="608"/>
      <c r="NFK60" s="608"/>
      <c r="NFL60" s="608"/>
      <c r="NFM60" s="608"/>
      <c r="NFN60" s="608"/>
      <c r="NFO60" s="608"/>
      <c r="NFP60" s="608"/>
      <c r="NFQ60" s="608"/>
      <c r="NFR60" s="608"/>
      <c r="NFS60" s="608"/>
      <c r="NFT60" s="608"/>
      <c r="NFU60" s="608"/>
      <c r="NFV60" s="608"/>
      <c r="NFW60" s="608"/>
      <c r="NFX60" s="608"/>
      <c r="NFY60" s="608"/>
      <c r="NFZ60" s="608"/>
      <c r="NGA60" s="608"/>
      <c r="NGB60" s="608"/>
      <c r="NGC60" s="608"/>
      <c r="NGD60" s="608"/>
      <c r="NGE60" s="608"/>
      <c r="NGF60" s="608"/>
      <c r="NGG60" s="608"/>
      <c r="NGH60" s="608"/>
      <c r="NGI60" s="608"/>
      <c r="NGJ60" s="608"/>
      <c r="NGK60" s="608"/>
      <c r="NGL60" s="608"/>
      <c r="NGM60" s="608"/>
      <c r="NGN60" s="608"/>
      <c r="NGO60" s="608"/>
      <c r="NGP60" s="608"/>
      <c r="NGQ60" s="608"/>
      <c r="NGR60" s="608"/>
      <c r="NGS60" s="608"/>
      <c r="NGT60" s="608"/>
      <c r="NGU60" s="608"/>
      <c r="NGV60" s="608"/>
      <c r="NGW60" s="608"/>
      <c r="NGX60" s="608"/>
      <c r="NGY60" s="608"/>
      <c r="NGZ60" s="608"/>
      <c r="NHA60" s="608"/>
      <c r="NHB60" s="608"/>
      <c r="NHC60" s="608"/>
      <c r="NHD60" s="608"/>
      <c r="NHE60" s="608"/>
      <c r="NHF60" s="608"/>
      <c r="NHG60" s="608"/>
      <c r="NHH60" s="608"/>
      <c r="NHI60" s="608"/>
      <c r="NHJ60" s="608"/>
      <c r="NHK60" s="608"/>
      <c r="NHL60" s="608"/>
      <c r="NHM60" s="608"/>
      <c r="NHN60" s="608"/>
      <c r="NHO60" s="608"/>
      <c r="NHP60" s="608"/>
      <c r="NHQ60" s="608"/>
      <c r="NHR60" s="608"/>
      <c r="NHS60" s="608"/>
      <c r="NHT60" s="608"/>
      <c r="NHU60" s="608"/>
      <c r="NHV60" s="608"/>
      <c r="NHW60" s="608"/>
      <c r="NHX60" s="608"/>
      <c r="NHY60" s="608"/>
      <c r="NHZ60" s="608"/>
      <c r="NIA60" s="608"/>
      <c r="NIB60" s="608"/>
      <c r="NIC60" s="608"/>
      <c r="NID60" s="608"/>
      <c r="NIE60" s="608"/>
      <c r="NIF60" s="608"/>
      <c r="NIG60" s="608"/>
      <c r="NIH60" s="608"/>
      <c r="NII60" s="608"/>
      <c r="NIJ60" s="608"/>
      <c r="NIK60" s="608"/>
      <c r="NIL60" s="608"/>
      <c r="NIM60" s="608"/>
      <c r="NIN60" s="608"/>
      <c r="NIO60" s="608"/>
      <c r="NIP60" s="608"/>
      <c r="NIQ60" s="608"/>
      <c r="NIR60" s="608"/>
      <c r="NIS60" s="608"/>
      <c r="NIT60" s="608"/>
      <c r="NIU60" s="608"/>
      <c r="NIV60" s="608"/>
      <c r="NIW60" s="608"/>
      <c r="NIX60" s="608"/>
      <c r="NIY60" s="608"/>
      <c r="NIZ60" s="608"/>
      <c r="NJA60" s="608"/>
      <c r="NJB60" s="608"/>
      <c r="NJC60" s="608"/>
      <c r="NJD60" s="608"/>
      <c r="NJE60" s="608"/>
      <c r="NJF60" s="608"/>
      <c r="NJG60" s="608"/>
      <c r="NJH60" s="608"/>
      <c r="NJI60" s="608"/>
      <c r="NJJ60" s="608"/>
      <c r="NJK60" s="608"/>
      <c r="NJL60" s="608"/>
      <c r="NJM60" s="608"/>
      <c r="NJN60" s="608"/>
      <c r="NJO60" s="608"/>
      <c r="NJP60" s="608"/>
      <c r="NJQ60" s="608"/>
      <c r="NJR60" s="608"/>
      <c r="NJS60" s="608"/>
      <c r="NJT60" s="608"/>
      <c r="NJU60" s="608"/>
      <c r="NJV60" s="608"/>
      <c r="NJW60" s="608"/>
      <c r="NJX60" s="608"/>
      <c r="NJY60" s="608"/>
      <c r="NJZ60" s="608"/>
      <c r="NKA60" s="608"/>
      <c r="NKB60" s="608"/>
      <c r="NKC60" s="608"/>
      <c r="NKD60" s="608"/>
      <c r="NKE60" s="608"/>
      <c r="NKF60" s="608"/>
      <c r="NKG60" s="608"/>
      <c r="NKH60" s="608"/>
      <c r="NKI60" s="608"/>
      <c r="NKJ60" s="608"/>
      <c r="NKK60" s="608"/>
      <c r="NKL60" s="608"/>
      <c r="NKM60" s="608"/>
      <c r="NKN60" s="608"/>
      <c r="NKO60" s="608"/>
      <c r="NKP60" s="608"/>
      <c r="NKQ60" s="608"/>
      <c r="NKR60" s="608"/>
      <c r="NKS60" s="608"/>
      <c r="NKT60" s="608"/>
      <c r="NKU60" s="608"/>
      <c r="NKV60" s="608"/>
      <c r="NKW60" s="608"/>
      <c r="NKX60" s="608"/>
      <c r="NKY60" s="608"/>
      <c r="NKZ60" s="608"/>
      <c r="NLA60" s="608"/>
      <c r="NLB60" s="608"/>
      <c r="NLC60" s="608"/>
      <c r="NLD60" s="608"/>
      <c r="NLE60" s="608"/>
      <c r="NLF60" s="608"/>
      <c r="NLG60" s="608"/>
      <c r="NLH60" s="608"/>
      <c r="NLI60" s="608"/>
      <c r="NLJ60" s="608"/>
      <c r="NLK60" s="608"/>
      <c r="NLL60" s="608"/>
      <c r="NLM60" s="608"/>
      <c r="NLN60" s="608"/>
      <c r="NLO60" s="608"/>
      <c r="NLP60" s="608"/>
      <c r="NLQ60" s="608"/>
      <c r="NLR60" s="608"/>
      <c r="NLS60" s="608"/>
      <c r="NLT60" s="608"/>
      <c r="NLU60" s="608"/>
      <c r="NLV60" s="608"/>
      <c r="NLW60" s="608"/>
      <c r="NLX60" s="608"/>
      <c r="NLY60" s="608"/>
      <c r="NLZ60" s="608"/>
      <c r="NMA60" s="608"/>
      <c r="NMB60" s="608"/>
      <c r="NMC60" s="608"/>
      <c r="NMD60" s="608"/>
      <c r="NME60" s="608"/>
      <c r="NMF60" s="608"/>
      <c r="NMG60" s="608"/>
      <c r="NMH60" s="608"/>
      <c r="NMI60" s="608"/>
      <c r="NMJ60" s="608"/>
      <c r="NMK60" s="608"/>
      <c r="NML60" s="608"/>
      <c r="NMM60" s="608"/>
      <c r="NMN60" s="608"/>
      <c r="NMO60" s="608"/>
      <c r="NMP60" s="608"/>
      <c r="NMQ60" s="608"/>
      <c r="NMR60" s="608"/>
      <c r="NMS60" s="608"/>
      <c r="NMT60" s="608"/>
      <c r="NMU60" s="608"/>
      <c r="NMV60" s="608"/>
      <c r="NMW60" s="608"/>
      <c r="NMX60" s="608"/>
      <c r="NMY60" s="608"/>
      <c r="NMZ60" s="608"/>
      <c r="NNA60" s="608"/>
      <c r="NNB60" s="608"/>
      <c r="NNC60" s="608"/>
      <c r="NND60" s="608"/>
      <c r="NNE60" s="608"/>
      <c r="NNF60" s="608"/>
      <c r="NNG60" s="608"/>
      <c r="NNH60" s="608"/>
      <c r="NNI60" s="608"/>
      <c r="NNJ60" s="608"/>
      <c r="NNK60" s="608"/>
      <c r="NNL60" s="608"/>
      <c r="NNM60" s="608"/>
      <c r="NNN60" s="608"/>
      <c r="NNO60" s="608"/>
      <c r="NNP60" s="608"/>
      <c r="NNQ60" s="608"/>
      <c r="NNR60" s="608"/>
      <c r="NNS60" s="608"/>
      <c r="NNT60" s="608"/>
      <c r="NNU60" s="608"/>
      <c r="NNV60" s="608"/>
      <c r="NNW60" s="608"/>
      <c r="NNX60" s="608"/>
      <c r="NNY60" s="608"/>
      <c r="NNZ60" s="608"/>
      <c r="NOA60" s="608"/>
      <c r="NOB60" s="608"/>
      <c r="NOC60" s="608"/>
      <c r="NOD60" s="608"/>
      <c r="NOE60" s="608"/>
      <c r="NOF60" s="608"/>
      <c r="NOG60" s="608"/>
      <c r="NOH60" s="608"/>
      <c r="NOI60" s="608"/>
      <c r="NOJ60" s="608"/>
      <c r="NOK60" s="608"/>
      <c r="NOL60" s="608"/>
      <c r="NOM60" s="608"/>
      <c r="NON60" s="608"/>
      <c r="NOO60" s="608"/>
      <c r="NOP60" s="608"/>
      <c r="NOQ60" s="608"/>
      <c r="NOR60" s="608"/>
      <c r="NOS60" s="608"/>
      <c r="NOT60" s="608"/>
      <c r="NOU60" s="608"/>
      <c r="NOV60" s="608"/>
      <c r="NOW60" s="608"/>
      <c r="NOX60" s="608"/>
      <c r="NOY60" s="608"/>
      <c r="NOZ60" s="608"/>
      <c r="NPA60" s="608"/>
      <c r="NPB60" s="608"/>
      <c r="NPC60" s="608"/>
      <c r="NPD60" s="608"/>
      <c r="NPE60" s="608"/>
      <c r="NPF60" s="608"/>
      <c r="NPG60" s="608"/>
      <c r="NPH60" s="608"/>
      <c r="NPI60" s="608"/>
      <c r="NPJ60" s="608"/>
      <c r="NPK60" s="608"/>
      <c r="NPL60" s="608"/>
      <c r="NPM60" s="608"/>
      <c r="NPN60" s="608"/>
      <c r="NPO60" s="608"/>
      <c r="NPP60" s="608"/>
      <c r="NPQ60" s="608"/>
      <c r="NPR60" s="608"/>
      <c r="NPS60" s="608"/>
      <c r="NPT60" s="608"/>
      <c r="NPU60" s="608"/>
      <c r="NPV60" s="608"/>
      <c r="NPW60" s="608"/>
      <c r="NPX60" s="608"/>
      <c r="NPY60" s="608"/>
      <c r="NPZ60" s="608"/>
      <c r="NQA60" s="608"/>
      <c r="NQB60" s="608"/>
      <c r="NQC60" s="608"/>
      <c r="NQD60" s="608"/>
      <c r="NQE60" s="608"/>
      <c r="NQF60" s="608"/>
      <c r="NQG60" s="608"/>
      <c r="NQH60" s="608"/>
      <c r="NQI60" s="608"/>
      <c r="NQJ60" s="608"/>
      <c r="NQK60" s="608"/>
      <c r="NQL60" s="608"/>
      <c r="NQM60" s="608"/>
      <c r="NQN60" s="608"/>
      <c r="NQO60" s="608"/>
      <c r="NQP60" s="608"/>
      <c r="NQQ60" s="608"/>
      <c r="NQR60" s="608"/>
      <c r="NQS60" s="608"/>
      <c r="NQT60" s="608"/>
      <c r="NQU60" s="608"/>
      <c r="NQV60" s="608"/>
      <c r="NQW60" s="608"/>
      <c r="NQX60" s="608"/>
      <c r="NQY60" s="608"/>
      <c r="NQZ60" s="608"/>
      <c r="NRA60" s="608"/>
      <c r="NRB60" s="608"/>
      <c r="NRC60" s="608"/>
      <c r="NRD60" s="608"/>
      <c r="NRE60" s="608"/>
      <c r="NRF60" s="608"/>
      <c r="NRG60" s="608"/>
      <c r="NRH60" s="608"/>
      <c r="NRI60" s="608"/>
      <c r="NRJ60" s="608"/>
      <c r="NRK60" s="608"/>
      <c r="NRL60" s="608"/>
      <c r="NRM60" s="608"/>
      <c r="NRN60" s="608"/>
      <c r="NRO60" s="608"/>
      <c r="NRP60" s="608"/>
      <c r="NRQ60" s="608"/>
      <c r="NRR60" s="608"/>
      <c r="NRS60" s="608"/>
      <c r="NRT60" s="608"/>
      <c r="NRU60" s="608"/>
      <c r="NRV60" s="608"/>
      <c r="NRW60" s="608"/>
      <c r="NRX60" s="608"/>
      <c r="NRY60" s="608"/>
      <c r="NRZ60" s="608"/>
      <c r="NSA60" s="608"/>
      <c r="NSB60" s="608"/>
      <c r="NSC60" s="608"/>
      <c r="NSD60" s="608"/>
      <c r="NSE60" s="608"/>
      <c r="NSF60" s="608"/>
      <c r="NSG60" s="608"/>
      <c r="NSH60" s="608"/>
      <c r="NSI60" s="608"/>
      <c r="NSJ60" s="608"/>
      <c r="NSK60" s="608"/>
      <c r="NSL60" s="608"/>
      <c r="NSM60" s="608"/>
      <c r="NSN60" s="608"/>
      <c r="NSO60" s="608"/>
      <c r="NSP60" s="608"/>
      <c r="NSQ60" s="608"/>
      <c r="NSR60" s="608"/>
      <c r="NSS60" s="608"/>
      <c r="NST60" s="608"/>
      <c r="NSU60" s="608"/>
      <c r="NSV60" s="608"/>
      <c r="NSW60" s="608"/>
      <c r="NSX60" s="608"/>
      <c r="NSY60" s="608"/>
      <c r="NSZ60" s="608"/>
      <c r="NTA60" s="608"/>
      <c r="NTB60" s="608"/>
      <c r="NTC60" s="608"/>
      <c r="NTD60" s="608"/>
      <c r="NTE60" s="608"/>
      <c r="NTF60" s="608"/>
      <c r="NTG60" s="608"/>
      <c r="NTH60" s="608"/>
      <c r="NTI60" s="608"/>
      <c r="NTJ60" s="608"/>
      <c r="NTK60" s="608"/>
      <c r="NTL60" s="608"/>
      <c r="NTM60" s="608"/>
      <c r="NTN60" s="608"/>
      <c r="NTO60" s="608"/>
      <c r="NTP60" s="608"/>
      <c r="NTQ60" s="608"/>
      <c r="NTR60" s="608"/>
      <c r="NTS60" s="608"/>
      <c r="NTT60" s="608"/>
      <c r="NTU60" s="608"/>
      <c r="NTV60" s="608"/>
      <c r="NTW60" s="608"/>
      <c r="NTX60" s="608"/>
      <c r="NTY60" s="608"/>
      <c r="NTZ60" s="608"/>
      <c r="NUA60" s="608"/>
      <c r="NUB60" s="608"/>
      <c r="NUC60" s="608"/>
      <c r="NUD60" s="608"/>
      <c r="NUE60" s="608"/>
      <c r="NUF60" s="608"/>
      <c r="NUG60" s="608"/>
      <c r="NUH60" s="608"/>
      <c r="NUI60" s="608"/>
      <c r="NUJ60" s="608"/>
      <c r="NUK60" s="608"/>
      <c r="NUL60" s="608"/>
      <c r="NUM60" s="608"/>
      <c r="NUN60" s="608"/>
      <c r="NUO60" s="608"/>
      <c r="NUP60" s="608"/>
      <c r="NUQ60" s="608"/>
      <c r="NUR60" s="608"/>
      <c r="NUS60" s="608"/>
      <c r="NUT60" s="608"/>
      <c r="NUU60" s="608"/>
      <c r="NUV60" s="608"/>
      <c r="NUW60" s="608"/>
      <c r="NUX60" s="608"/>
      <c r="NUY60" s="608"/>
      <c r="NUZ60" s="608"/>
      <c r="NVA60" s="608"/>
      <c r="NVB60" s="608"/>
      <c r="NVC60" s="608"/>
      <c r="NVD60" s="608"/>
      <c r="NVE60" s="608"/>
      <c r="NVF60" s="608"/>
      <c r="NVG60" s="608"/>
      <c r="NVH60" s="608"/>
      <c r="NVI60" s="608"/>
      <c r="NVJ60" s="608"/>
      <c r="NVK60" s="608"/>
      <c r="NVL60" s="608"/>
      <c r="NVM60" s="608"/>
      <c r="NVN60" s="608"/>
      <c r="NVO60" s="608"/>
      <c r="NVP60" s="608"/>
      <c r="NVQ60" s="608"/>
      <c r="NVR60" s="608"/>
      <c r="NVS60" s="608"/>
      <c r="NVT60" s="608"/>
      <c r="NVU60" s="608"/>
      <c r="NVV60" s="608"/>
      <c r="NVW60" s="608"/>
      <c r="NVX60" s="608"/>
      <c r="NVY60" s="608"/>
      <c r="NVZ60" s="608"/>
      <c r="NWA60" s="608"/>
      <c r="NWB60" s="608"/>
      <c r="NWC60" s="608"/>
      <c r="NWD60" s="608"/>
      <c r="NWE60" s="608"/>
      <c r="NWF60" s="608"/>
      <c r="NWG60" s="608"/>
      <c r="NWH60" s="608"/>
      <c r="NWI60" s="608"/>
      <c r="NWJ60" s="608"/>
      <c r="NWK60" s="608"/>
      <c r="NWL60" s="608"/>
      <c r="NWM60" s="608"/>
      <c r="NWN60" s="608"/>
      <c r="NWO60" s="608"/>
      <c r="NWP60" s="608"/>
      <c r="NWQ60" s="608"/>
      <c r="NWR60" s="608"/>
      <c r="NWS60" s="608"/>
      <c r="NWT60" s="608"/>
      <c r="NWU60" s="608"/>
      <c r="NWV60" s="608"/>
      <c r="NWW60" s="608"/>
      <c r="NWX60" s="608"/>
      <c r="NWY60" s="608"/>
      <c r="NWZ60" s="608"/>
      <c r="NXA60" s="608"/>
      <c r="NXB60" s="608"/>
      <c r="NXC60" s="608"/>
      <c r="NXD60" s="608"/>
      <c r="NXE60" s="608"/>
      <c r="NXF60" s="608"/>
      <c r="NXG60" s="608"/>
      <c r="NXH60" s="608"/>
      <c r="NXI60" s="608"/>
      <c r="NXJ60" s="608"/>
      <c r="NXK60" s="608"/>
      <c r="NXL60" s="608"/>
      <c r="NXM60" s="608"/>
      <c r="NXN60" s="608"/>
      <c r="NXO60" s="608"/>
      <c r="NXP60" s="608"/>
      <c r="NXQ60" s="608"/>
      <c r="NXR60" s="608"/>
      <c r="NXS60" s="608"/>
      <c r="NXT60" s="608"/>
      <c r="NXU60" s="608"/>
      <c r="NXV60" s="608"/>
      <c r="NXW60" s="608"/>
      <c r="NXX60" s="608"/>
      <c r="NXY60" s="608"/>
      <c r="NXZ60" s="608"/>
      <c r="NYA60" s="608"/>
      <c r="NYB60" s="608"/>
      <c r="NYC60" s="608"/>
      <c r="NYD60" s="608"/>
      <c r="NYE60" s="608"/>
      <c r="NYF60" s="608"/>
      <c r="NYG60" s="608"/>
      <c r="NYH60" s="608"/>
      <c r="NYI60" s="608"/>
      <c r="NYJ60" s="608"/>
      <c r="NYK60" s="608"/>
      <c r="NYL60" s="608"/>
      <c r="NYM60" s="608"/>
      <c r="NYN60" s="608"/>
      <c r="NYO60" s="608"/>
      <c r="NYP60" s="608"/>
      <c r="NYQ60" s="608"/>
      <c r="NYR60" s="608"/>
      <c r="NYS60" s="608"/>
      <c r="NYT60" s="608"/>
      <c r="NYU60" s="608"/>
      <c r="NYV60" s="608"/>
      <c r="NYW60" s="608"/>
      <c r="NYX60" s="608"/>
      <c r="NYY60" s="608"/>
      <c r="NYZ60" s="608"/>
      <c r="NZA60" s="608"/>
      <c r="NZB60" s="608"/>
      <c r="NZC60" s="608"/>
      <c r="NZD60" s="608"/>
      <c r="NZE60" s="608"/>
      <c r="NZF60" s="608"/>
      <c r="NZG60" s="608"/>
      <c r="NZH60" s="608"/>
      <c r="NZI60" s="608"/>
      <c r="NZJ60" s="608"/>
      <c r="NZK60" s="608"/>
      <c r="NZL60" s="608"/>
      <c r="NZM60" s="608"/>
      <c r="NZN60" s="608"/>
      <c r="NZO60" s="608"/>
      <c r="NZP60" s="608"/>
      <c r="NZQ60" s="608"/>
      <c r="NZR60" s="608"/>
      <c r="NZS60" s="608"/>
      <c r="NZT60" s="608"/>
      <c r="NZU60" s="608"/>
      <c r="NZV60" s="608"/>
      <c r="NZW60" s="608"/>
      <c r="NZX60" s="608"/>
      <c r="NZY60" s="608"/>
      <c r="NZZ60" s="608"/>
      <c r="OAA60" s="608"/>
      <c r="OAB60" s="608"/>
      <c r="OAC60" s="608"/>
      <c r="OAD60" s="608"/>
      <c r="OAE60" s="608"/>
      <c r="OAF60" s="608"/>
      <c r="OAG60" s="608"/>
      <c r="OAH60" s="608"/>
      <c r="OAI60" s="608"/>
      <c r="OAJ60" s="608"/>
      <c r="OAK60" s="608"/>
      <c r="OAL60" s="608"/>
      <c r="OAM60" s="608"/>
      <c r="OAN60" s="608"/>
      <c r="OAO60" s="608"/>
      <c r="OAP60" s="608"/>
      <c r="OAQ60" s="608"/>
      <c r="OAR60" s="608"/>
      <c r="OAS60" s="608"/>
      <c r="OAT60" s="608"/>
      <c r="OAU60" s="608"/>
      <c r="OAV60" s="608"/>
      <c r="OAW60" s="608"/>
      <c r="OAX60" s="608"/>
      <c r="OAY60" s="608"/>
      <c r="OAZ60" s="608"/>
      <c r="OBA60" s="608"/>
      <c r="OBB60" s="608"/>
      <c r="OBC60" s="608"/>
      <c r="OBD60" s="608"/>
      <c r="OBE60" s="608"/>
      <c r="OBF60" s="608"/>
      <c r="OBG60" s="608"/>
      <c r="OBH60" s="608"/>
      <c r="OBI60" s="608"/>
      <c r="OBJ60" s="608"/>
      <c r="OBK60" s="608"/>
      <c r="OBL60" s="608"/>
      <c r="OBM60" s="608"/>
      <c r="OBN60" s="608"/>
      <c r="OBO60" s="608"/>
      <c r="OBP60" s="608"/>
      <c r="OBQ60" s="608"/>
      <c r="OBR60" s="608"/>
      <c r="OBS60" s="608"/>
      <c r="OBT60" s="608"/>
      <c r="OBU60" s="608"/>
      <c r="OBV60" s="608"/>
      <c r="OBW60" s="608"/>
      <c r="OBX60" s="608"/>
      <c r="OBY60" s="608"/>
      <c r="OBZ60" s="608"/>
      <c r="OCA60" s="608"/>
      <c r="OCB60" s="608"/>
      <c r="OCC60" s="608"/>
      <c r="OCD60" s="608"/>
      <c r="OCE60" s="608"/>
      <c r="OCF60" s="608"/>
      <c r="OCG60" s="608"/>
      <c r="OCH60" s="608"/>
      <c r="OCI60" s="608"/>
      <c r="OCJ60" s="608"/>
      <c r="OCK60" s="608"/>
      <c r="OCL60" s="608"/>
      <c r="OCM60" s="608"/>
      <c r="OCN60" s="608"/>
      <c r="OCO60" s="608"/>
      <c r="OCP60" s="608"/>
      <c r="OCQ60" s="608"/>
      <c r="OCR60" s="608"/>
      <c r="OCS60" s="608"/>
      <c r="OCT60" s="608"/>
      <c r="OCU60" s="608"/>
      <c r="OCV60" s="608"/>
      <c r="OCW60" s="608"/>
      <c r="OCX60" s="608"/>
      <c r="OCY60" s="608"/>
      <c r="OCZ60" s="608"/>
      <c r="ODA60" s="608"/>
      <c r="ODB60" s="608"/>
      <c r="ODC60" s="608"/>
      <c r="ODD60" s="608"/>
      <c r="ODE60" s="608"/>
      <c r="ODF60" s="608"/>
      <c r="ODG60" s="608"/>
      <c r="ODH60" s="608"/>
      <c r="ODI60" s="608"/>
      <c r="ODJ60" s="608"/>
      <c r="ODK60" s="608"/>
      <c r="ODL60" s="608"/>
      <c r="ODM60" s="608"/>
      <c r="ODN60" s="608"/>
      <c r="ODO60" s="608"/>
      <c r="ODP60" s="608"/>
      <c r="ODQ60" s="608"/>
      <c r="ODR60" s="608"/>
      <c r="ODS60" s="608"/>
      <c r="ODT60" s="608"/>
      <c r="ODU60" s="608"/>
      <c r="ODV60" s="608"/>
      <c r="ODW60" s="608"/>
      <c r="ODX60" s="608"/>
      <c r="ODY60" s="608"/>
      <c r="ODZ60" s="608"/>
      <c r="OEA60" s="608"/>
      <c r="OEB60" s="608"/>
      <c r="OEC60" s="608"/>
      <c r="OED60" s="608"/>
      <c r="OEE60" s="608"/>
      <c r="OEF60" s="608"/>
      <c r="OEG60" s="608"/>
      <c r="OEH60" s="608"/>
      <c r="OEI60" s="608"/>
      <c r="OEJ60" s="608"/>
      <c r="OEK60" s="608"/>
      <c r="OEL60" s="608"/>
      <c r="OEM60" s="608"/>
      <c r="OEN60" s="608"/>
      <c r="OEO60" s="608"/>
      <c r="OEP60" s="608"/>
      <c r="OEQ60" s="608"/>
      <c r="OER60" s="608"/>
      <c r="OES60" s="608"/>
      <c r="OET60" s="608"/>
      <c r="OEU60" s="608"/>
      <c r="OEV60" s="608"/>
      <c r="OEW60" s="608"/>
      <c r="OEX60" s="608"/>
      <c r="OEY60" s="608"/>
      <c r="OEZ60" s="608"/>
      <c r="OFA60" s="608"/>
      <c r="OFB60" s="608"/>
      <c r="OFC60" s="608"/>
      <c r="OFD60" s="608"/>
      <c r="OFE60" s="608"/>
      <c r="OFF60" s="608"/>
      <c r="OFG60" s="608"/>
      <c r="OFH60" s="608"/>
      <c r="OFI60" s="608"/>
      <c r="OFJ60" s="608"/>
      <c r="OFK60" s="608"/>
      <c r="OFL60" s="608"/>
      <c r="OFM60" s="608"/>
      <c r="OFN60" s="608"/>
      <c r="OFO60" s="608"/>
      <c r="OFP60" s="608"/>
      <c r="OFQ60" s="608"/>
      <c r="OFR60" s="608"/>
      <c r="OFS60" s="608"/>
      <c r="OFT60" s="608"/>
      <c r="OFU60" s="608"/>
      <c r="OFV60" s="608"/>
      <c r="OFW60" s="608"/>
      <c r="OFX60" s="608"/>
      <c r="OFY60" s="608"/>
      <c r="OFZ60" s="608"/>
      <c r="OGA60" s="608"/>
      <c r="OGB60" s="608"/>
      <c r="OGC60" s="608"/>
      <c r="OGD60" s="608"/>
      <c r="OGE60" s="608"/>
      <c r="OGF60" s="608"/>
      <c r="OGG60" s="608"/>
      <c r="OGH60" s="608"/>
      <c r="OGI60" s="608"/>
      <c r="OGJ60" s="608"/>
      <c r="OGK60" s="608"/>
      <c r="OGL60" s="608"/>
      <c r="OGM60" s="608"/>
      <c r="OGN60" s="608"/>
      <c r="OGO60" s="608"/>
      <c r="OGP60" s="608"/>
      <c r="OGQ60" s="608"/>
      <c r="OGR60" s="608"/>
      <c r="OGS60" s="608"/>
      <c r="OGT60" s="608"/>
      <c r="OGU60" s="608"/>
      <c r="OGV60" s="608"/>
      <c r="OGW60" s="608"/>
      <c r="OGX60" s="608"/>
      <c r="OGY60" s="608"/>
      <c r="OGZ60" s="608"/>
      <c r="OHA60" s="608"/>
      <c r="OHB60" s="608"/>
      <c r="OHC60" s="608"/>
      <c r="OHD60" s="608"/>
      <c r="OHE60" s="608"/>
      <c r="OHF60" s="608"/>
      <c r="OHG60" s="608"/>
      <c r="OHH60" s="608"/>
      <c r="OHI60" s="608"/>
      <c r="OHJ60" s="608"/>
      <c r="OHK60" s="608"/>
      <c r="OHL60" s="608"/>
      <c r="OHM60" s="608"/>
      <c r="OHN60" s="608"/>
      <c r="OHO60" s="608"/>
      <c r="OHP60" s="608"/>
      <c r="OHQ60" s="608"/>
      <c r="OHR60" s="608"/>
      <c r="OHS60" s="608"/>
      <c r="OHT60" s="608"/>
      <c r="OHU60" s="608"/>
      <c r="OHV60" s="608"/>
      <c r="OHW60" s="608"/>
      <c r="OHX60" s="608"/>
      <c r="OHY60" s="608"/>
      <c r="OHZ60" s="608"/>
      <c r="OIA60" s="608"/>
      <c r="OIB60" s="608"/>
      <c r="OIC60" s="608"/>
      <c r="OID60" s="608"/>
      <c r="OIE60" s="608"/>
      <c r="OIF60" s="608"/>
      <c r="OIG60" s="608"/>
      <c r="OIH60" s="608"/>
      <c r="OII60" s="608"/>
      <c r="OIJ60" s="608"/>
      <c r="OIK60" s="608"/>
      <c r="OIL60" s="608"/>
      <c r="OIM60" s="608"/>
      <c r="OIN60" s="608"/>
      <c r="OIO60" s="608"/>
      <c r="OIP60" s="608"/>
      <c r="OIQ60" s="608"/>
      <c r="OIR60" s="608"/>
      <c r="OIS60" s="608"/>
      <c r="OIT60" s="608"/>
      <c r="OIU60" s="608"/>
      <c r="OIV60" s="608"/>
      <c r="OIW60" s="608"/>
      <c r="OIX60" s="608"/>
      <c r="OIY60" s="608"/>
      <c r="OIZ60" s="608"/>
      <c r="OJA60" s="608"/>
      <c r="OJB60" s="608"/>
      <c r="OJC60" s="608"/>
      <c r="OJD60" s="608"/>
      <c r="OJE60" s="608"/>
      <c r="OJF60" s="608"/>
      <c r="OJG60" s="608"/>
      <c r="OJH60" s="608"/>
      <c r="OJI60" s="608"/>
      <c r="OJJ60" s="608"/>
      <c r="OJK60" s="608"/>
      <c r="OJL60" s="608"/>
      <c r="OJM60" s="608"/>
      <c r="OJN60" s="608"/>
      <c r="OJO60" s="608"/>
      <c r="OJP60" s="608"/>
      <c r="OJQ60" s="608"/>
      <c r="OJR60" s="608"/>
      <c r="OJS60" s="608"/>
      <c r="OJT60" s="608"/>
      <c r="OJU60" s="608"/>
      <c r="OJV60" s="608"/>
      <c r="OJW60" s="608"/>
      <c r="OJX60" s="608"/>
      <c r="OJY60" s="608"/>
      <c r="OJZ60" s="608"/>
      <c r="OKA60" s="608"/>
      <c r="OKB60" s="608"/>
      <c r="OKC60" s="608"/>
      <c r="OKD60" s="608"/>
      <c r="OKE60" s="608"/>
      <c r="OKF60" s="608"/>
      <c r="OKG60" s="608"/>
      <c r="OKH60" s="608"/>
      <c r="OKI60" s="608"/>
      <c r="OKJ60" s="608"/>
      <c r="OKK60" s="608"/>
      <c r="OKL60" s="608"/>
      <c r="OKM60" s="608"/>
      <c r="OKN60" s="608"/>
      <c r="OKO60" s="608"/>
      <c r="OKP60" s="608"/>
      <c r="OKQ60" s="608"/>
      <c r="OKR60" s="608"/>
      <c r="OKS60" s="608"/>
      <c r="OKT60" s="608"/>
      <c r="OKU60" s="608"/>
      <c r="OKV60" s="608"/>
      <c r="OKW60" s="608"/>
      <c r="OKX60" s="608"/>
      <c r="OKY60" s="608"/>
      <c r="OKZ60" s="608"/>
      <c r="OLA60" s="608"/>
      <c r="OLB60" s="608"/>
      <c r="OLC60" s="608"/>
      <c r="OLD60" s="608"/>
      <c r="OLE60" s="608"/>
      <c r="OLF60" s="608"/>
      <c r="OLG60" s="608"/>
      <c r="OLH60" s="608"/>
      <c r="OLI60" s="608"/>
      <c r="OLJ60" s="608"/>
      <c r="OLK60" s="608"/>
      <c r="OLL60" s="608"/>
      <c r="OLM60" s="608"/>
      <c r="OLN60" s="608"/>
      <c r="OLO60" s="608"/>
      <c r="OLP60" s="608"/>
      <c r="OLQ60" s="608"/>
      <c r="OLR60" s="608"/>
      <c r="OLS60" s="608"/>
      <c r="OLT60" s="608"/>
      <c r="OLU60" s="608"/>
      <c r="OLV60" s="608"/>
      <c r="OLW60" s="608"/>
      <c r="OLX60" s="608"/>
      <c r="OLY60" s="608"/>
      <c r="OLZ60" s="608"/>
      <c r="OMA60" s="608"/>
      <c r="OMB60" s="608"/>
      <c r="OMC60" s="608"/>
      <c r="OMD60" s="608"/>
      <c r="OME60" s="608"/>
      <c r="OMF60" s="608"/>
      <c r="OMG60" s="608"/>
      <c r="OMH60" s="608"/>
      <c r="OMI60" s="608"/>
      <c r="OMJ60" s="608"/>
      <c r="OMK60" s="608"/>
      <c r="OML60" s="608"/>
      <c r="OMM60" s="608"/>
      <c r="OMN60" s="608"/>
      <c r="OMO60" s="608"/>
      <c r="OMP60" s="608"/>
      <c r="OMQ60" s="608"/>
      <c r="OMR60" s="608"/>
      <c r="OMS60" s="608"/>
      <c r="OMT60" s="608"/>
      <c r="OMU60" s="608"/>
      <c r="OMV60" s="608"/>
      <c r="OMW60" s="608"/>
      <c r="OMX60" s="608"/>
      <c r="OMY60" s="608"/>
      <c r="OMZ60" s="608"/>
      <c r="ONA60" s="608"/>
      <c r="ONB60" s="608"/>
      <c r="ONC60" s="608"/>
      <c r="OND60" s="608"/>
      <c r="ONE60" s="608"/>
      <c r="ONF60" s="608"/>
      <c r="ONG60" s="608"/>
      <c r="ONH60" s="608"/>
      <c r="ONI60" s="608"/>
      <c r="ONJ60" s="608"/>
      <c r="ONK60" s="608"/>
      <c r="ONL60" s="608"/>
      <c r="ONM60" s="608"/>
      <c r="ONN60" s="608"/>
      <c r="ONO60" s="608"/>
      <c r="ONP60" s="608"/>
      <c r="ONQ60" s="608"/>
      <c r="ONR60" s="608"/>
      <c r="ONS60" s="608"/>
      <c r="ONT60" s="608"/>
      <c r="ONU60" s="608"/>
      <c r="ONV60" s="608"/>
      <c r="ONW60" s="608"/>
      <c r="ONX60" s="608"/>
      <c r="ONY60" s="608"/>
      <c r="ONZ60" s="608"/>
      <c r="OOA60" s="608"/>
      <c r="OOB60" s="608"/>
      <c r="OOC60" s="608"/>
      <c r="OOD60" s="608"/>
      <c r="OOE60" s="608"/>
      <c r="OOF60" s="608"/>
      <c r="OOG60" s="608"/>
      <c r="OOH60" s="608"/>
      <c r="OOI60" s="608"/>
      <c r="OOJ60" s="608"/>
      <c r="OOK60" s="608"/>
      <c r="OOL60" s="608"/>
      <c r="OOM60" s="608"/>
      <c r="OON60" s="608"/>
      <c r="OOO60" s="608"/>
      <c r="OOP60" s="608"/>
      <c r="OOQ60" s="608"/>
      <c r="OOR60" s="608"/>
      <c r="OOS60" s="608"/>
      <c r="OOT60" s="608"/>
      <c r="OOU60" s="608"/>
      <c r="OOV60" s="608"/>
      <c r="OOW60" s="608"/>
      <c r="OOX60" s="608"/>
      <c r="OOY60" s="608"/>
      <c r="OOZ60" s="608"/>
      <c r="OPA60" s="608"/>
      <c r="OPB60" s="608"/>
      <c r="OPC60" s="608"/>
      <c r="OPD60" s="608"/>
      <c r="OPE60" s="608"/>
      <c r="OPF60" s="608"/>
      <c r="OPG60" s="608"/>
      <c r="OPH60" s="608"/>
      <c r="OPI60" s="608"/>
      <c r="OPJ60" s="608"/>
      <c r="OPK60" s="608"/>
      <c r="OPL60" s="608"/>
      <c r="OPM60" s="608"/>
      <c r="OPN60" s="608"/>
      <c r="OPO60" s="608"/>
      <c r="OPP60" s="608"/>
      <c r="OPQ60" s="608"/>
      <c r="OPR60" s="608"/>
      <c r="OPS60" s="608"/>
      <c r="OPT60" s="608"/>
      <c r="OPU60" s="608"/>
      <c r="OPV60" s="608"/>
      <c r="OPW60" s="608"/>
      <c r="OPX60" s="608"/>
      <c r="OPY60" s="608"/>
      <c r="OPZ60" s="608"/>
      <c r="OQA60" s="608"/>
      <c r="OQB60" s="608"/>
      <c r="OQC60" s="608"/>
      <c r="OQD60" s="608"/>
      <c r="OQE60" s="608"/>
      <c r="OQF60" s="608"/>
      <c r="OQG60" s="608"/>
      <c r="OQH60" s="608"/>
      <c r="OQI60" s="608"/>
      <c r="OQJ60" s="608"/>
      <c r="OQK60" s="608"/>
      <c r="OQL60" s="608"/>
      <c r="OQM60" s="608"/>
      <c r="OQN60" s="608"/>
      <c r="OQO60" s="608"/>
      <c r="OQP60" s="608"/>
      <c r="OQQ60" s="608"/>
      <c r="OQR60" s="608"/>
      <c r="OQS60" s="608"/>
      <c r="OQT60" s="608"/>
      <c r="OQU60" s="608"/>
      <c r="OQV60" s="608"/>
      <c r="OQW60" s="608"/>
      <c r="OQX60" s="608"/>
      <c r="OQY60" s="608"/>
      <c r="OQZ60" s="608"/>
      <c r="ORA60" s="608"/>
      <c r="ORB60" s="608"/>
      <c r="ORC60" s="608"/>
      <c r="ORD60" s="608"/>
      <c r="ORE60" s="608"/>
      <c r="ORF60" s="608"/>
      <c r="ORG60" s="608"/>
      <c r="ORH60" s="608"/>
      <c r="ORI60" s="608"/>
      <c r="ORJ60" s="608"/>
      <c r="ORK60" s="608"/>
      <c r="ORL60" s="608"/>
      <c r="ORM60" s="608"/>
      <c r="ORN60" s="608"/>
      <c r="ORO60" s="608"/>
      <c r="ORP60" s="608"/>
      <c r="ORQ60" s="608"/>
      <c r="ORR60" s="608"/>
      <c r="ORS60" s="608"/>
      <c r="ORT60" s="608"/>
      <c r="ORU60" s="608"/>
      <c r="ORV60" s="608"/>
      <c r="ORW60" s="608"/>
      <c r="ORX60" s="608"/>
      <c r="ORY60" s="608"/>
      <c r="ORZ60" s="608"/>
      <c r="OSA60" s="608"/>
      <c r="OSB60" s="608"/>
      <c r="OSC60" s="608"/>
      <c r="OSD60" s="608"/>
      <c r="OSE60" s="608"/>
      <c r="OSF60" s="608"/>
      <c r="OSG60" s="608"/>
      <c r="OSH60" s="608"/>
      <c r="OSI60" s="608"/>
      <c r="OSJ60" s="608"/>
      <c r="OSK60" s="608"/>
      <c r="OSL60" s="608"/>
      <c r="OSM60" s="608"/>
      <c r="OSN60" s="608"/>
      <c r="OSO60" s="608"/>
      <c r="OSP60" s="608"/>
      <c r="OSQ60" s="608"/>
      <c r="OSR60" s="608"/>
      <c r="OSS60" s="608"/>
      <c r="OST60" s="608"/>
      <c r="OSU60" s="608"/>
      <c r="OSV60" s="608"/>
      <c r="OSW60" s="608"/>
      <c r="OSX60" s="608"/>
      <c r="OSY60" s="608"/>
      <c r="OSZ60" s="608"/>
      <c r="OTA60" s="608"/>
      <c r="OTB60" s="608"/>
      <c r="OTC60" s="608"/>
      <c r="OTD60" s="608"/>
      <c r="OTE60" s="608"/>
      <c r="OTF60" s="608"/>
      <c r="OTG60" s="608"/>
      <c r="OTH60" s="608"/>
      <c r="OTI60" s="608"/>
      <c r="OTJ60" s="608"/>
      <c r="OTK60" s="608"/>
      <c r="OTL60" s="608"/>
      <c r="OTM60" s="608"/>
      <c r="OTN60" s="608"/>
      <c r="OTO60" s="608"/>
      <c r="OTP60" s="608"/>
      <c r="OTQ60" s="608"/>
      <c r="OTR60" s="608"/>
      <c r="OTS60" s="608"/>
      <c r="OTT60" s="608"/>
      <c r="OTU60" s="608"/>
      <c r="OTV60" s="608"/>
      <c r="OTW60" s="608"/>
      <c r="OTX60" s="608"/>
      <c r="OTY60" s="608"/>
      <c r="OTZ60" s="608"/>
      <c r="OUA60" s="608"/>
      <c r="OUB60" s="608"/>
      <c r="OUC60" s="608"/>
      <c r="OUD60" s="608"/>
      <c r="OUE60" s="608"/>
      <c r="OUF60" s="608"/>
      <c r="OUG60" s="608"/>
      <c r="OUH60" s="608"/>
      <c r="OUI60" s="608"/>
      <c r="OUJ60" s="608"/>
      <c r="OUK60" s="608"/>
      <c r="OUL60" s="608"/>
      <c r="OUM60" s="608"/>
      <c r="OUN60" s="608"/>
      <c r="OUO60" s="608"/>
      <c r="OUP60" s="608"/>
      <c r="OUQ60" s="608"/>
      <c r="OUR60" s="608"/>
      <c r="OUS60" s="608"/>
      <c r="OUT60" s="608"/>
      <c r="OUU60" s="608"/>
      <c r="OUV60" s="608"/>
      <c r="OUW60" s="608"/>
      <c r="OUX60" s="608"/>
      <c r="OUY60" s="608"/>
      <c r="OUZ60" s="608"/>
      <c r="OVA60" s="608"/>
      <c r="OVB60" s="608"/>
      <c r="OVC60" s="608"/>
      <c r="OVD60" s="608"/>
      <c r="OVE60" s="608"/>
      <c r="OVF60" s="608"/>
      <c r="OVG60" s="608"/>
      <c r="OVH60" s="608"/>
      <c r="OVI60" s="608"/>
      <c r="OVJ60" s="608"/>
      <c r="OVK60" s="608"/>
      <c r="OVL60" s="608"/>
      <c r="OVM60" s="608"/>
      <c r="OVN60" s="608"/>
      <c r="OVO60" s="608"/>
      <c r="OVP60" s="608"/>
      <c r="OVQ60" s="608"/>
      <c r="OVR60" s="608"/>
      <c r="OVS60" s="608"/>
      <c r="OVT60" s="608"/>
      <c r="OVU60" s="608"/>
      <c r="OVV60" s="608"/>
      <c r="OVW60" s="608"/>
      <c r="OVX60" s="608"/>
      <c r="OVY60" s="608"/>
      <c r="OVZ60" s="608"/>
      <c r="OWA60" s="608"/>
      <c r="OWB60" s="608"/>
      <c r="OWC60" s="608"/>
      <c r="OWD60" s="608"/>
      <c r="OWE60" s="608"/>
      <c r="OWF60" s="608"/>
      <c r="OWG60" s="608"/>
      <c r="OWH60" s="608"/>
      <c r="OWI60" s="608"/>
      <c r="OWJ60" s="608"/>
      <c r="OWK60" s="608"/>
      <c r="OWL60" s="608"/>
      <c r="OWM60" s="608"/>
      <c r="OWN60" s="608"/>
      <c r="OWO60" s="608"/>
      <c r="OWP60" s="608"/>
      <c r="OWQ60" s="608"/>
      <c r="OWR60" s="608"/>
      <c r="OWS60" s="608"/>
      <c r="OWT60" s="608"/>
      <c r="OWU60" s="608"/>
      <c r="OWV60" s="608"/>
      <c r="OWW60" s="608"/>
      <c r="OWX60" s="608"/>
      <c r="OWY60" s="608"/>
      <c r="OWZ60" s="608"/>
      <c r="OXA60" s="608"/>
      <c r="OXB60" s="608"/>
      <c r="OXC60" s="608"/>
      <c r="OXD60" s="608"/>
      <c r="OXE60" s="608"/>
      <c r="OXF60" s="608"/>
      <c r="OXG60" s="608"/>
      <c r="OXH60" s="608"/>
      <c r="OXI60" s="608"/>
      <c r="OXJ60" s="608"/>
      <c r="OXK60" s="608"/>
      <c r="OXL60" s="608"/>
      <c r="OXM60" s="608"/>
      <c r="OXN60" s="608"/>
      <c r="OXO60" s="608"/>
      <c r="OXP60" s="608"/>
      <c r="OXQ60" s="608"/>
      <c r="OXR60" s="608"/>
      <c r="OXS60" s="608"/>
      <c r="OXT60" s="608"/>
      <c r="OXU60" s="608"/>
      <c r="OXV60" s="608"/>
      <c r="OXW60" s="608"/>
      <c r="OXX60" s="608"/>
      <c r="OXY60" s="608"/>
      <c r="OXZ60" s="608"/>
      <c r="OYA60" s="608"/>
      <c r="OYB60" s="608"/>
      <c r="OYC60" s="608"/>
      <c r="OYD60" s="608"/>
      <c r="OYE60" s="608"/>
      <c r="OYF60" s="608"/>
      <c r="OYG60" s="608"/>
      <c r="OYH60" s="608"/>
      <c r="OYI60" s="608"/>
      <c r="OYJ60" s="608"/>
      <c r="OYK60" s="608"/>
      <c r="OYL60" s="608"/>
      <c r="OYM60" s="608"/>
      <c r="OYN60" s="608"/>
      <c r="OYO60" s="608"/>
      <c r="OYP60" s="608"/>
      <c r="OYQ60" s="608"/>
      <c r="OYR60" s="608"/>
      <c r="OYS60" s="608"/>
      <c r="OYT60" s="608"/>
      <c r="OYU60" s="608"/>
      <c r="OYV60" s="608"/>
      <c r="OYW60" s="608"/>
      <c r="OYX60" s="608"/>
      <c r="OYY60" s="608"/>
      <c r="OYZ60" s="608"/>
      <c r="OZA60" s="608"/>
      <c r="OZB60" s="608"/>
      <c r="OZC60" s="608"/>
      <c r="OZD60" s="608"/>
      <c r="OZE60" s="608"/>
      <c r="OZF60" s="608"/>
      <c r="OZG60" s="608"/>
      <c r="OZH60" s="608"/>
      <c r="OZI60" s="608"/>
      <c r="OZJ60" s="608"/>
      <c r="OZK60" s="608"/>
      <c r="OZL60" s="608"/>
      <c r="OZM60" s="608"/>
      <c r="OZN60" s="608"/>
      <c r="OZO60" s="608"/>
      <c r="OZP60" s="608"/>
      <c r="OZQ60" s="608"/>
      <c r="OZR60" s="608"/>
      <c r="OZS60" s="608"/>
      <c r="OZT60" s="608"/>
      <c r="OZU60" s="608"/>
      <c r="OZV60" s="608"/>
      <c r="OZW60" s="608"/>
      <c r="OZX60" s="608"/>
      <c r="OZY60" s="608"/>
      <c r="OZZ60" s="608"/>
      <c r="PAA60" s="608"/>
      <c r="PAB60" s="608"/>
      <c r="PAC60" s="608"/>
      <c r="PAD60" s="608"/>
      <c r="PAE60" s="608"/>
      <c r="PAF60" s="608"/>
      <c r="PAG60" s="608"/>
      <c r="PAH60" s="608"/>
      <c r="PAI60" s="608"/>
      <c r="PAJ60" s="608"/>
      <c r="PAK60" s="608"/>
      <c r="PAL60" s="608"/>
      <c r="PAM60" s="608"/>
      <c r="PAN60" s="608"/>
      <c r="PAO60" s="608"/>
      <c r="PAP60" s="608"/>
      <c r="PAQ60" s="608"/>
      <c r="PAR60" s="608"/>
      <c r="PAS60" s="608"/>
      <c r="PAT60" s="608"/>
      <c r="PAU60" s="608"/>
      <c r="PAV60" s="608"/>
      <c r="PAW60" s="608"/>
      <c r="PAX60" s="608"/>
      <c r="PAY60" s="608"/>
      <c r="PAZ60" s="608"/>
      <c r="PBA60" s="608"/>
      <c r="PBB60" s="608"/>
      <c r="PBC60" s="608"/>
      <c r="PBD60" s="608"/>
      <c r="PBE60" s="608"/>
      <c r="PBF60" s="608"/>
      <c r="PBG60" s="608"/>
      <c r="PBH60" s="608"/>
      <c r="PBI60" s="608"/>
      <c r="PBJ60" s="608"/>
      <c r="PBK60" s="608"/>
      <c r="PBL60" s="608"/>
      <c r="PBM60" s="608"/>
      <c r="PBN60" s="608"/>
      <c r="PBO60" s="608"/>
      <c r="PBP60" s="608"/>
      <c r="PBQ60" s="608"/>
      <c r="PBR60" s="608"/>
      <c r="PBS60" s="608"/>
      <c r="PBT60" s="608"/>
      <c r="PBU60" s="608"/>
      <c r="PBV60" s="608"/>
      <c r="PBW60" s="608"/>
      <c r="PBX60" s="608"/>
      <c r="PBY60" s="608"/>
      <c r="PBZ60" s="608"/>
      <c r="PCA60" s="608"/>
      <c r="PCB60" s="608"/>
      <c r="PCC60" s="608"/>
      <c r="PCD60" s="608"/>
      <c r="PCE60" s="608"/>
      <c r="PCF60" s="608"/>
      <c r="PCG60" s="608"/>
      <c r="PCH60" s="608"/>
      <c r="PCI60" s="608"/>
      <c r="PCJ60" s="608"/>
      <c r="PCK60" s="608"/>
      <c r="PCL60" s="608"/>
      <c r="PCM60" s="608"/>
      <c r="PCN60" s="608"/>
      <c r="PCO60" s="608"/>
      <c r="PCP60" s="608"/>
      <c r="PCQ60" s="608"/>
      <c r="PCR60" s="608"/>
      <c r="PCS60" s="608"/>
      <c r="PCT60" s="608"/>
      <c r="PCU60" s="608"/>
      <c r="PCV60" s="608"/>
      <c r="PCW60" s="608"/>
      <c r="PCX60" s="608"/>
      <c r="PCY60" s="608"/>
      <c r="PCZ60" s="608"/>
      <c r="PDA60" s="608"/>
      <c r="PDB60" s="608"/>
      <c r="PDC60" s="608"/>
      <c r="PDD60" s="608"/>
      <c r="PDE60" s="608"/>
      <c r="PDF60" s="608"/>
      <c r="PDG60" s="608"/>
      <c r="PDH60" s="608"/>
      <c r="PDI60" s="608"/>
      <c r="PDJ60" s="608"/>
      <c r="PDK60" s="608"/>
      <c r="PDL60" s="608"/>
      <c r="PDM60" s="608"/>
      <c r="PDN60" s="608"/>
      <c r="PDO60" s="608"/>
      <c r="PDP60" s="608"/>
      <c r="PDQ60" s="608"/>
      <c r="PDR60" s="608"/>
      <c r="PDS60" s="608"/>
      <c r="PDT60" s="608"/>
      <c r="PDU60" s="608"/>
      <c r="PDV60" s="608"/>
      <c r="PDW60" s="608"/>
      <c r="PDX60" s="608"/>
      <c r="PDY60" s="608"/>
      <c r="PDZ60" s="608"/>
      <c r="PEA60" s="608"/>
      <c r="PEB60" s="608"/>
      <c r="PEC60" s="608"/>
      <c r="PED60" s="608"/>
      <c r="PEE60" s="608"/>
      <c r="PEF60" s="608"/>
      <c r="PEG60" s="608"/>
      <c r="PEH60" s="608"/>
      <c r="PEI60" s="608"/>
      <c r="PEJ60" s="608"/>
      <c r="PEK60" s="608"/>
      <c r="PEL60" s="608"/>
      <c r="PEM60" s="608"/>
      <c r="PEN60" s="608"/>
      <c r="PEO60" s="608"/>
      <c r="PEP60" s="608"/>
      <c r="PEQ60" s="608"/>
      <c r="PER60" s="608"/>
      <c r="PES60" s="608"/>
      <c r="PET60" s="608"/>
      <c r="PEU60" s="608"/>
      <c r="PEV60" s="608"/>
      <c r="PEW60" s="608"/>
      <c r="PEX60" s="608"/>
      <c r="PEY60" s="608"/>
      <c r="PEZ60" s="608"/>
      <c r="PFA60" s="608"/>
      <c r="PFB60" s="608"/>
      <c r="PFC60" s="608"/>
      <c r="PFD60" s="608"/>
      <c r="PFE60" s="608"/>
      <c r="PFF60" s="608"/>
      <c r="PFG60" s="608"/>
      <c r="PFH60" s="608"/>
      <c r="PFI60" s="608"/>
      <c r="PFJ60" s="608"/>
      <c r="PFK60" s="608"/>
      <c r="PFL60" s="608"/>
      <c r="PFM60" s="608"/>
      <c r="PFN60" s="608"/>
      <c r="PFO60" s="608"/>
      <c r="PFP60" s="608"/>
      <c r="PFQ60" s="608"/>
      <c r="PFR60" s="608"/>
      <c r="PFS60" s="608"/>
      <c r="PFT60" s="608"/>
      <c r="PFU60" s="608"/>
      <c r="PFV60" s="608"/>
      <c r="PFW60" s="608"/>
      <c r="PFX60" s="608"/>
      <c r="PFY60" s="608"/>
      <c r="PFZ60" s="608"/>
      <c r="PGA60" s="608"/>
      <c r="PGB60" s="608"/>
      <c r="PGC60" s="608"/>
      <c r="PGD60" s="608"/>
      <c r="PGE60" s="608"/>
      <c r="PGF60" s="608"/>
      <c r="PGG60" s="608"/>
      <c r="PGH60" s="608"/>
      <c r="PGI60" s="608"/>
      <c r="PGJ60" s="608"/>
      <c r="PGK60" s="608"/>
      <c r="PGL60" s="608"/>
      <c r="PGM60" s="608"/>
      <c r="PGN60" s="608"/>
      <c r="PGO60" s="608"/>
      <c r="PGP60" s="608"/>
      <c r="PGQ60" s="608"/>
      <c r="PGR60" s="608"/>
      <c r="PGS60" s="608"/>
      <c r="PGT60" s="608"/>
      <c r="PGU60" s="608"/>
      <c r="PGV60" s="608"/>
      <c r="PGW60" s="608"/>
      <c r="PGX60" s="608"/>
      <c r="PGY60" s="608"/>
      <c r="PGZ60" s="608"/>
      <c r="PHA60" s="608"/>
      <c r="PHB60" s="608"/>
      <c r="PHC60" s="608"/>
      <c r="PHD60" s="608"/>
      <c r="PHE60" s="608"/>
      <c r="PHF60" s="608"/>
      <c r="PHG60" s="608"/>
      <c r="PHH60" s="608"/>
      <c r="PHI60" s="608"/>
      <c r="PHJ60" s="608"/>
      <c r="PHK60" s="608"/>
      <c r="PHL60" s="608"/>
      <c r="PHM60" s="608"/>
      <c r="PHN60" s="608"/>
      <c r="PHO60" s="608"/>
      <c r="PHP60" s="608"/>
      <c r="PHQ60" s="608"/>
      <c r="PHR60" s="608"/>
      <c r="PHS60" s="608"/>
      <c r="PHT60" s="608"/>
      <c r="PHU60" s="608"/>
      <c r="PHV60" s="608"/>
      <c r="PHW60" s="608"/>
      <c r="PHX60" s="608"/>
      <c r="PHY60" s="608"/>
      <c r="PHZ60" s="608"/>
      <c r="PIA60" s="608"/>
      <c r="PIB60" s="608"/>
      <c r="PIC60" s="608"/>
      <c r="PID60" s="608"/>
      <c r="PIE60" s="608"/>
      <c r="PIF60" s="608"/>
      <c r="PIG60" s="608"/>
      <c r="PIH60" s="608"/>
      <c r="PII60" s="608"/>
      <c r="PIJ60" s="608"/>
      <c r="PIK60" s="608"/>
      <c r="PIL60" s="608"/>
      <c r="PIM60" s="608"/>
      <c r="PIN60" s="608"/>
      <c r="PIO60" s="608"/>
      <c r="PIP60" s="608"/>
      <c r="PIQ60" s="608"/>
      <c r="PIR60" s="608"/>
      <c r="PIS60" s="608"/>
      <c r="PIT60" s="608"/>
      <c r="PIU60" s="608"/>
      <c r="PIV60" s="608"/>
      <c r="PIW60" s="608"/>
      <c r="PIX60" s="608"/>
      <c r="PIY60" s="608"/>
      <c r="PIZ60" s="608"/>
      <c r="PJA60" s="608"/>
      <c r="PJB60" s="608"/>
      <c r="PJC60" s="608"/>
      <c r="PJD60" s="608"/>
      <c r="PJE60" s="608"/>
      <c r="PJF60" s="608"/>
      <c r="PJG60" s="608"/>
      <c r="PJH60" s="608"/>
      <c r="PJI60" s="608"/>
      <c r="PJJ60" s="608"/>
      <c r="PJK60" s="608"/>
      <c r="PJL60" s="608"/>
      <c r="PJM60" s="608"/>
      <c r="PJN60" s="608"/>
      <c r="PJO60" s="608"/>
      <c r="PJP60" s="608"/>
      <c r="PJQ60" s="608"/>
      <c r="PJR60" s="608"/>
      <c r="PJS60" s="608"/>
      <c r="PJT60" s="608"/>
      <c r="PJU60" s="608"/>
      <c r="PJV60" s="608"/>
      <c r="PJW60" s="608"/>
      <c r="PJX60" s="608"/>
      <c r="PJY60" s="608"/>
      <c r="PJZ60" s="608"/>
      <c r="PKA60" s="608"/>
      <c r="PKB60" s="608"/>
      <c r="PKC60" s="608"/>
      <c r="PKD60" s="608"/>
      <c r="PKE60" s="608"/>
      <c r="PKF60" s="608"/>
      <c r="PKG60" s="608"/>
      <c r="PKH60" s="608"/>
      <c r="PKI60" s="608"/>
      <c r="PKJ60" s="608"/>
      <c r="PKK60" s="608"/>
      <c r="PKL60" s="608"/>
      <c r="PKM60" s="608"/>
      <c r="PKN60" s="608"/>
      <c r="PKO60" s="608"/>
      <c r="PKP60" s="608"/>
      <c r="PKQ60" s="608"/>
      <c r="PKR60" s="608"/>
      <c r="PKS60" s="608"/>
      <c r="PKT60" s="608"/>
      <c r="PKU60" s="608"/>
      <c r="PKV60" s="608"/>
      <c r="PKW60" s="608"/>
      <c r="PKX60" s="608"/>
      <c r="PKY60" s="608"/>
      <c r="PKZ60" s="608"/>
      <c r="PLA60" s="608"/>
      <c r="PLB60" s="608"/>
      <c r="PLC60" s="608"/>
      <c r="PLD60" s="608"/>
      <c r="PLE60" s="608"/>
      <c r="PLF60" s="608"/>
      <c r="PLG60" s="608"/>
      <c r="PLH60" s="608"/>
      <c r="PLI60" s="608"/>
      <c r="PLJ60" s="608"/>
      <c r="PLK60" s="608"/>
      <c r="PLL60" s="608"/>
      <c r="PLM60" s="608"/>
      <c r="PLN60" s="608"/>
      <c r="PLO60" s="608"/>
      <c r="PLP60" s="608"/>
      <c r="PLQ60" s="608"/>
      <c r="PLR60" s="608"/>
      <c r="PLS60" s="608"/>
      <c r="PLT60" s="608"/>
      <c r="PLU60" s="608"/>
      <c r="PLV60" s="608"/>
      <c r="PLW60" s="608"/>
      <c r="PLX60" s="608"/>
      <c r="PLY60" s="608"/>
      <c r="PLZ60" s="608"/>
      <c r="PMA60" s="608"/>
      <c r="PMB60" s="608"/>
      <c r="PMC60" s="608"/>
      <c r="PMD60" s="608"/>
      <c r="PME60" s="608"/>
      <c r="PMF60" s="608"/>
      <c r="PMG60" s="608"/>
      <c r="PMH60" s="608"/>
      <c r="PMI60" s="608"/>
      <c r="PMJ60" s="608"/>
      <c r="PMK60" s="608"/>
      <c r="PML60" s="608"/>
      <c r="PMM60" s="608"/>
      <c r="PMN60" s="608"/>
      <c r="PMO60" s="608"/>
      <c r="PMP60" s="608"/>
      <c r="PMQ60" s="608"/>
      <c r="PMR60" s="608"/>
      <c r="PMS60" s="608"/>
      <c r="PMT60" s="608"/>
      <c r="PMU60" s="608"/>
      <c r="PMV60" s="608"/>
      <c r="PMW60" s="608"/>
      <c r="PMX60" s="608"/>
      <c r="PMY60" s="608"/>
      <c r="PMZ60" s="608"/>
      <c r="PNA60" s="608"/>
      <c r="PNB60" s="608"/>
      <c r="PNC60" s="608"/>
      <c r="PND60" s="608"/>
      <c r="PNE60" s="608"/>
      <c r="PNF60" s="608"/>
      <c r="PNG60" s="608"/>
      <c r="PNH60" s="608"/>
      <c r="PNI60" s="608"/>
      <c r="PNJ60" s="608"/>
      <c r="PNK60" s="608"/>
      <c r="PNL60" s="608"/>
      <c r="PNM60" s="608"/>
      <c r="PNN60" s="608"/>
      <c r="PNO60" s="608"/>
      <c r="PNP60" s="608"/>
      <c r="PNQ60" s="608"/>
      <c r="PNR60" s="608"/>
      <c r="PNS60" s="608"/>
      <c r="PNT60" s="608"/>
      <c r="PNU60" s="608"/>
      <c r="PNV60" s="608"/>
      <c r="PNW60" s="608"/>
      <c r="PNX60" s="608"/>
      <c r="PNY60" s="608"/>
      <c r="PNZ60" s="608"/>
      <c r="POA60" s="608"/>
      <c r="POB60" s="608"/>
      <c r="POC60" s="608"/>
      <c r="POD60" s="608"/>
      <c r="POE60" s="608"/>
      <c r="POF60" s="608"/>
      <c r="POG60" s="608"/>
      <c r="POH60" s="608"/>
      <c r="POI60" s="608"/>
      <c r="POJ60" s="608"/>
      <c r="POK60" s="608"/>
      <c r="POL60" s="608"/>
      <c r="POM60" s="608"/>
      <c r="PON60" s="608"/>
      <c r="POO60" s="608"/>
      <c r="POP60" s="608"/>
      <c r="POQ60" s="608"/>
      <c r="POR60" s="608"/>
      <c r="POS60" s="608"/>
      <c r="POT60" s="608"/>
      <c r="POU60" s="608"/>
      <c r="POV60" s="608"/>
      <c r="POW60" s="608"/>
      <c r="POX60" s="608"/>
      <c r="POY60" s="608"/>
      <c r="POZ60" s="608"/>
      <c r="PPA60" s="608"/>
      <c r="PPB60" s="608"/>
      <c r="PPC60" s="608"/>
      <c r="PPD60" s="608"/>
      <c r="PPE60" s="608"/>
      <c r="PPF60" s="608"/>
      <c r="PPG60" s="608"/>
      <c r="PPH60" s="608"/>
      <c r="PPI60" s="608"/>
      <c r="PPJ60" s="608"/>
      <c r="PPK60" s="608"/>
      <c r="PPL60" s="608"/>
      <c r="PPM60" s="608"/>
      <c r="PPN60" s="608"/>
      <c r="PPO60" s="608"/>
      <c r="PPP60" s="608"/>
      <c r="PPQ60" s="608"/>
      <c r="PPR60" s="608"/>
      <c r="PPS60" s="608"/>
      <c r="PPT60" s="608"/>
      <c r="PPU60" s="608"/>
      <c r="PPV60" s="608"/>
      <c r="PPW60" s="608"/>
      <c r="PPX60" s="608"/>
      <c r="PPY60" s="608"/>
      <c r="PPZ60" s="608"/>
      <c r="PQA60" s="608"/>
      <c r="PQB60" s="608"/>
      <c r="PQC60" s="608"/>
      <c r="PQD60" s="608"/>
      <c r="PQE60" s="608"/>
      <c r="PQF60" s="608"/>
      <c r="PQG60" s="608"/>
      <c r="PQH60" s="608"/>
      <c r="PQI60" s="608"/>
      <c r="PQJ60" s="608"/>
      <c r="PQK60" s="608"/>
      <c r="PQL60" s="608"/>
      <c r="PQM60" s="608"/>
      <c r="PQN60" s="608"/>
      <c r="PQO60" s="608"/>
      <c r="PQP60" s="608"/>
      <c r="PQQ60" s="608"/>
      <c r="PQR60" s="608"/>
      <c r="PQS60" s="608"/>
      <c r="PQT60" s="608"/>
      <c r="PQU60" s="608"/>
      <c r="PQV60" s="608"/>
      <c r="PQW60" s="608"/>
      <c r="PQX60" s="608"/>
      <c r="PQY60" s="608"/>
      <c r="PQZ60" s="608"/>
      <c r="PRA60" s="608"/>
      <c r="PRB60" s="608"/>
      <c r="PRC60" s="608"/>
      <c r="PRD60" s="608"/>
      <c r="PRE60" s="608"/>
      <c r="PRF60" s="608"/>
      <c r="PRG60" s="608"/>
      <c r="PRH60" s="608"/>
      <c r="PRI60" s="608"/>
      <c r="PRJ60" s="608"/>
      <c r="PRK60" s="608"/>
      <c r="PRL60" s="608"/>
      <c r="PRM60" s="608"/>
      <c r="PRN60" s="608"/>
      <c r="PRO60" s="608"/>
      <c r="PRP60" s="608"/>
      <c r="PRQ60" s="608"/>
      <c r="PRR60" s="608"/>
      <c r="PRS60" s="608"/>
      <c r="PRT60" s="608"/>
      <c r="PRU60" s="608"/>
      <c r="PRV60" s="608"/>
      <c r="PRW60" s="608"/>
      <c r="PRX60" s="608"/>
      <c r="PRY60" s="608"/>
      <c r="PRZ60" s="608"/>
      <c r="PSA60" s="608"/>
      <c r="PSB60" s="608"/>
      <c r="PSC60" s="608"/>
      <c r="PSD60" s="608"/>
      <c r="PSE60" s="608"/>
      <c r="PSF60" s="608"/>
      <c r="PSG60" s="608"/>
      <c r="PSH60" s="608"/>
      <c r="PSI60" s="608"/>
      <c r="PSJ60" s="608"/>
      <c r="PSK60" s="608"/>
      <c r="PSL60" s="608"/>
      <c r="PSM60" s="608"/>
      <c r="PSN60" s="608"/>
      <c r="PSO60" s="608"/>
      <c r="PSP60" s="608"/>
      <c r="PSQ60" s="608"/>
      <c r="PSR60" s="608"/>
      <c r="PSS60" s="608"/>
      <c r="PST60" s="608"/>
      <c r="PSU60" s="608"/>
      <c r="PSV60" s="608"/>
      <c r="PSW60" s="608"/>
      <c r="PSX60" s="608"/>
      <c r="PSY60" s="608"/>
      <c r="PSZ60" s="608"/>
      <c r="PTA60" s="608"/>
      <c r="PTB60" s="608"/>
      <c r="PTC60" s="608"/>
      <c r="PTD60" s="608"/>
      <c r="PTE60" s="608"/>
      <c r="PTF60" s="608"/>
      <c r="PTG60" s="608"/>
      <c r="PTH60" s="608"/>
      <c r="PTI60" s="608"/>
      <c r="PTJ60" s="608"/>
      <c r="PTK60" s="608"/>
      <c r="PTL60" s="608"/>
      <c r="PTM60" s="608"/>
      <c r="PTN60" s="608"/>
      <c r="PTO60" s="608"/>
      <c r="PTP60" s="608"/>
      <c r="PTQ60" s="608"/>
      <c r="PTR60" s="608"/>
      <c r="PTS60" s="608"/>
      <c r="PTT60" s="608"/>
      <c r="PTU60" s="608"/>
      <c r="PTV60" s="608"/>
      <c r="PTW60" s="608"/>
      <c r="PTX60" s="608"/>
      <c r="PTY60" s="608"/>
      <c r="PTZ60" s="608"/>
      <c r="PUA60" s="608"/>
      <c r="PUB60" s="608"/>
      <c r="PUC60" s="608"/>
      <c r="PUD60" s="608"/>
      <c r="PUE60" s="608"/>
      <c r="PUF60" s="608"/>
      <c r="PUG60" s="608"/>
      <c r="PUH60" s="608"/>
      <c r="PUI60" s="608"/>
      <c r="PUJ60" s="608"/>
      <c r="PUK60" s="608"/>
      <c r="PUL60" s="608"/>
      <c r="PUM60" s="608"/>
      <c r="PUN60" s="608"/>
      <c r="PUO60" s="608"/>
      <c r="PUP60" s="608"/>
      <c r="PUQ60" s="608"/>
      <c r="PUR60" s="608"/>
      <c r="PUS60" s="608"/>
      <c r="PUT60" s="608"/>
      <c r="PUU60" s="608"/>
      <c r="PUV60" s="608"/>
      <c r="PUW60" s="608"/>
      <c r="PUX60" s="608"/>
      <c r="PUY60" s="608"/>
      <c r="PUZ60" s="608"/>
      <c r="PVA60" s="608"/>
      <c r="PVB60" s="608"/>
      <c r="PVC60" s="608"/>
      <c r="PVD60" s="608"/>
      <c r="PVE60" s="608"/>
      <c r="PVF60" s="608"/>
      <c r="PVG60" s="608"/>
      <c r="PVH60" s="608"/>
      <c r="PVI60" s="608"/>
      <c r="PVJ60" s="608"/>
      <c r="PVK60" s="608"/>
      <c r="PVL60" s="608"/>
      <c r="PVM60" s="608"/>
      <c r="PVN60" s="608"/>
      <c r="PVO60" s="608"/>
      <c r="PVP60" s="608"/>
      <c r="PVQ60" s="608"/>
      <c r="PVR60" s="608"/>
      <c r="PVS60" s="608"/>
      <c r="PVT60" s="608"/>
      <c r="PVU60" s="608"/>
      <c r="PVV60" s="608"/>
      <c r="PVW60" s="608"/>
      <c r="PVX60" s="608"/>
      <c r="PVY60" s="608"/>
      <c r="PVZ60" s="608"/>
      <c r="PWA60" s="608"/>
      <c r="PWB60" s="608"/>
      <c r="PWC60" s="608"/>
      <c r="PWD60" s="608"/>
      <c r="PWE60" s="608"/>
      <c r="PWF60" s="608"/>
      <c r="PWG60" s="608"/>
      <c r="PWH60" s="608"/>
      <c r="PWI60" s="608"/>
      <c r="PWJ60" s="608"/>
      <c r="PWK60" s="608"/>
      <c r="PWL60" s="608"/>
      <c r="PWM60" s="608"/>
      <c r="PWN60" s="608"/>
      <c r="PWO60" s="608"/>
      <c r="PWP60" s="608"/>
      <c r="PWQ60" s="608"/>
      <c r="PWR60" s="608"/>
      <c r="PWS60" s="608"/>
      <c r="PWT60" s="608"/>
      <c r="PWU60" s="608"/>
      <c r="PWV60" s="608"/>
      <c r="PWW60" s="608"/>
      <c r="PWX60" s="608"/>
      <c r="PWY60" s="608"/>
      <c r="PWZ60" s="608"/>
      <c r="PXA60" s="608"/>
      <c r="PXB60" s="608"/>
      <c r="PXC60" s="608"/>
      <c r="PXD60" s="608"/>
      <c r="PXE60" s="608"/>
      <c r="PXF60" s="608"/>
      <c r="PXG60" s="608"/>
      <c r="PXH60" s="608"/>
      <c r="PXI60" s="608"/>
      <c r="PXJ60" s="608"/>
      <c r="PXK60" s="608"/>
      <c r="PXL60" s="608"/>
      <c r="PXM60" s="608"/>
      <c r="PXN60" s="608"/>
      <c r="PXO60" s="608"/>
      <c r="PXP60" s="608"/>
      <c r="PXQ60" s="608"/>
      <c r="PXR60" s="608"/>
      <c r="PXS60" s="608"/>
      <c r="PXT60" s="608"/>
      <c r="PXU60" s="608"/>
      <c r="PXV60" s="608"/>
      <c r="PXW60" s="608"/>
      <c r="PXX60" s="608"/>
      <c r="PXY60" s="608"/>
      <c r="PXZ60" s="608"/>
      <c r="PYA60" s="608"/>
      <c r="PYB60" s="608"/>
      <c r="PYC60" s="608"/>
      <c r="PYD60" s="608"/>
      <c r="PYE60" s="608"/>
      <c r="PYF60" s="608"/>
      <c r="PYG60" s="608"/>
      <c r="PYH60" s="608"/>
      <c r="PYI60" s="608"/>
      <c r="PYJ60" s="608"/>
      <c r="PYK60" s="608"/>
      <c r="PYL60" s="608"/>
      <c r="PYM60" s="608"/>
      <c r="PYN60" s="608"/>
      <c r="PYO60" s="608"/>
      <c r="PYP60" s="608"/>
      <c r="PYQ60" s="608"/>
      <c r="PYR60" s="608"/>
      <c r="PYS60" s="608"/>
      <c r="PYT60" s="608"/>
      <c r="PYU60" s="608"/>
      <c r="PYV60" s="608"/>
      <c r="PYW60" s="608"/>
      <c r="PYX60" s="608"/>
      <c r="PYY60" s="608"/>
      <c r="PYZ60" s="608"/>
      <c r="PZA60" s="608"/>
      <c r="PZB60" s="608"/>
      <c r="PZC60" s="608"/>
      <c r="PZD60" s="608"/>
      <c r="PZE60" s="608"/>
      <c r="PZF60" s="608"/>
      <c r="PZG60" s="608"/>
      <c r="PZH60" s="608"/>
      <c r="PZI60" s="608"/>
      <c r="PZJ60" s="608"/>
      <c r="PZK60" s="608"/>
      <c r="PZL60" s="608"/>
      <c r="PZM60" s="608"/>
      <c r="PZN60" s="608"/>
      <c r="PZO60" s="608"/>
      <c r="PZP60" s="608"/>
      <c r="PZQ60" s="608"/>
      <c r="PZR60" s="608"/>
      <c r="PZS60" s="608"/>
      <c r="PZT60" s="608"/>
      <c r="PZU60" s="608"/>
      <c r="PZV60" s="608"/>
      <c r="PZW60" s="608"/>
      <c r="PZX60" s="608"/>
      <c r="PZY60" s="608"/>
      <c r="PZZ60" s="608"/>
      <c r="QAA60" s="608"/>
      <c r="QAB60" s="608"/>
      <c r="QAC60" s="608"/>
      <c r="QAD60" s="608"/>
      <c r="QAE60" s="608"/>
      <c r="QAF60" s="608"/>
      <c r="QAG60" s="608"/>
      <c r="QAH60" s="608"/>
      <c r="QAI60" s="608"/>
      <c r="QAJ60" s="608"/>
      <c r="QAK60" s="608"/>
      <c r="QAL60" s="608"/>
      <c r="QAM60" s="608"/>
      <c r="QAN60" s="608"/>
      <c r="QAO60" s="608"/>
      <c r="QAP60" s="608"/>
      <c r="QAQ60" s="608"/>
      <c r="QAR60" s="608"/>
      <c r="QAS60" s="608"/>
      <c r="QAT60" s="608"/>
      <c r="QAU60" s="608"/>
      <c r="QAV60" s="608"/>
      <c r="QAW60" s="608"/>
      <c r="QAX60" s="608"/>
      <c r="QAY60" s="608"/>
      <c r="QAZ60" s="608"/>
      <c r="QBA60" s="608"/>
      <c r="QBB60" s="608"/>
      <c r="QBC60" s="608"/>
      <c r="QBD60" s="608"/>
      <c r="QBE60" s="608"/>
      <c r="QBF60" s="608"/>
      <c r="QBG60" s="608"/>
      <c r="QBH60" s="608"/>
      <c r="QBI60" s="608"/>
      <c r="QBJ60" s="608"/>
      <c r="QBK60" s="608"/>
      <c r="QBL60" s="608"/>
      <c r="QBM60" s="608"/>
      <c r="QBN60" s="608"/>
      <c r="QBO60" s="608"/>
      <c r="QBP60" s="608"/>
      <c r="QBQ60" s="608"/>
      <c r="QBR60" s="608"/>
      <c r="QBS60" s="608"/>
      <c r="QBT60" s="608"/>
      <c r="QBU60" s="608"/>
      <c r="QBV60" s="608"/>
      <c r="QBW60" s="608"/>
      <c r="QBX60" s="608"/>
      <c r="QBY60" s="608"/>
      <c r="QBZ60" s="608"/>
      <c r="QCA60" s="608"/>
      <c r="QCB60" s="608"/>
      <c r="QCC60" s="608"/>
      <c r="QCD60" s="608"/>
      <c r="QCE60" s="608"/>
      <c r="QCF60" s="608"/>
      <c r="QCG60" s="608"/>
      <c r="QCH60" s="608"/>
      <c r="QCI60" s="608"/>
      <c r="QCJ60" s="608"/>
      <c r="QCK60" s="608"/>
      <c r="QCL60" s="608"/>
      <c r="QCM60" s="608"/>
      <c r="QCN60" s="608"/>
      <c r="QCO60" s="608"/>
      <c r="QCP60" s="608"/>
      <c r="QCQ60" s="608"/>
      <c r="QCR60" s="608"/>
      <c r="QCS60" s="608"/>
      <c r="QCT60" s="608"/>
      <c r="QCU60" s="608"/>
      <c r="QCV60" s="608"/>
      <c r="QCW60" s="608"/>
      <c r="QCX60" s="608"/>
      <c r="QCY60" s="608"/>
      <c r="QCZ60" s="608"/>
      <c r="QDA60" s="608"/>
      <c r="QDB60" s="608"/>
      <c r="QDC60" s="608"/>
      <c r="QDD60" s="608"/>
      <c r="QDE60" s="608"/>
      <c r="QDF60" s="608"/>
      <c r="QDG60" s="608"/>
      <c r="QDH60" s="608"/>
      <c r="QDI60" s="608"/>
      <c r="QDJ60" s="608"/>
      <c r="QDK60" s="608"/>
      <c r="QDL60" s="608"/>
      <c r="QDM60" s="608"/>
      <c r="QDN60" s="608"/>
      <c r="QDO60" s="608"/>
      <c r="QDP60" s="608"/>
      <c r="QDQ60" s="608"/>
      <c r="QDR60" s="608"/>
      <c r="QDS60" s="608"/>
      <c r="QDT60" s="608"/>
      <c r="QDU60" s="608"/>
      <c r="QDV60" s="608"/>
      <c r="QDW60" s="608"/>
      <c r="QDX60" s="608"/>
      <c r="QDY60" s="608"/>
      <c r="QDZ60" s="608"/>
      <c r="QEA60" s="608"/>
      <c r="QEB60" s="608"/>
      <c r="QEC60" s="608"/>
      <c r="QED60" s="608"/>
      <c r="QEE60" s="608"/>
      <c r="QEF60" s="608"/>
      <c r="QEG60" s="608"/>
      <c r="QEH60" s="608"/>
      <c r="QEI60" s="608"/>
      <c r="QEJ60" s="608"/>
      <c r="QEK60" s="608"/>
      <c r="QEL60" s="608"/>
      <c r="QEM60" s="608"/>
      <c r="QEN60" s="608"/>
      <c r="QEO60" s="608"/>
      <c r="QEP60" s="608"/>
      <c r="QEQ60" s="608"/>
      <c r="QER60" s="608"/>
      <c r="QES60" s="608"/>
      <c r="QET60" s="608"/>
      <c r="QEU60" s="608"/>
      <c r="QEV60" s="608"/>
      <c r="QEW60" s="608"/>
      <c r="QEX60" s="608"/>
      <c r="QEY60" s="608"/>
      <c r="QEZ60" s="608"/>
      <c r="QFA60" s="608"/>
      <c r="QFB60" s="608"/>
      <c r="QFC60" s="608"/>
      <c r="QFD60" s="608"/>
      <c r="QFE60" s="608"/>
      <c r="QFF60" s="608"/>
      <c r="QFG60" s="608"/>
      <c r="QFH60" s="608"/>
      <c r="QFI60" s="608"/>
      <c r="QFJ60" s="608"/>
      <c r="QFK60" s="608"/>
      <c r="QFL60" s="608"/>
      <c r="QFM60" s="608"/>
      <c r="QFN60" s="608"/>
      <c r="QFO60" s="608"/>
      <c r="QFP60" s="608"/>
      <c r="QFQ60" s="608"/>
      <c r="QFR60" s="608"/>
      <c r="QFS60" s="608"/>
      <c r="QFT60" s="608"/>
      <c r="QFU60" s="608"/>
      <c r="QFV60" s="608"/>
      <c r="QFW60" s="608"/>
      <c r="QFX60" s="608"/>
      <c r="QFY60" s="608"/>
      <c r="QFZ60" s="608"/>
      <c r="QGA60" s="608"/>
      <c r="QGB60" s="608"/>
      <c r="QGC60" s="608"/>
      <c r="QGD60" s="608"/>
      <c r="QGE60" s="608"/>
      <c r="QGF60" s="608"/>
      <c r="QGG60" s="608"/>
      <c r="QGH60" s="608"/>
      <c r="QGI60" s="608"/>
      <c r="QGJ60" s="608"/>
      <c r="QGK60" s="608"/>
      <c r="QGL60" s="608"/>
      <c r="QGM60" s="608"/>
      <c r="QGN60" s="608"/>
      <c r="QGO60" s="608"/>
      <c r="QGP60" s="608"/>
      <c r="QGQ60" s="608"/>
      <c r="QGR60" s="608"/>
      <c r="QGS60" s="608"/>
      <c r="QGT60" s="608"/>
      <c r="QGU60" s="608"/>
      <c r="QGV60" s="608"/>
      <c r="QGW60" s="608"/>
      <c r="QGX60" s="608"/>
      <c r="QGY60" s="608"/>
      <c r="QGZ60" s="608"/>
      <c r="QHA60" s="608"/>
      <c r="QHB60" s="608"/>
      <c r="QHC60" s="608"/>
      <c r="QHD60" s="608"/>
      <c r="QHE60" s="608"/>
      <c r="QHF60" s="608"/>
      <c r="QHG60" s="608"/>
      <c r="QHH60" s="608"/>
      <c r="QHI60" s="608"/>
      <c r="QHJ60" s="608"/>
      <c r="QHK60" s="608"/>
      <c r="QHL60" s="608"/>
      <c r="QHM60" s="608"/>
      <c r="QHN60" s="608"/>
      <c r="QHO60" s="608"/>
      <c r="QHP60" s="608"/>
      <c r="QHQ60" s="608"/>
      <c r="QHR60" s="608"/>
      <c r="QHS60" s="608"/>
      <c r="QHT60" s="608"/>
      <c r="QHU60" s="608"/>
      <c r="QHV60" s="608"/>
      <c r="QHW60" s="608"/>
      <c r="QHX60" s="608"/>
      <c r="QHY60" s="608"/>
      <c r="QHZ60" s="608"/>
      <c r="QIA60" s="608"/>
      <c r="QIB60" s="608"/>
      <c r="QIC60" s="608"/>
      <c r="QID60" s="608"/>
      <c r="QIE60" s="608"/>
      <c r="QIF60" s="608"/>
      <c r="QIG60" s="608"/>
      <c r="QIH60" s="608"/>
      <c r="QII60" s="608"/>
      <c r="QIJ60" s="608"/>
      <c r="QIK60" s="608"/>
      <c r="QIL60" s="608"/>
      <c r="QIM60" s="608"/>
      <c r="QIN60" s="608"/>
      <c r="QIO60" s="608"/>
      <c r="QIP60" s="608"/>
      <c r="QIQ60" s="608"/>
      <c r="QIR60" s="608"/>
      <c r="QIS60" s="608"/>
      <c r="QIT60" s="608"/>
      <c r="QIU60" s="608"/>
      <c r="QIV60" s="608"/>
      <c r="QIW60" s="608"/>
      <c r="QIX60" s="608"/>
      <c r="QIY60" s="608"/>
      <c r="QIZ60" s="608"/>
      <c r="QJA60" s="608"/>
      <c r="QJB60" s="608"/>
      <c r="QJC60" s="608"/>
      <c r="QJD60" s="608"/>
      <c r="QJE60" s="608"/>
      <c r="QJF60" s="608"/>
      <c r="QJG60" s="608"/>
      <c r="QJH60" s="608"/>
      <c r="QJI60" s="608"/>
      <c r="QJJ60" s="608"/>
      <c r="QJK60" s="608"/>
      <c r="QJL60" s="608"/>
      <c r="QJM60" s="608"/>
      <c r="QJN60" s="608"/>
      <c r="QJO60" s="608"/>
      <c r="QJP60" s="608"/>
      <c r="QJQ60" s="608"/>
      <c r="QJR60" s="608"/>
      <c r="QJS60" s="608"/>
      <c r="QJT60" s="608"/>
      <c r="QJU60" s="608"/>
      <c r="QJV60" s="608"/>
      <c r="QJW60" s="608"/>
      <c r="QJX60" s="608"/>
      <c r="QJY60" s="608"/>
      <c r="QJZ60" s="608"/>
      <c r="QKA60" s="608"/>
      <c r="QKB60" s="608"/>
      <c r="QKC60" s="608"/>
      <c r="QKD60" s="608"/>
      <c r="QKE60" s="608"/>
      <c r="QKF60" s="608"/>
      <c r="QKG60" s="608"/>
      <c r="QKH60" s="608"/>
      <c r="QKI60" s="608"/>
      <c r="QKJ60" s="608"/>
      <c r="QKK60" s="608"/>
      <c r="QKL60" s="608"/>
      <c r="QKM60" s="608"/>
      <c r="QKN60" s="608"/>
      <c r="QKO60" s="608"/>
      <c r="QKP60" s="608"/>
      <c r="QKQ60" s="608"/>
      <c r="QKR60" s="608"/>
      <c r="QKS60" s="608"/>
      <c r="QKT60" s="608"/>
      <c r="QKU60" s="608"/>
      <c r="QKV60" s="608"/>
      <c r="QKW60" s="608"/>
      <c r="QKX60" s="608"/>
      <c r="QKY60" s="608"/>
      <c r="QKZ60" s="608"/>
      <c r="QLA60" s="608"/>
      <c r="QLB60" s="608"/>
      <c r="QLC60" s="608"/>
      <c r="QLD60" s="608"/>
      <c r="QLE60" s="608"/>
      <c r="QLF60" s="608"/>
      <c r="QLG60" s="608"/>
      <c r="QLH60" s="608"/>
      <c r="QLI60" s="608"/>
      <c r="QLJ60" s="608"/>
      <c r="QLK60" s="608"/>
      <c r="QLL60" s="608"/>
      <c r="QLM60" s="608"/>
      <c r="QLN60" s="608"/>
      <c r="QLO60" s="608"/>
      <c r="QLP60" s="608"/>
      <c r="QLQ60" s="608"/>
      <c r="QLR60" s="608"/>
      <c r="QLS60" s="608"/>
      <c r="QLT60" s="608"/>
      <c r="QLU60" s="608"/>
      <c r="QLV60" s="608"/>
      <c r="QLW60" s="608"/>
      <c r="QLX60" s="608"/>
      <c r="QLY60" s="608"/>
      <c r="QLZ60" s="608"/>
      <c r="QMA60" s="608"/>
      <c r="QMB60" s="608"/>
      <c r="QMC60" s="608"/>
      <c r="QMD60" s="608"/>
      <c r="QME60" s="608"/>
      <c r="QMF60" s="608"/>
      <c r="QMG60" s="608"/>
      <c r="QMH60" s="608"/>
      <c r="QMI60" s="608"/>
      <c r="QMJ60" s="608"/>
      <c r="QMK60" s="608"/>
      <c r="QML60" s="608"/>
      <c r="QMM60" s="608"/>
      <c r="QMN60" s="608"/>
      <c r="QMO60" s="608"/>
      <c r="QMP60" s="608"/>
      <c r="QMQ60" s="608"/>
      <c r="QMR60" s="608"/>
      <c r="QMS60" s="608"/>
      <c r="QMT60" s="608"/>
      <c r="QMU60" s="608"/>
      <c r="QMV60" s="608"/>
      <c r="QMW60" s="608"/>
      <c r="QMX60" s="608"/>
      <c r="QMY60" s="608"/>
      <c r="QMZ60" s="608"/>
      <c r="QNA60" s="608"/>
      <c r="QNB60" s="608"/>
      <c r="QNC60" s="608"/>
      <c r="QND60" s="608"/>
      <c r="QNE60" s="608"/>
      <c r="QNF60" s="608"/>
      <c r="QNG60" s="608"/>
      <c r="QNH60" s="608"/>
      <c r="QNI60" s="608"/>
      <c r="QNJ60" s="608"/>
      <c r="QNK60" s="608"/>
      <c r="QNL60" s="608"/>
      <c r="QNM60" s="608"/>
      <c r="QNN60" s="608"/>
      <c r="QNO60" s="608"/>
      <c r="QNP60" s="608"/>
      <c r="QNQ60" s="608"/>
      <c r="QNR60" s="608"/>
      <c r="QNS60" s="608"/>
      <c r="QNT60" s="608"/>
      <c r="QNU60" s="608"/>
      <c r="QNV60" s="608"/>
      <c r="QNW60" s="608"/>
      <c r="QNX60" s="608"/>
      <c r="QNY60" s="608"/>
      <c r="QNZ60" s="608"/>
      <c r="QOA60" s="608"/>
      <c r="QOB60" s="608"/>
      <c r="QOC60" s="608"/>
      <c r="QOD60" s="608"/>
      <c r="QOE60" s="608"/>
      <c r="QOF60" s="608"/>
      <c r="QOG60" s="608"/>
      <c r="QOH60" s="608"/>
      <c r="QOI60" s="608"/>
      <c r="QOJ60" s="608"/>
      <c r="QOK60" s="608"/>
      <c r="QOL60" s="608"/>
      <c r="QOM60" s="608"/>
      <c r="QON60" s="608"/>
      <c r="QOO60" s="608"/>
      <c r="QOP60" s="608"/>
      <c r="QOQ60" s="608"/>
      <c r="QOR60" s="608"/>
      <c r="QOS60" s="608"/>
      <c r="QOT60" s="608"/>
      <c r="QOU60" s="608"/>
      <c r="QOV60" s="608"/>
      <c r="QOW60" s="608"/>
      <c r="QOX60" s="608"/>
      <c r="QOY60" s="608"/>
      <c r="QOZ60" s="608"/>
      <c r="QPA60" s="608"/>
      <c r="QPB60" s="608"/>
      <c r="QPC60" s="608"/>
      <c r="QPD60" s="608"/>
      <c r="QPE60" s="608"/>
      <c r="QPF60" s="608"/>
      <c r="QPG60" s="608"/>
      <c r="QPH60" s="608"/>
      <c r="QPI60" s="608"/>
      <c r="QPJ60" s="608"/>
      <c r="QPK60" s="608"/>
      <c r="QPL60" s="608"/>
      <c r="QPM60" s="608"/>
      <c r="QPN60" s="608"/>
      <c r="QPO60" s="608"/>
      <c r="QPP60" s="608"/>
      <c r="QPQ60" s="608"/>
      <c r="QPR60" s="608"/>
      <c r="QPS60" s="608"/>
      <c r="QPT60" s="608"/>
      <c r="QPU60" s="608"/>
      <c r="QPV60" s="608"/>
      <c r="QPW60" s="608"/>
      <c r="QPX60" s="608"/>
      <c r="QPY60" s="608"/>
      <c r="QPZ60" s="608"/>
      <c r="QQA60" s="608"/>
      <c r="QQB60" s="608"/>
      <c r="QQC60" s="608"/>
      <c r="QQD60" s="608"/>
      <c r="QQE60" s="608"/>
      <c r="QQF60" s="608"/>
      <c r="QQG60" s="608"/>
      <c r="QQH60" s="608"/>
      <c r="QQI60" s="608"/>
      <c r="QQJ60" s="608"/>
      <c r="QQK60" s="608"/>
      <c r="QQL60" s="608"/>
      <c r="QQM60" s="608"/>
      <c r="QQN60" s="608"/>
      <c r="QQO60" s="608"/>
      <c r="QQP60" s="608"/>
      <c r="QQQ60" s="608"/>
      <c r="QQR60" s="608"/>
      <c r="QQS60" s="608"/>
      <c r="QQT60" s="608"/>
      <c r="QQU60" s="608"/>
      <c r="QQV60" s="608"/>
      <c r="QQW60" s="608"/>
      <c r="QQX60" s="608"/>
      <c r="QQY60" s="608"/>
      <c r="QQZ60" s="608"/>
      <c r="QRA60" s="608"/>
      <c r="QRB60" s="608"/>
      <c r="QRC60" s="608"/>
      <c r="QRD60" s="608"/>
      <c r="QRE60" s="608"/>
      <c r="QRF60" s="608"/>
      <c r="QRG60" s="608"/>
      <c r="QRH60" s="608"/>
      <c r="QRI60" s="608"/>
      <c r="QRJ60" s="608"/>
      <c r="QRK60" s="608"/>
      <c r="QRL60" s="608"/>
      <c r="QRM60" s="608"/>
      <c r="QRN60" s="608"/>
      <c r="QRO60" s="608"/>
      <c r="QRP60" s="608"/>
      <c r="QRQ60" s="608"/>
      <c r="QRR60" s="608"/>
      <c r="QRS60" s="608"/>
      <c r="QRT60" s="608"/>
      <c r="QRU60" s="608"/>
      <c r="QRV60" s="608"/>
      <c r="QRW60" s="608"/>
      <c r="QRX60" s="608"/>
      <c r="QRY60" s="608"/>
      <c r="QRZ60" s="608"/>
      <c r="QSA60" s="608"/>
      <c r="QSB60" s="608"/>
      <c r="QSC60" s="608"/>
      <c r="QSD60" s="608"/>
      <c r="QSE60" s="608"/>
      <c r="QSF60" s="608"/>
      <c r="QSG60" s="608"/>
      <c r="QSH60" s="608"/>
      <c r="QSI60" s="608"/>
      <c r="QSJ60" s="608"/>
      <c r="QSK60" s="608"/>
      <c r="QSL60" s="608"/>
      <c r="QSM60" s="608"/>
      <c r="QSN60" s="608"/>
      <c r="QSO60" s="608"/>
      <c r="QSP60" s="608"/>
      <c r="QSQ60" s="608"/>
      <c r="QSR60" s="608"/>
      <c r="QSS60" s="608"/>
      <c r="QST60" s="608"/>
      <c r="QSU60" s="608"/>
      <c r="QSV60" s="608"/>
      <c r="QSW60" s="608"/>
      <c r="QSX60" s="608"/>
      <c r="QSY60" s="608"/>
      <c r="QSZ60" s="608"/>
      <c r="QTA60" s="608"/>
      <c r="QTB60" s="608"/>
      <c r="QTC60" s="608"/>
      <c r="QTD60" s="608"/>
      <c r="QTE60" s="608"/>
      <c r="QTF60" s="608"/>
      <c r="QTG60" s="608"/>
      <c r="QTH60" s="608"/>
      <c r="QTI60" s="608"/>
      <c r="QTJ60" s="608"/>
      <c r="QTK60" s="608"/>
      <c r="QTL60" s="608"/>
      <c r="QTM60" s="608"/>
      <c r="QTN60" s="608"/>
      <c r="QTO60" s="608"/>
      <c r="QTP60" s="608"/>
      <c r="QTQ60" s="608"/>
      <c r="QTR60" s="608"/>
      <c r="QTS60" s="608"/>
      <c r="QTT60" s="608"/>
      <c r="QTU60" s="608"/>
      <c r="QTV60" s="608"/>
      <c r="QTW60" s="608"/>
      <c r="QTX60" s="608"/>
      <c r="QTY60" s="608"/>
      <c r="QTZ60" s="608"/>
      <c r="QUA60" s="608"/>
      <c r="QUB60" s="608"/>
      <c r="QUC60" s="608"/>
      <c r="QUD60" s="608"/>
      <c r="QUE60" s="608"/>
      <c r="QUF60" s="608"/>
      <c r="QUG60" s="608"/>
      <c r="QUH60" s="608"/>
      <c r="QUI60" s="608"/>
      <c r="QUJ60" s="608"/>
      <c r="QUK60" s="608"/>
      <c r="QUL60" s="608"/>
      <c r="QUM60" s="608"/>
      <c r="QUN60" s="608"/>
      <c r="QUO60" s="608"/>
      <c r="QUP60" s="608"/>
      <c r="QUQ60" s="608"/>
      <c r="QUR60" s="608"/>
      <c r="QUS60" s="608"/>
      <c r="QUT60" s="608"/>
      <c r="QUU60" s="608"/>
      <c r="QUV60" s="608"/>
      <c r="QUW60" s="608"/>
      <c r="QUX60" s="608"/>
      <c r="QUY60" s="608"/>
      <c r="QUZ60" s="608"/>
      <c r="QVA60" s="608"/>
      <c r="QVB60" s="608"/>
      <c r="QVC60" s="608"/>
      <c r="QVD60" s="608"/>
      <c r="QVE60" s="608"/>
      <c r="QVF60" s="608"/>
      <c r="QVG60" s="608"/>
      <c r="QVH60" s="608"/>
      <c r="QVI60" s="608"/>
      <c r="QVJ60" s="608"/>
      <c r="QVK60" s="608"/>
      <c r="QVL60" s="608"/>
      <c r="QVM60" s="608"/>
      <c r="QVN60" s="608"/>
      <c r="QVO60" s="608"/>
      <c r="QVP60" s="608"/>
      <c r="QVQ60" s="608"/>
      <c r="QVR60" s="608"/>
      <c r="QVS60" s="608"/>
      <c r="QVT60" s="608"/>
      <c r="QVU60" s="608"/>
      <c r="QVV60" s="608"/>
      <c r="QVW60" s="608"/>
      <c r="QVX60" s="608"/>
      <c r="QVY60" s="608"/>
      <c r="QVZ60" s="608"/>
      <c r="QWA60" s="608"/>
      <c r="QWB60" s="608"/>
      <c r="QWC60" s="608"/>
      <c r="QWD60" s="608"/>
      <c r="QWE60" s="608"/>
      <c r="QWF60" s="608"/>
      <c r="QWG60" s="608"/>
      <c r="QWH60" s="608"/>
      <c r="QWI60" s="608"/>
      <c r="QWJ60" s="608"/>
      <c r="QWK60" s="608"/>
      <c r="QWL60" s="608"/>
      <c r="QWM60" s="608"/>
      <c r="QWN60" s="608"/>
      <c r="QWO60" s="608"/>
      <c r="QWP60" s="608"/>
      <c r="QWQ60" s="608"/>
      <c r="QWR60" s="608"/>
      <c r="QWS60" s="608"/>
      <c r="QWT60" s="608"/>
      <c r="QWU60" s="608"/>
      <c r="QWV60" s="608"/>
      <c r="QWW60" s="608"/>
      <c r="QWX60" s="608"/>
      <c r="QWY60" s="608"/>
      <c r="QWZ60" s="608"/>
      <c r="QXA60" s="608"/>
      <c r="QXB60" s="608"/>
      <c r="QXC60" s="608"/>
      <c r="QXD60" s="608"/>
      <c r="QXE60" s="608"/>
      <c r="QXF60" s="608"/>
      <c r="QXG60" s="608"/>
      <c r="QXH60" s="608"/>
      <c r="QXI60" s="608"/>
      <c r="QXJ60" s="608"/>
      <c r="QXK60" s="608"/>
      <c r="QXL60" s="608"/>
      <c r="QXM60" s="608"/>
      <c r="QXN60" s="608"/>
      <c r="QXO60" s="608"/>
      <c r="QXP60" s="608"/>
      <c r="QXQ60" s="608"/>
      <c r="QXR60" s="608"/>
      <c r="QXS60" s="608"/>
      <c r="QXT60" s="608"/>
      <c r="QXU60" s="608"/>
      <c r="QXV60" s="608"/>
      <c r="QXW60" s="608"/>
      <c r="QXX60" s="608"/>
      <c r="QXY60" s="608"/>
      <c r="QXZ60" s="608"/>
      <c r="QYA60" s="608"/>
      <c r="QYB60" s="608"/>
      <c r="QYC60" s="608"/>
      <c r="QYD60" s="608"/>
      <c r="QYE60" s="608"/>
      <c r="QYF60" s="608"/>
      <c r="QYG60" s="608"/>
      <c r="QYH60" s="608"/>
      <c r="QYI60" s="608"/>
      <c r="QYJ60" s="608"/>
      <c r="QYK60" s="608"/>
      <c r="QYL60" s="608"/>
      <c r="QYM60" s="608"/>
      <c r="QYN60" s="608"/>
      <c r="QYO60" s="608"/>
      <c r="QYP60" s="608"/>
      <c r="QYQ60" s="608"/>
      <c r="QYR60" s="608"/>
      <c r="QYS60" s="608"/>
      <c r="QYT60" s="608"/>
      <c r="QYU60" s="608"/>
      <c r="QYV60" s="608"/>
      <c r="QYW60" s="608"/>
      <c r="QYX60" s="608"/>
      <c r="QYY60" s="608"/>
      <c r="QYZ60" s="608"/>
      <c r="QZA60" s="608"/>
      <c r="QZB60" s="608"/>
      <c r="QZC60" s="608"/>
      <c r="QZD60" s="608"/>
      <c r="QZE60" s="608"/>
      <c r="QZF60" s="608"/>
      <c r="QZG60" s="608"/>
      <c r="QZH60" s="608"/>
      <c r="QZI60" s="608"/>
      <c r="QZJ60" s="608"/>
      <c r="QZK60" s="608"/>
      <c r="QZL60" s="608"/>
      <c r="QZM60" s="608"/>
      <c r="QZN60" s="608"/>
      <c r="QZO60" s="608"/>
      <c r="QZP60" s="608"/>
      <c r="QZQ60" s="608"/>
      <c r="QZR60" s="608"/>
      <c r="QZS60" s="608"/>
      <c r="QZT60" s="608"/>
      <c r="QZU60" s="608"/>
      <c r="QZV60" s="608"/>
      <c r="QZW60" s="608"/>
      <c r="QZX60" s="608"/>
      <c r="QZY60" s="608"/>
      <c r="QZZ60" s="608"/>
      <c r="RAA60" s="608"/>
      <c r="RAB60" s="608"/>
      <c r="RAC60" s="608"/>
      <c r="RAD60" s="608"/>
      <c r="RAE60" s="608"/>
      <c r="RAF60" s="608"/>
      <c r="RAG60" s="608"/>
      <c r="RAH60" s="608"/>
      <c r="RAI60" s="608"/>
      <c r="RAJ60" s="608"/>
      <c r="RAK60" s="608"/>
      <c r="RAL60" s="608"/>
      <c r="RAM60" s="608"/>
      <c r="RAN60" s="608"/>
      <c r="RAO60" s="608"/>
      <c r="RAP60" s="608"/>
      <c r="RAQ60" s="608"/>
      <c r="RAR60" s="608"/>
      <c r="RAS60" s="608"/>
      <c r="RAT60" s="608"/>
      <c r="RAU60" s="608"/>
      <c r="RAV60" s="608"/>
      <c r="RAW60" s="608"/>
      <c r="RAX60" s="608"/>
      <c r="RAY60" s="608"/>
      <c r="RAZ60" s="608"/>
      <c r="RBA60" s="608"/>
      <c r="RBB60" s="608"/>
      <c r="RBC60" s="608"/>
      <c r="RBD60" s="608"/>
      <c r="RBE60" s="608"/>
      <c r="RBF60" s="608"/>
      <c r="RBG60" s="608"/>
      <c r="RBH60" s="608"/>
      <c r="RBI60" s="608"/>
      <c r="RBJ60" s="608"/>
      <c r="RBK60" s="608"/>
      <c r="RBL60" s="608"/>
      <c r="RBM60" s="608"/>
      <c r="RBN60" s="608"/>
      <c r="RBO60" s="608"/>
      <c r="RBP60" s="608"/>
      <c r="RBQ60" s="608"/>
      <c r="RBR60" s="608"/>
      <c r="RBS60" s="608"/>
      <c r="RBT60" s="608"/>
      <c r="RBU60" s="608"/>
      <c r="RBV60" s="608"/>
      <c r="RBW60" s="608"/>
      <c r="RBX60" s="608"/>
      <c r="RBY60" s="608"/>
      <c r="RBZ60" s="608"/>
      <c r="RCA60" s="608"/>
      <c r="RCB60" s="608"/>
      <c r="RCC60" s="608"/>
      <c r="RCD60" s="608"/>
      <c r="RCE60" s="608"/>
      <c r="RCF60" s="608"/>
      <c r="RCG60" s="608"/>
      <c r="RCH60" s="608"/>
      <c r="RCI60" s="608"/>
      <c r="RCJ60" s="608"/>
      <c r="RCK60" s="608"/>
      <c r="RCL60" s="608"/>
      <c r="RCM60" s="608"/>
      <c r="RCN60" s="608"/>
      <c r="RCO60" s="608"/>
      <c r="RCP60" s="608"/>
      <c r="RCQ60" s="608"/>
      <c r="RCR60" s="608"/>
      <c r="RCS60" s="608"/>
      <c r="RCT60" s="608"/>
      <c r="RCU60" s="608"/>
      <c r="RCV60" s="608"/>
      <c r="RCW60" s="608"/>
      <c r="RCX60" s="608"/>
      <c r="RCY60" s="608"/>
      <c r="RCZ60" s="608"/>
      <c r="RDA60" s="608"/>
      <c r="RDB60" s="608"/>
      <c r="RDC60" s="608"/>
      <c r="RDD60" s="608"/>
      <c r="RDE60" s="608"/>
      <c r="RDF60" s="608"/>
      <c r="RDG60" s="608"/>
      <c r="RDH60" s="608"/>
      <c r="RDI60" s="608"/>
      <c r="RDJ60" s="608"/>
      <c r="RDK60" s="608"/>
      <c r="RDL60" s="608"/>
      <c r="RDM60" s="608"/>
      <c r="RDN60" s="608"/>
      <c r="RDO60" s="608"/>
      <c r="RDP60" s="608"/>
      <c r="RDQ60" s="608"/>
      <c r="RDR60" s="608"/>
      <c r="RDS60" s="608"/>
      <c r="RDT60" s="608"/>
      <c r="RDU60" s="608"/>
      <c r="RDV60" s="608"/>
      <c r="RDW60" s="608"/>
      <c r="RDX60" s="608"/>
      <c r="RDY60" s="608"/>
      <c r="RDZ60" s="608"/>
      <c r="REA60" s="608"/>
      <c r="REB60" s="608"/>
      <c r="REC60" s="608"/>
      <c r="RED60" s="608"/>
      <c r="REE60" s="608"/>
      <c r="REF60" s="608"/>
      <c r="REG60" s="608"/>
      <c r="REH60" s="608"/>
      <c r="REI60" s="608"/>
      <c r="REJ60" s="608"/>
      <c r="REK60" s="608"/>
      <c r="REL60" s="608"/>
      <c r="REM60" s="608"/>
      <c r="REN60" s="608"/>
      <c r="REO60" s="608"/>
      <c r="REP60" s="608"/>
      <c r="REQ60" s="608"/>
      <c r="RER60" s="608"/>
      <c r="RES60" s="608"/>
      <c r="RET60" s="608"/>
      <c r="REU60" s="608"/>
      <c r="REV60" s="608"/>
      <c r="REW60" s="608"/>
      <c r="REX60" s="608"/>
      <c r="REY60" s="608"/>
      <c r="REZ60" s="608"/>
      <c r="RFA60" s="608"/>
      <c r="RFB60" s="608"/>
      <c r="RFC60" s="608"/>
      <c r="RFD60" s="608"/>
      <c r="RFE60" s="608"/>
      <c r="RFF60" s="608"/>
      <c r="RFG60" s="608"/>
      <c r="RFH60" s="608"/>
      <c r="RFI60" s="608"/>
      <c r="RFJ60" s="608"/>
      <c r="RFK60" s="608"/>
      <c r="RFL60" s="608"/>
      <c r="RFM60" s="608"/>
      <c r="RFN60" s="608"/>
      <c r="RFO60" s="608"/>
      <c r="RFP60" s="608"/>
      <c r="RFQ60" s="608"/>
      <c r="RFR60" s="608"/>
      <c r="RFS60" s="608"/>
      <c r="RFT60" s="608"/>
      <c r="RFU60" s="608"/>
      <c r="RFV60" s="608"/>
      <c r="RFW60" s="608"/>
      <c r="RFX60" s="608"/>
      <c r="RFY60" s="608"/>
      <c r="RFZ60" s="608"/>
      <c r="RGA60" s="608"/>
      <c r="RGB60" s="608"/>
      <c r="RGC60" s="608"/>
      <c r="RGD60" s="608"/>
      <c r="RGE60" s="608"/>
      <c r="RGF60" s="608"/>
      <c r="RGG60" s="608"/>
      <c r="RGH60" s="608"/>
      <c r="RGI60" s="608"/>
      <c r="RGJ60" s="608"/>
      <c r="RGK60" s="608"/>
      <c r="RGL60" s="608"/>
      <c r="RGM60" s="608"/>
      <c r="RGN60" s="608"/>
      <c r="RGO60" s="608"/>
      <c r="RGP60" s="608"/>
      <c r="RGQ60" s="608"/>
      <c r="RGR60" s="608"/>
      <c r="RGS60" s="608"/>
      <c r="RGT60" s="608"/>
      <c r="RGU60" s="608"/>
      <c r="RGV60" s="608"/>
      <c r="RGW60" s="608"/>
      <c r="RGX60" s="608"/>
      <c r="RGY60" s="608"/>
      <c r="RGZ60" s="608"/>
      <c r="RHA60" s="608"/>
      <c r="RHB60" s="608"/>
      <c r="RHC60" s="608"/>
      <c r="RHD60" s="608"/>
      <c r="RHE60" s="608"/>
      <c r="RHF60" s="608"/>
      <c r="RHG60" s="608"/>
      <c r="RHH60" s="608"/>
      <c r="RHI60" s="608"/>
      <c r="RHJ60" s="608"/>
      <c r="RHK60" s="608"/>
      <c r="RHL60" s="608"/>
      <c r="RHM60" s="608"/>
      <c r="RHN60" s="608"/>
      <c r="RHO60" s="608"/>
      <c r="RHP60" s="608"/>
      <c r="RHQ60" s="608"/>
      <c r="RHR60" s="608"/>
      <c r="RHS60" s="608"/>
      <c r="RHT60" s="608"/>
      <c r="RHU60" s="608"/>
      <c r="RHV60" s="608"/>
      <c r="RHW60" s="608"/>
      <c r="RHX60" s="608"/>
      <c r="RHY60" s="608"/>
      <c r="RHZ60" s="608"/>
      <c r="RIA60" s="608"/>
      <c r="RIB60" s="608"/>
      <c r="RIC60" s="608"/>
      <c r="RID60" s="608"/>
      <c r="RIE60" s="608"/>
      <c r="RIF60" s="608"/>
      <c r="RIG60" s="608"/>
      <c r="RIH60" s="608"/>
      <c r="RII60" s="608"/>
      <c r="RIJ60" s="608"/>
      <c r="RIK60" s="608"/>
      <c r="RIL60" s="608"/>
      <c r="RIM60" s="608"/>
      <c r="RIN60" s="608"/>
      <c r="RIO60" s="608"/>
      <c r="RIP60" s="608"/>
      <c r="RIQ60" s="608"/>
      <c r="RIR60" s="608"/>
      <c r="RIS60" s="608"/>
      <c r="RIT60" s="608"/>
      <c r="RIU60" s="608"/>
      <c r="RIV60" s="608"/>
      <c r="RIW60" s="608"/>
      <c r="RIX60" s="608"/>
      <c r="RIY60" s="608"/>
      <c r="RIZ60" s="608"/>
      <c r="RJA60" s="608"/>
      <c r="RJB60" s="608"/>
      <c r="RJC60" s="608"/>
      <c r="RJD60" s="608"/>
      <c r="RJE60" s="608"/>
      <c r="RJF60" s="608"/>
      <c r="RJG60" s="608"/>
      <c r="RJH60" s="608"/>
      <c r="RJI60" s="608"/>
      <c r="RJJ60" s="608"/>
      <c r="RJK60" s="608"/>
      <c r="RJL60" s="608"/>
      <c r="RJM60" s="608"/>
      <c r="RJN60" s="608"/>
      <c r="RJO60" s="608"/>
      <c r="RJP60" s="608"/>
      <c r="RJQ60" s="608"/>
      <c r="RJR60" s="608"/>
      <c r="RJS60" s="608"/>
      <c r="RJT60" s="608"/>
      <c r="RJU60" s="608"/>
      <c r="RJV60" s="608"/>
      <c r="RJW60" s="608"/>
      <c r="RJX60" s="608"/>
      <c r="RJY60" s="608"/>
      <c r="RJZ60" s="608"/>
      <c r="RKA60" s="608"/>
      <c r="RKB60" s="608"/>
      <c r="RKC60" s="608"/>
      <c r="RKD60" s="608"/>
      <c r="RKE60" s="608"/>
      <c r="RKF60" s="608"/>
      <c r="RKG60" s="608"/>
      <c r="RKH60" s="608"/>
      <c r="RKI60" s="608"/>
      <c r="RKJ60" s="608"/>
      <c r="RKK60" s="608"/>
      <c r="RKL60" s="608"/>
      <c r="RKM60" s="608"/>
      <c r="RKN60" s="608"/>
      <c r="RKO60" s="608"/>
      <c r="RKP60" s="608"/>
      <c r="RKQ60" s="608"/>
      <c r="RKR60" s="608"/>
      <c r="RKS60" s="608"/>
      <c r="RKT60" s="608"/>
      <c r="RKU60" s="608"/>
      <c r="RKV60" s="608"/>
      <c r="RKW60" s="608"/>
      <c r="RKX60" s="608"/>
      <c r="RKY60" s="608"/>
      <c r="RKZ60" s="608"/>
      <c r="RLA60" s="608"/>
      <c r="RLB60" s="608"/>
      <c r="RLC60" s="608"/>
      <c r="RLD60" s="608"/>
      <c r="RLE60" s="608"/>
      <c r="RLF60" s="608"/>
      <c r="RLG60" s="608"/>
      <c r="RLH60" s="608"/>
      <c r="RLI60" s="608"/>
      <c r="RLJ60" s="608"/>
      <c r="RLK60" s="608"/>
      <c r="RLL60" s="608"/>
      <c r="RLM60" s="608"/>
      <c r="RLN60" s="608"/>
      <c r="RLO60" s="608"/>
      <c r="RLP60" s="608"/>
      <c r="RLQ60" s="608"/>
      <c r="RLR60" s="608"/>
      <c r="RLS60" s="608"/>
      <c r="RLT60" s="608"/>
      <c r="RLU60" s="608"/>
      <c r="RLV60" s="608"/>
      <c r="RLW60" s="608"/>
      <c r="RLX60" s="608"/>
      <c r="RLY60" s="608"/>
      <c r="RLZ60" s="608"/>
      <c r="RMA60" s="608"/>
      <c r="RMB60" s="608"/>
      <c r="RMC60" s="608"/>
      <c r="RMD60" s="608"/>
      <c r="RME60" s="608"/>
      <c r="RMF60" s="608"/>
      <c r="RMG60" s="608"/>
      <c r="RMH60" s="608"/>
      <c r="RMI60" s="608"/>
      <c r="RMJ60" s="608"/>
      <c r="RMK60" s="608"/>
      <c r="RML60" s="608"/>
      <c r="RMM60" s="608"/>
      <c r="RMN60" s="608"/>
      <c r="RMO60" s="608"/>
      <c r="RMP60" s="608"/>
      <c r="RMQ60" s="608"/>
      <c r="RMR60" s="608"/>
      <c r="RMS60" s="608"/>
      <c r="RMT60" s="608"/>
      <c r="RMU60" s="608"/>
      <c r="RMV60" s="608"/>
      <c r="RMW60" s="608"/>
      <c r="RMX60" s="608"/>
      <c r="RMY60" s="608"/>
      <c r="RMZ60" s="608"/>
      <c r="RNA60" s="608"/>
      <c r="RNB60" s="608"/>
      <c r="RNC60" s="608"/>
      <c r="RND60" s="608"/>
      <c r="RNE60" s="608"/>
      <c r="RNF60" s="608"/>
      <c r="RNG60" s="608"/>
      <c r="RNH60" s="608"/>
      <c r="RNI60" s="608"/>
      <c r="RNJ60" s="608"/>
      <c r="RNK60" s="608"/>
      <c r="RNL60" s="608"/>
      <c r="RNM60" s="608"/>
      <c r="RNN60" s="608"/>
      <c r="RNO60" s="608"/>
      <c r="RNP60" s="608"/>
      <c r="RNQ60" s="608"/>
      <c r="RNR60" s="608"/>
      <c r="RNS60" s="608"/>
      <c r="RNT60" s="608"/>
      <c r="RNU60" s="608"/>
      <c r="RNV60" s="608"/>
      <c r="RNW60" s="608"/>
      <c r="RNX60" s="608"/>
      <c r="RNY60" s="608"/>
      <c r="RNZ60" s="608"/>
      <c r="ROA60" s="608"/>
      <c r="ROB60" s="608"/>
      <c r="ROC60" s="608"/>
      <c r="ROD60" s="608"/>
      <c r="ROE60" s="608"/>
      <c r="ROF60" s="608"/>
      <c r="ROG60" s="608"/>
      <c r="ROH60" s="608"/>
      <c r="ROI60" s="608"/>
      <c r="ROJ60" s="608"/>
      <c r="ROK60" s="608"/>
      <c r="ROL60" s="608"/>
      <c r="ROM60" s="608"/>
      <c r="RON60" s="608"/>
      <c r="ROO60" s="608"/>
      <c r="ROP60" s="608"/>
      <c r="ROQ60" s="608"/>
      <c r="ROR60" s="608"/>
      <c r="ROS60" s="608"/>
      <c r="ROT60" s="608"/>
      <c r="ROU60" s="608"/>
      <c r="ROV60" s="608"/>
      <c r="ROW60" s="608"/>
      <c r="ROX60" s="608"/>
      <c r="ROY60" s="608"/>
      <c r="ROZ60" s="608"/>
      <c r="RPA60" s="608"/>
      <c r="RPB60" s="608"/>
      <c r="RPC60" s="608"/>
      <c r="RPD60" s="608"/>
      <c r="RPE60" s="608"/>
      <c r="RPF60" s="608"/>
      <c r="RPG60" s="608"/>
      <c r="RPH60" s="608"/>
      <c r="RPI60" s="608"/>
      <c r="RPJ60" s="608"/>
      <c r="RPK60" s="608"/>
      <c r="RPL60" s="608"/>
      <c r="RPM60" s="608"/>
      <c r="RPN60" s="608"/>
      <c r="RPO60" s="608"/>
      <c r="RPP60" s="608"/>
      <c r="RPQ60" s="608"/>
      <c r="RPR60" s="608"/>
      <c r="RPS60" s="608"/>
      <c r="RPT60" s="608"/>
      <c r="RPU60" s="608"/>
      <c r="RPV60" s="608"/>
      <c r="RPW60" s="608"/>
      <c r="RPX60" s="608"/>
      <c r="RPY60" s="608"/>
      <c r="RPZ60" s="608"/>
      <c r="RQA60" s="608"/>
      <c r="RQB60" s="608"/>
      <c r="RQC60" s="608"/>
      <c r="RQD60" s="608"/>
      <c r="RQE60" s="608"/>
      <c r="RQF60" s="608"/>
      <c r="RQG60" s="608"/>
      <c r="RQH60" s="608"/>
      <c r="RQI60" s="608"/>
      <c r="RQJ60" s="608"/>
      <c r="RQK60" s="608"/>
      <c r="RQL60" s="608"/>
      <c r="RQM60" s="608"/>
      <c r="RQN60" s="608"/>
      <c r="RQO60" s="608"/>
      <c r="RQP60" s="608"/>
      <c r="RQQ60" s="608"/>
      <c r="RQR60" s="608"/>
      <c r="RQS60" s="608"/>
      <c r="RQT60" s="608"/>
      <c r="RQU60" s="608"/>
      <c r="RQV60" s="608"/>
      <c r="RQW60" s="608"/>
      <c r="RQX60" s="608"/>
      <c r="RQY60" s="608"/>
      <c r="RQZ60" s="608"/>
      <c r="RRA60" s="608"/>
      <c r="RRB60" s="608"/>
      <c r="RRC60" s="608"/>
      <c r="RRD60" s="608"/>
      <c r="RRE60" s="608"/>
      <c r="RRF60" s="608"/>
      <c r="RRG60" s="608"/>
      <c r="RRH60" s="608"/>
      <c r="RRI60" s="608"/>
      <c r="RRJ60" s="608"/>
      <c r="RRK60" s="608"/>
      <c r="RRL60" s="608"/>
      <c r="RRM60" s="608"/>
      <c r="RRN60" s="608"/>
      <c r="RRO60" s="608"/>
      <c r="RRP60" s="608"/>
      <c r="RRQ60" s="608"/>
      <c r="RRR60" s="608"/>
      <c r="RRS60" s="608"/>
      <c r="RRT60" s="608"/>
      <c r="RRU60" s="608"/>
      <c r="RRV60" s="608"/>
      <c r="RRW60" s="608"/>
      <c r="RRX60" s="608"/>
      <c r="RRY60" s="608"/>
      <c r="RRZ60" s="608"/>
      <c r="RSA60" s="608"/>
      <c r="RSB60" s="608"/>
      <c r="RSC60" s="608"/>
      <c r="RSD60" s="608"/>
      <c r="RSE60" s="608"/>
      <c r="RSF60" s="608"/>
      <c r="RSG60" s="608"/>
      <c r="RSH60" s="608"/>
      <c r="RSI60" s="608"/>
      <c r="RSJ60" s="608"/>
      <c r="RSK60" s="608"/>
      <c r="RSL60" s="608"/>
      <c r="RSM60" s="608"/>
      <c r="RSN60" s="608"/>
      <c r="RSO60" s="608"/>
      <c r="RSP60" s="608"/>
      <c r="RSQ60" s="608"/>
      <c r="RSR60" s="608"/>
      <c r="RSS60" s="608"/>
      <c r="RST60" s="608"/>
      <c r="RSU60" s="608"/>
      <c r="RSV60" s="608"/>
      <c r="RSW60" s="608"/>
      <c r="RSX60" s="608"/>
      <c r="RSY60" s="608"/>
      <c r="RSZ60" s="608"/>
      <c r="RTA60" s="608"/>
      <c r="RTB60" s="608"/>
      <c r="RTC60" s="608"/>
      <c r="RTD60" s="608"/>
      <c r="RTE60" s="608"/>
      <c r="RTF60" s="608"/>
      <c r="RTG60" s="608"/>
      <c r="RTH60" s="608"/>
      <c r="RTI60" s="608"/>
      <c r="RTJ60" s="608"/>
      <c r="RTK60" s="608"/>
      <c r="RTL60" s="608"/>
      <c r="RTM60" s="608"/>
      <c r="RTN60" s="608"/>
      <c r="RTO60" s="608"/>
      <c r="RTP60" s="608"/>
      <c r="RTQ60" s="608"/>
      <c r="RTR60" s="608"/>
      <c r="RTS60" s="608"/>
      <c r="RTT60" s="608"/>
      <c r="RTU60" s="608"/>
      <c r="RTV60" s="608"/>
      <c r="RTW60" s="608"/>
      <c r="RTX60" s="608"/>
      <c r="RTY60" s="608"/>
      <c r="RTZ60" s="608"/>
      <c r="RUA60" s="608"/>
      <c r="RUB60" s="608"/>
      <c r="RUC60" s="608"/>
      <c r="RUD60" s="608"/>
      <c r="RUE60" s="608"/>
      <c r="RUF60" s="608"/>
      <c r="RUG60" s="608"/>
      <c r="RUH60" s="608"/>
      <c r="RUI60" s="608"/>
      <c r="RUJ60" s="608"/>
      <c r="RUK60" s="608"/>
      <c r="RUL60" s="608"/>
      <c r="RUM60" s="608"/>
      <c r="RUN60" s="608"/>
      <c r="RUO60" s="608"/>
      <c r="RUP60" s="608"/>
      <c r="RUQ60" s="608"/>
      <c r="RUR60" s="608"/>
      <c r="RUS60" s="608"/>
      <c r="RUT60" s="608"/>
      <c r="RUU60" s="608"/>
      <c r="RUV60" s="608"/>
      <c r="RUW60" s="608"/>
      <c r="RUX60" s="608"/>
      <c r="RUY60" s="608"/>
      <c r="RUZ60" s="608"/>
      <c r="RVA60" s="608"/>
      <c r="RVB60" s="608"/>
      <c r="RVC60" s="608"/>
      <c r="RVD60" s="608"/>
      <c r="RVE60" s="608"/>
      <c r="RVF60" s="608"/>
      <c r="RVG60" s="608"/>
      <c r="RVH60" s="608"/>
      <c r="RVI60" s="608"/>
      <c r="RVJ60" s="608"/>
      <c r="RVK60" s="608"/>
      <c r="RVL60" s="608"/>
      <c r="RVM60" s="608"/>
      <c r="RVN60" s="608"/>
      <c r="RVO60" s="608"/>
      <c r="RVP60" s="608"/>
      <c r="RVQ60" s="608"/>
      <c r="RVR60" s="608"/>
      <c r="RVS60" s="608"/>
      <c r="RVT60" s="608"/>
      <c r="RVU60" s="608"/>
      <c r="RVV60" s="608"/>
      <c r="RVW60" s="608"/>
      <c r="RVX60" s="608"/>
      <c r="RVY60" s="608"/>
      <c r="RVZ60" s="608"/>
      <c r="RWA60" s="608"/>
      <c r="RWB60" s="608"/>
      <c r="RWC60" s="608"/>
      <c r="RWD60" s="608"/>
      <c r="RWE60" s="608"/>
      <c r="RWF60" s="608"/>
      <c r="RWG60" s="608"/>
      <c r="RWH60" s="608"/>
      <c r="RWI60" s="608"/>
      <c r="RWJ60" s="608"/>
      <c r="RWK60" s="608"/>
      <c r="RWL60" s="608"/>
      <c r="RWM60" s="608"/>
      <c r="RWN60" s="608"/>
      <c r="RWO60" s="608"/>
      <c r="RWP60" s="608"/>
      <c r="RWQ60" s="608"/>
      <c r="RWR60" s="608"/>
      <c r="RWS60" s="608"/>
      <c r="RWT60" s="608"/>
      <c r="RWU60" s="608"/>
      <c r="RWV60" s="608"/>
      <c r="RWW60" s="608"/>
      <c r="RWX60" s="608"/>
      <c r="RWY60" s="608"/>
      <c r="RWZ60" s="608"/>
      <c r="RXA60" s="608"/>
      <c r="RXB60" s="608"/>
      <c r="RXC60" s="608"/>
      <c r="RXD60" s="608"/>
      <c r="RXE60" s="608"/>
      <c r="RXF60" s="608"/>
      <c r="RXG60" s="608"/>
      <c r="RXH60" s="608"/>
      <c r="RXI60" s="608"/>
      <c r="RXJ60" s="608"/>
      <c r="RXK60" s="608"/>
      <c r="RXL60" s="608"/>
      <c r="RXM60" s="608"/>
      <c r="RXN60" s="608"/>
      <c r="RXO60" s="608"/>
      <c r="RXP60" s="608"/>
      <c r="RXQ60" s="608"/>
      <c r="RXR60" s="608"/>
      <c r="RXS60" s="608"/>
      <c r="RXT60" s="608"/>
      <c r="RXU60" s="608"/>
      <c r="RXV60" s="608"/>
      <c r="RXW60" s="608"/>
      <c r="RXX60" s="608"/>
      <c r="RXY60" s="608"/>
      <c r="RXZ60" s="608"/>
      <c r="RYA60" s="608"/>
      <c r="RYB60" s="608"/>
      <c r="RYC60" s="608"/>
      <c r="RYD60" s="608"/>
      <c r="RYE60" s="608"/>
      <c r="RYF60" s="608"/>
      <c r="RYG60" s="608"/>
      <c r="RYH60" s="608"/>
      <c r="RYI60" s="608"/>
      <c r="RYJ60" s="608"/>
      <c r="RYK60" s="608"/>
      <c r="RYL60" s="608"/>
      <c r="RYM60" s="608"/>
      <c r="RYN60" s="608"/>
      <c r="RYO60" s="608"/>
      <c r="RYP60" s="608"/>
      <c r="RYQ60" s="608"/>
      <c r="RYR60" s="608"/>
      <c r="RYS60" s="608"/>
      <c r="RYT60" s="608"/>
      <c r="RYU60" s="608"/>
      <c r="RYV60" s="608"/>
      <c r="RYW60" s="608"/>
      <c r="RYX60" s="608"/>
      <c r="RYY60" s="608"/>
      <c r="RYZ60" s="608"/>
      <c r="RZA60" s="608"/>
      <c r="RZB60" s="608"/>
      <c r="RZC60" s="608"/>
      <c r="RZD60" s="608"/>
      <c r="RZE60" s="608"/>
      <c r="RZF60" s="608"/>
      <c r="RZG60" s="608"/>
      <c r="RZH60" s="608"/>
      <c r="RZI60" s="608"/>
      <c r="RZJ60" s="608"/>
      <c r="RZK60" s="608"/>
      <c r="RZL60" s="608"/>
      <c r="RZM60" s="608"/>
      <c r="RZN60" s="608"/>
      <c r="RZO60" s="608"/>
      <c r="RZP60" s="608"/>
      <c r="RZQ60" s="608"/>
      <c r="RZR60" s="608"/>
      <c r="RZS60" s="608"/>
      <c r="RZT60" s="608"/>
      <c r="RZU60" s="608"/>
      <c r="RZV60" s="608"/>
      <c r="RZW60" s="608"/>
      <c r="RZX60" s="608"/>
      <c r="RZY60" s="608"/>
      <c r="RZZ60" s="608"/>
      <c r="SAA60" s="608"/>
      <c r="SAB60" s="608"/>
      <c r="SAC60" s="608"/>
      <c r="SAD60" s="608"/>
      <c r="SAE60" s="608"/>
      <c r="SAF60" s="608"/>
      <c r="SAG60" s="608"/>
      <c r="SAH60" s="608"/>
      <c r="SAI60" s="608"/>
      <c r="SAJ60" s="608"/>
      <c r="SAK60" s="608"/>
      <c r="SAL60" s="608"/>
      <c r="SAM60" s="608"/>
      <c r="SAN60" s="608"/>
      <c r="SAO60" s="608"/>
      <c r="SAP60" s="608"/>
      <c r="SAQ60" s="608"/>
      <c r="SAR60" s="608"/>
      <c r="SAS60" s="608"/>
      <c r="SAT60" s="608"/>
      <c r="SAU60" s="608"/>
      <c r="SAV60" s="608"/>
      <c r="SAW60" s="608"/>
      <c r="SAX60" s="608"/>
      <c r="SAY60" s="608"/>
      <c r="SAZ60" s="608"/>
      <c r="SBA60" s="608"/>
      <c r="SBB60" s="608"/>
      <c r="SBC60" s="608"/>
      <c r="SBD60" s="608"/>
      <c r="SBE60" s="608"/>
      <c r="SBF60" s="608"/>
      <c r="SBG60" s="608"/>
      <c r="SBH60" s="608"/>
      <c r="SBI60" s="608"/>
      <c r="SBJ60" s="608"/>
      <c r="SBK60" s="608"/>
      <c r="SBL60" s="608"/>
      <c r="SBM60" s="608"/>
      <c r="SBN60" s="608"/>
      <c r="SBO60" s="608"/>
      <c r="SBP60" s="608"/>
      <c r="SBQ60" s="608"/>
      <c r="SBR60" s="608"/>
      <c r="SBS60" s="608"/>
      <c r="SBT60" s="608"/>
      <c r="SBU60" s="608"/>
      <c r="SBV60" s="608"/>
      <c r="SBW60" s="608"/>
      <c r="SBX60" s="608"/>
      <c r="SBY60" s="608"/>
      <c r="SBZ60" s="608"/>
      <c r="SCA60" s="608"/>
      <c r="SCB60" s="608"/>
      <c r="SCC60" s="608"/>
      <c r="SCD60" s="608"/>
      <c r="SCE60" s="608"/>
      <c r="SCF60" s="608"/>
      <c r="SCG60" s="608"/>
      <c r="SCH60" s="608"/>
      <c r="SCI60" s="608"/>
      <c r="SCJ60" s="608"/>
      <c r="SCK60" s="608"/>
      <c r="SCL60" s="608"/>
      <c r="SCM60" s="608"/>
      <c r="SCN60" s="608"/>
      <c r="SCO60" s="608"/>
      <c r="SCP60" s="608"/>
      <c r="SCQ60" s="608"/>
      <c r="SCR60" s="608"/>
      <c r="SCS60" s="608"/>
      <c r="SCT60" s="608"/>
      <c r="SCU60" s="608"/>
      <c r="SCV60" s="608"/>
      <c r="SCW60" s="608"/>
      <c r="SCX60" s="608"/>
      <c r="SCY60" s="608"/>
      <c r="SCZ60" s="608"/>
      <c r="SDA60" s="608"/>
      <c r="SDB60" s="608"/>
      <c r="SDC60" s="608"/>
      <c r="SDD60" s="608"/>
      <c r="SDE60" s="608"/>
      <c r="SDF60" s="608"/>
      <c r="SDG60" s="608"/>
      <c r="SDH60" s="608"/>
      <c r="SDI60" s="608"/>
      <c r="SDJ60" s="608"/>
      <c r="SDK60" s="608"/>
      <c r="SDL60" s="608"/>
      <c r="SDM60" s="608"/>
      <c r="SDN60" s="608"/>
      <c r="SDO60" s="608"/>
      <c r="SDP60" s="608"/>
      <c r="SDQ60" s="608"/>
      <c r="SDR60" s="608"/>
      <c r="SDS60" s="608"/>
      <c r="SDT60" s="608"/>
      <c r="SDU60" s="608"/>
      <c r="SDV60" s="608"/>
      <c r="SDW60" s="608"/>
      <c r="SDX60" s="608"/>
      <c r="SDY60" s="608"/>
      <c r="SDZ60" s="608"/>
      <c r="SEA60" s="608"/>
      <c r="SEB60" s="608"/>
      <c r="SEC60" s="608"/>
      <c r="SED60" s="608"/>
      <c r="SEE60" s="608"/>
      <c r="SEF60" s="608"/>
      <c r="SEG60" s="608"/>
      <c r="SEH60" s="608"/>
      <c r="SEI60" s="608"/>
      <c r="SEJ60" s="608"/>
      <c r="SEK60" s="608"/>
      <c r="SEL60" s="608"/>
      <c r="SEM60" s="608"/>
      <c r="SEN60" s="608"/>
      <c r="SEO60" s="608"/>
      <c r="SEP60" s="608"/>
      <c r="SEQ60" s="608"/>
      <c r="SER60" s="608"/>
      <c r="SES60" s="608"/>
      <c r="SET60" s="608"/>
      <c r="SEU60" s="608"/>
      <c r="SEV60" s="608"/>
      <c r="SEW60" s="608"/>
      <c r="SEX60" s="608"/>
      <c r="SEY60" s="608"/>
      <c r="SEZ60" s="608"/>
      <c r="SFA60" s="608"/>
      <c r="SFB60" s="608"/>
      <c r="SFC60" s="608"/>
      <c r="SFD60" s="608"/>
      <c r="SFE60" s="608"/>
      <c r="SFF60" s="608"/>
      <c r="SFG60" s="608"/>
      <c r="SFH60" s="608"/>
      <c r="SFI60" s="608"/>
      <c r="SFJ60" s="608"/>
      <c r="SFK60" s="608"/>
      <c r="SFL60" s="608"/>
      <c r="SFM60" s="608"/>
      <c r="SFN60" s="608"/>
      <c r="SFO60" s="608"/>
      <c r="SFP60" s="608"/>
      <c r="SFQ60" s="608"/>
      <c r="SFR60" s="608"/>
      <c r="SFS60" s="608"/>
      <c r="SFT60" s="608"/>
      <c r="SFU60" s="608"/>
      <c r="SFV60" s="608"/>
      <c r="SFW60" s="608"/>
      <c r="SFX60" s="608"/>
      <c r="SFY60" s="608"/>
      <c r="SFZ60" s="608"/>
      <c r="SGA60" s="608"/>
      <c r="SGB60" s="608"/>
      <c r="SGC60" s="608"/>
      <c r="SGD60" s="608"/>
      <c r="SGE60" s="608"/>
      <c r="SGF60" s="608"/>
      <c r="SGG60" s="608"/>
      <c r="SGH60" s="608"/>
      <c r="SGI60" s="608"/>
      <c r="SGJ60" s="608"/>
      <c r="SGK60" s="608"/>
      <c r="SGL60" s="608"/>
      <c r="SGM60" s="608"/>
      <c r="SGN60" s="608"/>
      <c r="SGO60" s="608"/>
      <c r="SGP60" s="608"/>
      <c r="SGQ60" s="608"/>
      <c r="SGR60" s="608"/>
      <c r="SGS60" s="608"/>
      <c r="SGT60" s="608"/>
      <c r="SGU60" s="608"/>
      <c r="SGV60" s="608"/>
      <c r="SGW60" s="608"/>
      <c r="SGX60" s="608"/>
      <c r="SGY60" s="608"/>
      <c r="SGZ60" s="608"/>
      <c r="SHA60" s="608"/>
      <c r="SHB60" s="608"/>
      <c r="SHC60" s="608"/>
      <c r="SHD60" s="608"/>
      <c r="SHE60" s="608"/>
      <c r="SHF60" s="608"/>
      <c r="SHG60" s="608"/>
      <c r="SHH60" s="608"/>
      <c r="SHI60" s="608"/>
      <c r="SHJ60" s="608"/>
      <c r="SHK60" s="608"/>
      <c r="SHL60" s="608"/>
      <c r="SHM60" s="608"/>
      <c r="SHN60" s="608"/>
      <c r="SHO60" s="608"/>
      <c r="SHP60" s="608"/>
      <c r="SHQ60" s="608"/>
      <c r="SHR60" s="608"/>
      <c r="SHS60" s="608"/>
      <c r="SHT60" s="608"/>
      <c r="SHU60" s="608"/>
      <c r="SHV60" s="608"/>
      <c r="SHW60" s="608"/>
      <c r="SHX60" s="608"/>
      <c r="SHY60" s="608"/>
      <c r="SHZ60" s="608"/>
      <c r="SIA60" s="608"/>
      <c r="SIB60" s="608"/>
      <c r="SIC60" s="608"/>
      <c r="SID60" s="608"/>
      <c r="SIE60" s="608"/>
      <c r="SIF60" s="608"/>
      <c r="SIG60" s="608"/>
      <c r="SIH60" s="608"/>
      <c r="SII60" s="608"/>
      <c r="SIJ60" s="608"/>
      <c r="SIK60" s="608"/>
      <c r="SIL60" s="608"/>
      <c r="SIM60" s="608"/>
      <c r="SIN60" s="608"/>
      <c r="SIO60" s="608"/>
      <c r="SIP60" s="608"/>
      <c r="SIQ60" s="608"/>
      <c r="SIR60" s="608"/>
      <c r="SIS60" s="608"/>
      <c r="SIT60" s="608"/>
      <c r="SIU60" s="608"/>
      <c r="SIV60" s="608"/>
      <c r="SIW60" s="608"/>
      <c r="SIX60" s="608"/>
      <c r="SIY60" s="608"/>
      <c r="SIZ60" s="608"/>
      <c r="SJA60" s="608"/>
      <c r="SJB60" s="608"/>
      <c r="SJC60" s="608"/>
      <c r="SJD60" s="608"/>
      <c r="SJE60" s="608"/>
      <c r="SJF60" s="608"/>
      <c r="SJG60" s="608"/>
      <c r="SJH60" s="608"/>
      <c r="SJI60" s="608"/>
      <c r="SJJ60" s="608"/>
      <c r="SJK60" s="608"/>
      <c r="SJL60" s="608"/>
      <c r="SJM60" s="608"/>
      <c r="SJN60" s="608"/>
      <c r="SJO60" s="608"/>
      <c r="SJP60" s="608"/>
      <c r="SJQ60" s="608"/>
      <c r="SJR60" s="608"/>
      <c r="SJS60" s="608"/>
      <c r="SJT60" s="608"/>
      <c r="SJU60" s="608"/>
      <c r="SJV60" s="608"/>
      <c r="SJW60" s="608"/>
      <c r="SJX60" s="608"/>
      <c r="SJY60" s="608"/>
      <c r="SJZ60" s="608"/>
      <c r="SKA60" s="608"/>
      <c r="SKB60" s="608"/>
      <c r="SKC60" s="608"/>
      <c r="SKD60" s="608"/>
      <c r="SKE60" s="608"/>
      <c r="SKF60" s="608"/>
      <c r="SKG60" s="608"/>
      <c r="SKH60" s="608"/>
      <c r="SKI60" s="608"/>
      <c r="SKJ60" s="608"/>
      <c r="SKK60" s="608"/>
      <c r="SKL60" s="608"/>
      <c r="SKM60" s="608"/>
      <c r="SKN60" s="608"/>
      <c r="SKO60" s="608"/>
      <c r="SKP60" s="608"/>
      <c r="SKQ60" s="608"/>
      <c r="SKR60" s="608"/>
      <c r="SKS60" s="608"/>
      <c r="SKT60" s="608"/>
      <c r="SKU60" s="608"/>
      <c r="SKV60" s="608"/>
      <c r="SKW60" s="608"/>
      <c r="SKX60" s="608"/>
      <c r="SKY60" s="608"/>
      <c r="SKZ60" s="608"/>
      <c r="SLA60" s="608"/>
      <c r="SLB60" s="608"/>
      <c r="SLC60" s="608"/>
      <c r="SLD60" s="608"/>
      <c r="SLE60" s="608"/>
      <c r="SLF60" s="608"/>
      <c r="SLG60" s="608"/>
      <c r="SLH60" s="608"/>
      <c r="SLI60" s="608"/>
      <c r="SLJ60" s="608"/>
      <c r="SLK60" s="608"/>
      <c r="SLL60" s="608"/>
      <c r="SLM60" s="608"/>
      <c r="SLN60" s="608"/>
      <c r="SLO60" s="608"/>
      <c r="SLP60" s="608"/>
      <c r="SLQ60" s="608"/>
      <c r="SLR60" s="608"/>
      <c r="SLS60" s="608"/>
      <c r="SLT60" s="608"/>
      <c r="SLU60" s="608"/>
      <c r="SLV60" s="608"/>
      <c r="SLW60" s="608"/>
      <c r="SLX60" s="608"/>
      <c r="SLY60" s="608"/>
      <c r="SLZ60" s="608"/>
      <c r="SMA60" s="608"/>
      <c r="SMB60" s="608"/>
      <c r="SMC60" s="608"/>
      <c r="SMD60" s="608"/>
      <c r="SME60" s="608"/>
      <c r="SMF60" s="608"/>
      <c r="SMG60" s="608"/>
      <c r="SMH60" s="608"/>
      <c r="SMI60" s="608"/>
      <c r="SMJ60" s="608"/>
      <c r="SMK60" s="608"/>
      <c r="SML60" s="608"/>
      <c r="SMM60" s="608"/>
      <c r="SMN60" s="608"/>
      <c r="SMO60" s="608"/>
      <c r="SMP60" s="608"/>
      <c r="SMQ60" s="608"/>
      <c r="SMR60" s="608"/>
      <c r="SMS60" s="608"/>
      <c r="SMT60" s="608"/>
      <c r="SMU60" s="608"/>
      <c r="SMV60" s="608"/>
      <c r="SMW60" s="608"/>
      <c r="SMX60" s="608"/>
      <c r="SMY60" s="608"/>
      <c r="SMZ60" s="608"/>
      <c r="SNA60" s="608"/>
      <c r="SNB60" s="608"/>
      <c r="SNC60" s="608"/>
      <c r="SND60" s="608"/>
      <c r="SNE60" s="608"/>
      <c r="SNF60" s="608"/>
      <c r="SNG60" s="608"/>
      <c r="SNH60" s="608"/>
      <c r="SNI60" s="608"/>
      <c r="SNJ60" s="608"/>
      <c r="SNK60" s="608"/>
      <c r="SNL60" s="608"/>
      <c r="SNM60" s="608"/>
      <c r="SNN60" s="608"/>
      <c r="SNO60" s="608"/>
      <c r="SNP60" s="608"/>
      <c r="SNQ60" s="608"/>
      <c r="SNR60" s="608"/>
      <c r="SNS60" s="608"/>
      <c r="SNT60" s="608"/>
      <c r="SNU60" s="608"/>
      <c r="SNV60" s="608"/>
      <c r="SNW60" s="608"/>
      <c r="SNX60" s="608"/>
      <c r="SNY60" s="608"/>
      <c r="SNZ60" s="608"/>
      <c r="SOA60" s="608"/>
      <c r="SOB60" s="608"/>
      <c r="SOC60" s="608"/>
      <c r="SOD60" s="608"/>
      <c r="SOE60" s="608"/>
      <c r="SOF60" s="608"/>
      <c r="SOG60" s="608"/>
      <c r="SOH60" s="608"/>
      <c r="SOI60" s="608"/>
      <c r="SOJ60" s="608"/>
      <c r="SOK60" s="608"/>
      <c r="SOL60" s="608"/>
      <c r="SOM60" s="608"/>
      <c r="SON60" s="608"/>
      <c r="SOO60" s="608"/>
      <c r="SOP60" s="608"/>
      <c r="SOQ60" s="608"/>
      <c r="SOR60" s="608"/>
      <c r="SOS60" s="608"/>
      <c r="SOT60" s="608"/>
      <c r="SOU60" s="608"/>
      <c r="SOV60" s="608"/>
      <c r="SOW60" s="608"/>
      <c r="SOX60" s="608"/>
      <c r="SOY60" s="608"/>
      <c r="SOZ60" s="608"/>
      <c r="SPA60" s="608"/>
      <c r="SPB60" s="608"/>
      <c r="SPC60" s="608"/>
      <c r="SPD60" s="608"/>
      <c r="SPE60" s="608"/>
      <c r="SPF60" s="608"/>
      <c r="SPG60" s="608"/>
      <c r="SPH60" s="608"/>
      <c r="SPI60" s="608"/>
      <c r="SPJ60" s="608"/>
      <c r="SPK60" s="608"/>
      <c r="SPL60" s="608"/>
      <c r="SPM60" s="608"/>
      <c r="SPN60" s="608"/>
      <c r="SPO60" s="608"/>
      <c r="SPP60" s="608"/>
      <c r="SPQ60" s="608"/>
      <c r="SPR60" s="608"/>
      <c r="SPS60" s="608"/>
      <c r="SPT60" s="608"/>
      <c r="SPU60" s="608"/>
      <c r="SPV60" s="608"/>
      <c r="SPW60" s="608"/>
      <c r="SPX60" s="608"/>
      <c r="SPY60" s="608"/>
      <c r="SPZ60" s="608"/>
      <c r="SQA60" s="608"/>
      <c r="SQB60" s="608"/>
      <c r="SQC60" s="608"/>
      <c r="SQD60" s="608"/>
      <c r="SQE60" s="608"/>
      <c r="SQF60" s="608"/>
      <c r="SQG60" s="608"/>
      <c r="SQH60" s="608"/>
      <c r="SQI60" s="608"/>
      <c r="SQJ60" s="608"/>
      <c r="SQK60" s="608"/>
      <c r="SQL60" s="608"/>
      <c r="SQM60" s="608"/>
      <c r="SQN60" s="608"/>
      <c r="SQO60" s="608"/>
      <c r="SQP60" s="608"/>
      <c r="SQQ60" s="608"/>
      <c r="SQR60" s="608"/>
      <c r="SQS60" s="608"/>
      <c r="SQT60" s="608"/>
      <c r="SQU60" s="608"/>
      <c r="SQV60" s="608"/>
      <c r="SQW60" s="608"/>
      <c r="SQX60" s="608"/>
      <c r="SQY60" s="608"/>
      <c r="SQZ60" s="608"/>
      <c r="SRA60" s="608"/>
      <c r="SRB60" s="608"/>
      <c r="SRC60" s="608"/>
      <c r="SRD60" s="608"/>
      <c r="SRE60" s="608"/>
      <c r="SRF60" s="608"/>
      <c r="SRG60" s="608"/>
      <c r="SRH60" s="608"/>
      <c r="SRI60" s="608"/>
      <c r="SRJ60" s="608"/>
      <c r="SRK60" s="608"/>
      <c r="SRL60" s="608"/>
      <c r="SRM60" s="608"/>
      <c r="SRN60" s="608"/>
      <c r="SRO60" s="608"/>
      <c r="SRP60" s="608"/>
      <c r="SRQ60" s="608"/>
      <c r="SRR60" s="608"/>
      <c r="SRS60" s="608"/>
      <c r="SRT60" s="608"/>
      <c r="SRU60" s="608"/>
      <c r="SRV60" s="608"/>
      <c r="SRW60" s="608"/>
      <c r="SRX60" s="608"/>
      <c r="SRY60" s="608"/>
      <c r="SRZ60" s="608"/>
      <c r="SSA60" s="608"/>
      <c r="SSB60" s="608"/>
      <c r="SSC60" s="608"/>
      <c r="SSD60" s="608"/>
      <c r="SSE60" s="608"/>
      <c r="SSF60" s="608"/>
      <c r="SSG60" s="608"/>
      <c r="SSH60" s="608"/>
      <c r="SSI60" s="608"/>
      <c r="SSJ60" s="608"/>
      <c r="SSK60" s="608"/>
      <c r="SSL60" s="608"/>
      <c r="SSM60" s="608"/>
      <c r="SSN60" s="608"/>
      <c r="SSO60" s="608"/>
      <c r="SSP60" s="608"/>
      <c r="SSQ60" s="608"/>
      <c r="SSR60" s="608"/>
      <c r="SSS60" s="608"/>
      <c r="SST60" s="608"/>
      <c r="SSU60" s="608"/>
      <c r="SSV60" s="608"/>
      <c r="SSW60" s="608"/>
      <c r="SSX60" s="608"/>
      <c r="SSY60" s="608"/>
      <c r="SSZ60" s="608"/>
      <c r="STA60" s="608"/>
      <c r="STB60" s="608"/>
      <c r="STC60" s="608"/>
      <c r="STD60" s="608"/>
      <c r="STE60" s="608"/>
      <c r="STF60" s="608"/>
      <c r="STG60" s="608"/>
      <c r="STH60" s="608"/>
      <c r="STI60" s="608"/>
      <c r="STJ60" s="608"/>
      <c r="STK60" s="608"/>
      <c r="STL60" s="608"/>
      <c r="STM60" s="608"/>
      <c r="STN60" s="608"/>
      <c r="STO60" s="608"/>
      <c r="STP60" s="608"/>
      <c r="STQ60" s="608"/>
      <c r="STR60" s="608"/>
      <c r="STS60" s="608"/>
      <c r="STT60" s="608"/>
      <c r="STU60" s="608"/>
      <c r="STV60" s="608"/>
      <c r="STW60" s="608"/>
      <c r="STX60" s="608"/>
      <c r="STY60" s="608"/>
      <c r="STZ60" s="608"/>
      <c r="SUA60" s="608"/>
      <c r="SUB60" s="608"/>
      <c r="SUC60" s="608"/>
      <c r="SUD60" s="608"/>
      <c r="SUE60" s="608"/>
      <c r="SUF60" s="608"/>
      <c r="SUG60" s="608"/>
      <c r="SUH60" s="608"/>
      <c r="SUI60" s="608"/>
      <c r="SUJ60" s="608"/>
      <c r="SUK60" s="608"/>
      <c r="SUL60" s="608"/>
      <c r="SUM60" s="608"/>
      <c r="SUN60" s="608"/>
      <c r="SUO60" s="608"/>
      <c r="SUP60" s="608"/>
      <c r="SUQ60" s="608"/>
      <c r="SUR60" s="608"/>
      <c r="SUS60" s="608"/>
      <c r="SUT60" s="608"/>
      <c r="SUU60" s="608"/>
      <c r="SUV60" s="608"/>
      <c r="SUW60" s="608"/>
      <c r="SUX60" s="608"/>
      <c r="SUY60" s="608"/>
      <c r="SUZ60" s="608"/>
      <c r="SVA60" s="608"/>
      <c r="SVB60" s="608"/>
      <c r="SVC60" s="608"/>
      <c r="SVD60" s="608"/>
      <c r="SVE60" s="608"/>
      <c r="SVF60" s="608"/>
      <c r="SVG60" s="608"/>
      <c r="SVH60" s="608"/>
      <c r="SVI60" s="608"/>
      <c r="SVJ60" s="608"/>
      <c r="SVK60" s="608"/>
      <c r="SVL60" s="608"/>
      <c r="SVM60" s="608"/>
      <c r="SVN60" s="608"/>
      <c r="SVO60" s="608"/>
      <c r="SVP60" s="608"/>
      <c r="SVQ60" s="608"/>
      <c r="SVR60" s="608"/>
      <c r="SVS60" s="608"/>
      <c r="SVT60" s="608"/>
      <c r="SVU60" s="608"/>
      <c r="SVV60" s="608"/>
      <c r="SVW60" s="608"/>
      <c r="SVX60" s="608"/>
      <c r="SVY60" s="608"/>
      <c r="SVZ60" s="608"/>
      <c r="SWA60" s="608"/>
      <c r="SWB60" s="608"/>
      <c r="SWC60" s="608"/>
      <c r="SWD60" s="608"/>
      <c r="SWE60" s="608"/>
      <c r="SWF60" s="608"/>
      <c r="SWG60" s="608"/>
      <c r="SWH60" s="608"/>
      <c r="SWI60" s="608"/>
      <c r="SWJ60" s="608"/>
      <c r="SWK60" s="608"/>
      <c r="SWL60" s="608"/>
      <c r="SWM60" s="608"/>
      <c r="SWN60" s="608"/>
      <c r="SWO60" s="608"/>
      <c r="SWP60" s="608"/>
      <c r="SWQ60" s="608"/>
      <c r="SWR60" s="608"/>
      <c r="SWS60" s="608"/>
      <c r="SWT60" s="608"/>
      <c r="SWU60" s="608"/>
      <c r="SWV60" s="608"/>
      <c r="SWW60" s="608"/>
      <c r="SWX60" s="608"/>
      <c r="SWY60" s="608"/>
      <c r="SWZ60" s="608"/>
      <c r="SXA60" s="608"/>
      <c r="SXB60" s="608"/>
      <c r="SXC60" s="608"/>
      <c r="SXD60" s="608"/>
      <c r="SXE60" s="608"/>
      <c r="SXF60" s="608"/>
      <c r="SXG60" s="608"/>
      <c r="SXH60" s="608"/>
      <c r="SXI60" s="608"/>
      <c r="SXJ60" s="608"/>
      <c r="SXK60" s="608"/>
      <c r="SXL60" s="608"/>
      <c r="SXM60" s="608"/>
      <c r="SXN60" s="608"/>
      <c r="SXO60" s="608"/>
      <c r="SXP60" s="608"/>
      <c r="SXQ60" s="608"/>
      <c r="SXR60" s="608"/>
      <c r="SXS60" s="608"/>
      <c r="SXT60" s="608"/>
      <c r="SXU60" s="608"/>
      <c r="SXV60" s="608"/>
      <c r="SXW60" s="608"/>
      <c r="SXX60" s="608"/>
      <c r="SXY60" s="608"/>
      <c r="SXZ60" s="608"/>
      <c r="SYA60" s="608"/>
      <c r="SYB60" s="608"/>
      <c r="SYC60" s="608"/>
      <c r="SYD60" s="608"/>
      <c r="SYE60" s="608"/>
      <c r="SYF60" s="608"/>
      <c r="SYG60" s="608"/>
      <c r="SYH60" s="608"/>
      <c r="SYI60" s="608"/>
      <c r="SYJ60" s="608"/>
      <c r="SYK60" s="608"/>
      <c r="SYL60" s="608"/>
      <c r="SYM60" s="608"/>
      <c r="SYN60" s="608"/>
      <c r="SYO60" s="608"/>
      <c r="SYP60" s="608"/>
      <c r="SYQ60" s="608"/>
      <c r="SYR60" s="608"/>
      <c r="SYS60" s="608"/>
      <c r="SYT60" s="608"/>
      <c r="SYU60" s="608"/>
      <c r="SYV60" s="608"/>
      <c r="SYW60" s="608"/>
      <c r="SYX60" s="608"/>
      <c r="SYY60" s="608"/>
      <c r="SYZ60" s="608"/>
      <c r="SZA60" s="608"/>
      <c r="SZB60" s="608"/>
      <c r="SZC60" s="608"/>
      <c r="SZD60" s="608"/>
      <c r="SZE60" s="608"/>
      <c r="SZF60" s="608"/>
      <c r="SZG60" s="608"/>
      <c r="SZH60" s="608"/>
      <c r="SZI60" s="608"/>
      <c r="SZJ60" s="608"/>
      <c r="SZK60" s="608"/>
      <c r="SZL60" s="608"/>
      <c r="SZM60" s="608"/>
      <c r="SZN60" s="608"/>
      <c r="SZO60" s="608"/>
      <c r="SZP60" s="608"/>
      <c r="SZQ60" s="608"/>
      <c r="SZR60" s="608"/>
      <c r="SZS60" s="608"/>
      <c r="SZT60" s="608"/>
      <c r="SZU60" s="608"/>
      <c r="SZV60" s="608"/>
      <c r="SZW60" s="608"/>
      <c r="SZX60" s="608"/>
      <c r="SZY60" s="608"/>
      <c r="SZZ60" s="608"/>
      <c r="TAA60" s="608"/>
      <c r="TAB60" s="608"/>
      <c r="TAC60" s="608"/>
      <c r="TAD60" s="608"/>
      <c r="TAE60" s="608"/>
      <c r="TAF60" s="608"/>
      <c r="TAG60" s="608"/>
      <c r="TAH60" s="608"/>
      <c r="TAI60" s="608"/>
      <c r="TAJ60" s="608"/>
      <c r="TAK60" s="608"/>
      <c r="TAL60" s="608"/>
      <c r="TAM60" s="608"/>
      <c r="TAN60" s="608"/>
      <c r="TAO60" s="608"/>
      <c r="TAP60" s="608"/>
      <c r="TAQ60" s="608"/>
      <c r="TAR60" s="608"/>
      <c r="TAS60" s="608"/>
      <c r="TAT60" s="608"/>
      <c r="TAU60" s="608"/>
      <c r="TAV60" s="608"/>
      <c r="TAW60" s="608"/>
      <c r="TAX60" s="608"/>
      <c r="TAY60" s="608"/>
      <c r="TAZ60" s="608"/>
      <c r="TBA60" s="608"/>
      <c r="TBB60" s="608"/>
      <c r="TBC60" s="608"/>
      <c r="TBD60" s="608"/>
      <c r="TBE60" s="608"/>
      <c r="TBF60" s="608"/>
      <c r="TBG60" s="608"/>
      <c r="TBH60" s="608"/>
      <c r="TBI60" s="608"/>
      <c r="TBJ60" s="608"/>
      <c r="TBK60" s="608"/>
      <c r="TBL60" s="608"/>
      <c r="TBM60" s="608"/>
      <c r="TBN60" s="608"/>
      <c r="TBO60" s="608"/>
      <c r="TBP60" s="608"/>
      <c r="TBQ60" s="608"/>
      <c r="TBR60" s="608"/>
      <c r="TBS60" s="608"/>
      <c r="TBT60" s="608"/>
      <c r="TBU60" s="608"/>
      <c r="TBV60" s="608"/>
      <c r="TBW60" s="608"/>
      <c r="TBX60" s="608"/>
      <c r="TBY60" s="608"/>
      <c r="TBZ60" s="608"/>
      <c r="TCA60" s="608"/>
      <c r="TCB60" s="608"/>
      <c r="TCC60" s="608"/>
      <c r="TCD60" s="608"/>
      <c r="TCE60" s="608"/>
      <c r="TCF60" s="608"/>
      <c r="TCG60" s="608"/>
      <c r="TCH60" s="608"/>
      <c r="TCI60" s="608"/>
      <c r="TCJ60" s="608"/>
      <c r="TCK60" s="608"/>
      <c r="TCL60" s="608"/>
      <c r="TCM60" s="608"/>
      <c r="TCN60" s="608"/>
      <c r="TCO60" s="608"/>
      <c r="TCP60" s="608"/>
      <c r="TCQ60" s="608"/>
      <c r="TCR60" s="608"/>
      <c r="TCS60" s="608"/>
      <c r="TCT60" s="608"/>
      <c r="TCU60" s="608"/>
      <c r="TCV60" s="608"/>
      <c r="TCW60" s="608"/>
      <c r="TCX60" s="608"/>
      <c r="TCY60" s="608"/>
      <c r="TCZ60" s="608"/>
      <c r="TDA60" s="608"/>
      <c r="TDB60" s="608"/>
      <c r="TDC60" s="608"/>
      <c r="TDD60" s="608"/>
      <c r="TDE60" s="608"/>
      <c r="TDF60" s="608"/>
      <c r="TDG60" s="608"/>
      <c r="TDH60" s="608"/>
      <c r="TDI60" s="608"/>
      <c r="TDJ60" s="608"/>
      <c r="TDK60" s="608"/>
      <c r="TDL60" s="608"/>
      <c r="TDM60" s="608"/>
      <c r="TDN60" s="608"/>
      <c r="TDO60" s="608"/>
      <c r="TDP60" s="608"/>
      <c r="TDQ60" s="608"/>
      <c r="TDR60" s="608"/>
      <c r="TDS60" s="608"/>
      <c r="TDT60" s="608"/>
      <c r="TDU60" s="608"/>
      <c r="TDV60" s="608"/>
      <c r="TDW60" s="608"/>
      <c r="TDX60" s="608"/>
      <c r="TDY60" s="608"/>
      <c r="TDZ60" s="608"/>
      <c r="TEA60" s="608"/>
      <c r="TEB60" s="608"/>
      <c r="TEC60" s="608"/>
      <c r="TED60" s="608"/>
      <c r="TEE60" s="608"/>
      <c r="TEF60" s="608"/>
      <c r="TEG60" s="608"/>
      <c r="TEH60" s="608"/>
      <c r="TEI60" s="608"/>
      <c r="TEJ60" s="608"/>
      <c r="TEK60" s="608"/>
      <c r="TEL60" s="608"/>
      <c r="TEM60" s="608"/>
      <c r="TEN60" s="608"/>
      <c r="TEO60" s="608"/>
      <c r="TEP60" s="608"/>
      <c r="TEQ60" s="608"/>
      <c r="TER60" s="608"/>
      <c r="TES60" s="608"/>
      <c r="TET60" s="608"/>
      <c r="TEU60" s="608"/>
      <c r="TEV60" s="608"/>
      <c r="TEW60" s="608"/>
      <c r="TEX60" s="608"/>
      <c r="TEY60" s="608"/>
      <c r="TEZ60" s="608"/>
      <c r="TFA60" s="608"/>
      <c r="TFB60" s="608"/>
      <c r="TFC60" s="608"/>
      <c r="TFD60" s="608"/>
      <c r="TFE60" s="608"/>
      <c r="TFF60" s="608"/>
      <c r="TFG60" s="608"/>
      <c r="TFH60" s="608"/>
      <c r="TFI60" s="608"/>
      <c r="TFJ60" s="608"/>
      <c r="TFK60" s="608"/>
      <c r="TFL60" s="608"/>
      <c r="TFM60" s="608"/>
      <c r="TFN60" s="608"/>
      <c r="TFO60" s="608"/>
      <c r="TFP60" s="608"/>
      <c r="TFQ60" s="608"/>
      <c r="TFR60" s="608"/>
      <c r="TFS60" s="608"/>
      <c r="TFT60" s="608"/>
      <c r="TFU60" s="608"/>
      <c r="TFV60" s="608"/>
      <c r="TFW60" s="608"/>
      <c r="TFX60" s="608"/>
      <c r="TFY60" s="608"/>
      <c r="TFZ60" s="608"/>
      <c r="TGA60" s="608"/>
      <c r="TGB60" s="608"/>
      <c r="TGC60" s="608"/>
      <c r="TGD60" s="608"/>
      <c r="TGE60" s="608"/>
      <c r="TGF60" s="608"/>
      <c r="TGG60" s="608"/>
      <c r="TGH60" s="608"/>
      <c r="TGI60" s="608"/>
      <c r="TGJ60" s="608"/>
      <c r="TGK60" s="608"/>
      <c r="TGL60" s="608"/>
      <c r="TGM60" s="608"/>
      <c r="TGN60" s="608"/>
      <c r="TGO60" s="608"/>
      <c r="TGP60" s="608"/>
      <c r="TGQ60" s="608"/>
      <c r="TGR60" s="608"/>
      <c r="TGS60" s="608"/>
      <c r="TGT60" s="608"/>
      <c r="TGU60" s="608"/>
      <c r="TGV60" s="608"/>
      <c r="TGW60" s="608"/>
      <c r="TGX60" s="608"/>
      <c r="TGY60" s="608"/>
      <c r="TGZ60" s="608"/>
      <c r="THA60" s="608"/>
      <c r="THB60" s="608"/>
      <c r="THC60" s="608"/>
      <c r="THD60" s="608"/>
      <c r="THE60" s="608"/>
      <c r="THF60" s="608"/>
      <c r="THG60" s="608"/>
      <c r="THH60" s="608"/>
      <c r="THI60" s="608"/>
      <c r="THJ60" s="608"/>
      <c r="THK60" s="608"/>
      <c r="THL60" s="608"/>
      <c r="THM60" s="608"/>
      <c r="THN60" s="608"/>
      <c r="THO60" s="608"/>
      <c r="THP60" s="608"/>
      <c r="THQ60" s="608"/>
      <c r="THR60" s="608"/>
      <c r="THS60" s="608"/>
      <c r="THT60" s="608"/>
      <c r="THU60" s="608"/>
      <c r="THV60" s="608"/>
      <c r="THW60" s="608"/>
      <c r="THX60" s="608"/>
      <c r="THY60" s="608"/>
      <c r="THZ60" s="608"/>
      <c r="TIA60" s="608"/>
      <c r="TIB60" s="608"/>
      <c r="TIC60" s="608"/>
      <c r="TID60" s="608"/>
      <c r="TIE60" s="608"/>
      <c r="TIF60" s="608"/>
      <c r="TIG60" s="608"/>
      <c r="TIH60" s="608"/>
      <c r="TII60" s="608"/>
      <c r="TIJ60" s="608"/>
      <c r="TIK60" s="608"/>
      <c r="TIL60" s="608"/>
      <c r="TIM60" s="608"/>
      <c r="TIN60" s="608"/>
      <c r="TIO60" s="608"/>
      <c r="TIP60" s="608"/>
      <c r="TIQ60" s="608"/>
      <c r="TIR60" s="608"/>
      <c r="TIS60" s="608"/>
      <c r="TIT60" s="608"/>
      <c r="TIU60" s="608"/>
      <c r="TIV60" s="608"/>
      <c r="TIW60" s="608"/>
      <c r="TIX60" s="608"/>
      <c r="TIY60" s="608"/>
      <c r="TIZ60" s="608"/>
      <c r="TJA60" s="608"/>
      <c r="TJB60" s="608"/>
      <c r="TJC60" s="608"/>
      <c r="TJD60" s="608"/>
      <c r="TJE60" s="608"/>
      <c r="TJF60" s="608"/>
      <c r="TJG60" s="608"/>
      <c r="TJH60" s="608"/>
      <c r="TJI60" s="608"/>
      <c r="TJJ60" s="608"/>
      <c r="TJK60" s="608"/>
      <c r="TJL60" s="608"/>
      <c r="TJM60" s="608"/>
      <c r="TJN60" s="608"/>
      <c r="TJO60" s="608"/>
      <c r="TJP60" s="608"/>
      <c r="TJQ60" s="608"/>
      <c r="TJR60" s="608"/>
      <c r="TJS60" s="608"/>
      <c r="TJT60" s="608"/>
      <c r="TJU60" s="608"/>
      <c r="TJV60" s="608"/>
      <c r="TJW60" s="608"/>
      <c r="TJX60" s="608"/>
      <c r="TJY60" s="608"/>
      <c r="TJZ60" s="608"/>
      <c r="TKA60" s="608"/>
      <c r="TKB60" s="608"/>
      <c r="TKC60" s="608"/>
      <c r="TKD60" s="608"/>
      <c r="TKE60" s="608"/>
      <c r="TKF60" s="608"/>
      <c r="TKG60" s="608"/>
      <c r="TKH60" s="608"/>
      <c r="TKI60" s="608"/>
      <c r="TKJ60" s="608"/>
      <c r="TKK60" s="608"/>
      <c r="TKL60" s="608"/>
      <c r="TKM60" s="608"/>
      <c r="TKN60" s="608"/>
      <c r="TKO60" s="608"/>
      <c r="TKP60" s="608"/>
      <c r="TKQ60" s="608"/>
      <c r="TKR60" s="608"/>
      <c r="TKS60" s="608"/>
      <c r="TKT60" s="608"/>
      <c r="TKU60" s="608"/>
      <c r="TKV60" s="608"/>
      <c r="TKW60" s="608"/>
      <c r="TKX60" s="608"/>
      <c r="TKY60" s="608"/>
      <c r="TKZ60" s="608"/>
      <c r="TLA60" s="608"/>
      <c r="TLB60" s="608"/>
      <c r="TLC60" s="608"/>
      <c r="TLD60" s="608"/>
      <c r="TLE60" s="608"/>
      <c r="TLF60" s="608"/>
      <c r="TLG60" s="608"/>
      <c r="TLH60" s="608"/>
      <c r="TLI60" s="608"/>
      <c r="TLJ60" s="608"/>
      <c r="TLK60" s="608"/>
      <c r="TLL60" s="608"/>
      <c r="TLM60" s="608"/>
      <c r="TLN60" s="608"/>
      <c r="TLO60" s="608"/>
      <c r="TLP60" s="608"/>
      <c r="TLQ60" s="608"/>
      <c r="TLR60" s="608"/>
      <c r="TLS60" s="608"/>
      <c r="TLT60" s="608"/>
      <c r="TLU60" s="608"/>
      <c r="TLV60" s="608"/>
      <c r="TLW60" s="608"/>
      <c r="TLX60" s="608"/>
      <c r="TLY60" s="608"/>
      <c r="TLZ60" s="608"/>
      <c r="TMA60" s="608"/>
      <c r="TMB60" s="608"/>
      <c r="TMC60" s="608"/>
      <c r="TMD60" s="608"/>
      <c r="TME60" s="608"/>
      <c r="TMF60" s="608"/>
      <c r="TMG60" s="608"/>
      <c r="TMH60" s="608"/>
      <c r="TMI60" s="608"/>
      <c r="TMJ60" s="608"/>
      <c r="TMK60" s="608"/>
      <c r="TML60" s="608"/>
      <c r="TMM60" s="608"/>
      <c r="TMN60" s="608"/>
      <c r="TMO60" s="608"/>
      <c r="TMP60" s="608"/>
      <c r="TMQ60" s="608"/>
      <c r="TMR60" s="608"/>
      <c r="TMS60" s="608"/>
      <c r="TMT60" s="608"/>
      <c r="TMU60" s="608"/>
      <c r="TMV60" s="608"/>
      <c r="TMW60" s="608"/>
      <c r="TMX60" s="608"/>
      <c r="TMY60" s="608"/>
      <c r="TMZ60" s="608"/>
      <c r="TNA60" s="608"/>
      <c r="TNB60" s="608"/>
      <c r="TNC60" s="608"/>
      <c r="TND60" s="608"/>
      <c r="TNE60" s="608"/>
      <c r="TNF60" s="608"/>
      <c r="TNG60" s="608"/>
      <c r="TNH60" s="608"/>
      <c r="TNI60" s="608"/>
      <c r="TNJ60" s="608"/>
      <c r="TNK60" s="608"/>
      <c r="TNL60" s="608"/>
      <c r="TNM60" s="608"/>
      <c r="TNN60" s="608"/>
      <c r="TNO60" s="608"/>
      <c r="TNP60" s="608"/>
      <c r="TNQ60" s="608"/>
      <c r="TNR60" s="608"/>
      <c r="TNS60" s="608"/>
      <c r="TNT60" s="608"/>
      <c r="TNU60" s="608"/>
      <c r="TNV60" s="608"/>
      <c r="TNW60" s="608"/>
      <c r="TNX60" s="608"/>
      <c r="TNY60" s="608"/>
      <c r="TNZ60" s="608"/>
      <c r="TOA60" s="608"/>
      <c r="TOB60" s="608"/>
      <c r="TOC60" s="608"/>
      <c r="TOD60" s="608"/>
      <c r="TOE60" s="608"/>
      <c r="TOF60" s="608"/>
      <c r="TOG60" s="608"/>
      <c r="TOH60" s="608"/>
      <c r="TOI60" s="608"/>
      <c r="TOJ60" s="608"/>
      <c r="TOK60" s="608"/>
      <c r="TOL60" s="608"/>
      <c r="TOM60" s="608"/>
      <c r="TON60" s="608"/>
      <c r="TOO60" s="608"/>
      <c r="TOP60" s="608"/>
      <c r="TOQ60" s="608"/>
      <c r="TOR60" s="608"/>
      <c r="TOS60" s="608"/>
      <c r="TOT60" s="608"/>
      <c r="TOU60" s="608"/>
      <c r="TOV60" s="608"/>
      <c r="TOW60" s="608"/>
      <c r="TOX60" s="608"/>
      <c r="TOY60" s="608"/>
      <c r="TOZ60" s="608"/>
      <c r="TPA60" s="608"/>
      <c r="TPB60" s="608"/>
      <c r="TPC60" s="608"/>
      <c r="TPD60" s="608"/>
      <c r="TPE60" s="608"/>
      <c r="TPF60" s="608"/>
      <c r="TPG60" s="608"/>
      <c r="TPH60" s="608"/>
      <c r="TPI60" s="608"/>
      <c r="TPJ60" s="608"/>
      <c r="TPK60" s="608"/>
      <c r="TPL60" s="608"/>
      <c r="TPM60" s="608"/>
      <c r="TPN60" s="608"/>
      <c r="TPO60" s="608"/>
      <c r="TPP60" s="608"/>
      <c r="TPQ60" s="608"/>
      <c r="TPR60" s="608"/>
      <c r="TPS60" s="608"/>
      <c r="TPT60" s="608"/>
      <c r="TPU60" s="608"/>
      <c r="TPV60" s="608"/>
      <c r="TPW60" s="608"/>
      <c r="TPX60" s="608"/>
      <c r="TPY60" s="608"/>
      <c r="TPZ60" s="608"/>
      <c r="TQA60" s="608"/>
      <c r="TQB60" s="608"/>
      <c r="TQC60" s="608"/>
      <c r="TQD60" s="608"/>
      <c r="TQE60" s="608"/>
      <c r="TQF60" s="608"/>
      <c r="TQG60" s="608"/>
      <c r="TQH60" s="608"/>
      <c r="TQI60" s="608"/>
      <c r="TQJ60" s="608"/>
      <c r="TQK60" s="608"/>
      <c r="TQL60" s="608"/>
      <c r="TQM60" s="608"/>
      <c r="TQN60" s="608"/>
      <c r="TQO60" s="608"/>
      <c r="TQP60" s="608"/>
      <c r="TQQ60" s="608"/>
      <c r="TQR60" s="608"/>
      <c r="TQS60" s="608"/>
      <c r="TQT60" s="608"/>
      <c r="TQU60" s="608"/>
      <c r="TQV60" s="608"/>
      <c r="TQW60" s="608"/>
      <c r="TQX60" s="608"/>
      <c r="TQY60" s="608"/>
      <c r="TQZ60" s="608"/>
      <c r="TRA60" s="608"/>
      <c r="TRB60" s="608"/>
      <c r="TRC60" s="608"/>
      <c r="TRD60" s="608"/>
      <c r="TRE60" s="608"/>
      <c r="TRF60" s="608"/>
      <c r="TRG60" s="608"/>
      <c r="TRH60" s="608"/>
      <c r="TRI60" s="608"/>
      <c r="TRJ60" s="608"/>
      <c r="TRK60" s="608"/>
      <c r="TRL60" s="608"/>
      <c r="TRM60" s="608"/>
      <c r="TRN60" s="608"/>
      <c r="TRO60" s="608"/>
      <c r="TRP60" s="608"/>
      <c r="TRQ60" s="608"/>
      <c r="TRR60" s="608"/>
      <c r="TRS60" s="608"/>
      <c r="TRT60" s="608"/>
      <c r="TRU60" s="608"/>
      <c r="TRV60" s="608"/>
      <c r="TRW60" s="608"/>
      <c r="TRX60" s="608"/>
      <c r="TRY60" s="608"/>
      <c r="TRZ60" s="608"/>
      <c r="TSA60" s="608"/>
      <c r="TSB60" s="608"/>
      <c r="TSC60" s="608"/>
      <c r="TSD60" s="608"/>
      <c r="TSE60" s="608"/>
      <c r="TSF60" s="608"/>
      <c r="TSG60" s="608"/>
      <c r="TSH60" s="608"/>
      <c r="TSI60" s="608"/>
      <c r="TSJ60" s="608"/>
      <c r="TSK60" s="608"/>
      <c r="TSL60" s="608"/>
      <c r="TSM60" s="608"/>
      <c r="TSN60" s="608"/>
      <c r="TSO60" s="608"/>
      <c r="TSP60" s="608"/>
      <c r="TSQ60" s="608"/>
      <c r="TSR60" s="608"/>
      <c r="TSS60" s="608"/>
      <c r="TST60" s="608"/>
      <c r="TSU60" s="608"/>
      <c r="TSV60" s="608"/>
      <c r="TSW60" s="608"/>
      <c r="TSX60" s="608"/>
      <c r="TSY60" s="608"/>
      <c r="TSZ60" s="608"/>
      <c r="TTA60" s="608"/>
      <c r="TTB60" s="608"/>
      <c r="TTC60" s="608"/>
      <c r="TTD60" s="608"/>
      <c r="TTE60" s="608"/>
      <c r="TTF60" s="608"/>
      <c r="TTG60" s="608"/>
      <c r="TTH60" s="608"/>
      <c r="TTI60" s="608"/>
      <c r="TTJ60" s="608"/>
      <c r="TTK60" s="608"/>
      <c r="TTL60" s="608"/>
      <c r="TTM60" s="608"/>
      <c r="TTN60" s="608"/>
      <c r="TTO60" s="608"/>
      <c r="TTP60" s="608"/>
      <c r="TTQ60" s="608"/>
      <c r="TTR60" s="608"/>
      <c r="TTS60" s="608"/>
      <c r="TTT60" s="608"/>
      <c r="TTU60" s="608"/>
      <c r="TTV60" s="608"/>
      <c r="TTW60" s="608"/>
      <c r="TTX60" s="608"/>
      <c r="TTY60" s="608"/>
      <c r="TTZ60" s="608"/>
      <c r="TUA60" s="608"/>
      <c r="TUB60" s="608"/>
      <c r="TUC60" s="608"/>
      <c r="TUD60" s="608"/>
      <c r="TUE60" s="608"/>
      <c r="TUF60" s="608"/>
      <c r="TUG60" s="608"/>
      <c r="TUH60" s="608"/>
      <c r="TUI60" s="608"/>
      <c r="TUJ60" s="608"/>
      <c r="TUK60" s="608"/>
      <c r="TUL60" s="608"/>
      <c r="TUM60" s="608"/>
      <c r="TUN60" s="608"/>
      <c r="TUO60" s="608"/>
      <c r="TUP60" s="608"/>
      <c r="TUQ60" s="608"/>
      <c r="TUR60" s="608"/>
      <c r="TUS60" s="608"/>
      <c r="TUT60" s="608"/>
      <c r="TUU60" s="608"/>
      <c r="TUV60" s="608"/>
      <c r="TUW60" s="608"/>
      <c r="TUX60" s="608"/>
      <c r="TUY60" s="608"/>
      <c r="TUZ60" s="608"/>
      <c r="TVA60" s="608"/>
      <c r="TVB60" s="608"/>
      <c r="TVC60" s="608"/>
      <c r="TVD60" s="608"/>
      <c r="TVE60" s="608"/>
      <c r="TVF60" s="608"/>
      <c r="TVG60" s="608"/>
      <c r="TVH60" s="608"/>
      <c r="TVI60" s="608"/>
      <c r="TVJ60" s="608"/>
      <c r="TVK60" s="608"/>
      <c r="TVL60" s="608"/>
      <c r="TVM60" s="608"/>
      <c r="TVN60" s="608"/>
      <c r="TVO60" s="608"/>
      <c r="TVP60" s="608"/>
      <c r="TVQ60" s="608"/>
      <c r="TVR60" s="608"/>
      <c r="TVS60" s="608"/>
      <c r="TVT60" s="608"/>
      <c r="TVU60" s="608"/>
      <c r="TVV60" s="608"/>
      <c r="TVW60" s="608"/>
      <c r="TVX60" s="608"/>
      <c r="TVY60" s="608"/>
      <c r="TVZ60" s="608"/>
      <c r="TWA60" s="608"/>
      <c r="TWB60" s="608"/>
      <c r="TWC60" s="608"/>
      <c r="TWD60" s="608"/>
      <c r="TWE60" s="608"/>
      <c r="TWF60" s="608"/>
      <c r="TWG60" s="608"/>
      <c r="TWH60" s="608"/>
      <c r="TWI60" s="608"/>
      <c r="TWJ60" s="608"/>
      <c r="TWK60" s="608"/>
      <c r="TWL60" s="608"/>
      <c r="TWM60" s="608"/>
      <c r="TWN60" s="608"/>
      <c r="TWO60" s="608"/>
      <c r="TWP60" s="608"/>
      <c r="TWQ60" s="608"/>
      <c r="TWR60" s="608"/>
      <c r="TWS60" s="608"/>
      <c r="TWT60" s="608"/>
      <c r="TWU60" s="608"/>
      <c r="TWV60" s="608"/>
      <c r="TWW60" s="608"/>
      <c r="TWX60" s="608"/>
      <c r="TWY60" s="608"/>
      <c r="TWZ60" s="608"/>
      <c r="TXA60" s="608"/>
      <c r="TXB60" s="608"/>
      <c r="TXC60" s="608"/>
      <c r="TXD60" s="608"/>
      <c r="TXE60" s="608"/>
      <c r="TXF60" s="608"/>
      <c r="TXG60" s="608"/>
      <c r="TXH60" s="608"/>
      <c r="TXI60" s="608"/>
      <c r="TXJ60" s="608"/>
      <c r="TXK60" s="608"/>
      <c r="TXL60" s="608"/>
      <c r="TXM60" s="608"/>
      <c r="TXN60" s="608"/>
      <c r="TXO60" s="608"/>
      <c r="TXP60" s="608"/>
      <c r="TXQ60" s="608"/>
      <c r="TXR60" s="608"/>
      <c r="TXS60" s="608"/>
      <c r="TXT60" s="608"/>
      <c r="TXU60" s="608"/>
      <c r="TXV60" s="608"/>
      <c r="TXW60" s="608"/>
      <c r="TXX60" s="608"/>
      <c r="TXY60" s="608"/>
      <c r="TXZ60" s="608"/>
      <c r="TYA60" s="608"/>
      <c r="TYB60" s="608"/>
      <c r="TYC60" s="608"/>
      <c r="TYD60" s="608"/>
      <c r="TYE60" s="608"/>
      <c r="TYF60" s="608"/>
      <c r="TYG60" s="608"/>
      <c r="TYH60" s="608"/>
      <c r="TYI60" s="608"/>
      <c r="TYJ60" s="608"/>
      <c r="TYK60" s="608"/>
      <c r="TYL60" s="608"/>
      <c r="TYM60" s="608"/>
      <c r="TYN60" s="608"/>
      <c r="TYO60" s="608"/>
      <c r="TYP60" s="608"/>
      <c r="TYQ60" s="608"/>
      <c r="TYR60" s="608"/>
      <c r="TYS60" s="608"/>
      <c r="TYT60" s="608"/>
      <c r="TYU60" s="608"/>
      <c r="TYV60" s="608"/>
      <c r="TYW60" s="608"/>
      <c r="TYX60" s="608"/>
      <c r="TYY60" s="608"/>
      <c r="TYZ60" s="608"/>
      <c r="TZA60" s="608"/>
      <c r="TZB60" s="608"/>
      <c r="TZC60" s="608"/>
      <c r="TZD60" s="608"/>
      <c r="TZE60" s="608"/>
      <c r="TZF60" s="608"/>
      <c r="TZG60" s="608"/>
      <c r="TZH60" s="608"/>
      <c r="TZI60" s="608"/>
      <c r="TZJ60" s="608"/>
      <c r="TZK60" s="608"/>
      <c r="TZL60" s="608"/>
      <c r="TZM60" s="608"/>
      <c r="TZN60" s="608"/>
      <c r="TZO60" s="608"/>
      <c r="TZP60" s="608"/>
      <c r="TZQ60" s="608"/>
      <c r="TZR60" s="608"/>
      <c r="TZS60" s="608"/>
      <c r="TZT60" s="608"/>
      <c r="TZU60" s="608"/>
      <c r="TZV60" s="608"/>
      <c r="TZW60" s="608"/>
      <c r="TZX60" s="608"/>
      <c r="TZY60" s="608"/>
      <c r="TZZ60" s="608"/>
      <c r="UAA60" s="608"/>
      <c r="UAB60" s="608"/>
      <c r="UAC60" s="608"/>
      <c r="UAD60" s="608"/>
      <c r="UAE60" s="608"/>
      <c r="UAF60" s="608"/>
      <c r="UAG60" s="608"/>
      <c r="UAH60" s="608"/>
      <c r="UAI60" s="608"/>
      <c r="UAJ60" s="608"/>
      <c r="UAK60" s="608"/>
      <c r="UAL60" s="608"/>
      <c r="UAM60" s="608"/>
      <c r="UAN60" s="608"/>
      <c r="UAO60" s="608"/>
      <c r="UAP60" s="608"/>
      <c r="UAQ60" s="608"/>
      <c r="UAR60" s="608"/>
      <c r="UAS60" s="608"/>
      <c r="UAT60" s="608"/>
      <c r="UAU60" s="608"/>
      <c r="UAV60" s="608"/>
      <c r="UAW60" s="608"/>
      <c r="UAX60" s="608"/>
      <c r="UAY60" s="608"/>
      <c r="UAZ60" s="608"/>
      <c r="UBA60" s="608"/>
      <c r="UBB60" s="608"/>
      <c r="UBC60" s="608"/>
      <c r="UBD60" s="608"/>
      <c r="UBE60" s="608"/>
      <c r="UBF60" s="608"/>
      <c r="UBG60" s="608"/>
      <c r="UBH60" s="608"/>
      <c r="UBI60" s="608"/>
      <c r="UBJ60" s="608"/>
      <c r="UBK60" s="608"/>
      <c r="UBL60" s="608"/>
      <c r="UBM60" s="608"/>
      <c r="UBN60" s="608"/>
      <c r="UBO60" s="608"/>
      <c r="UBP60" s="608"/>
      <c r="UBQ60" s="608"/>
      <c r="UBR60" s="608"/>
      <c r="UBS60" s="608"/>
      <c r="UBT60" s="608"/>
      <c r="UBU60" s="608"/>
      <c r="UBV60" s="608"/>
      <c r="UBW60" s="608"/>
      <c r="UBX60" s="608"/>
      <c r="UBY60" s="608"/>
      <c r="UBZ60" s="608"/>
      <c r="UCA60" s="608"/>
      <c r="UCB60" s="608"/>
      <c r="UCC60" s="608"/>
      <c r="UCD60" s="608"/>
      <c r="UCE60" s="608"/>
      <c r="UCF60" s="608"/>
      <c r="UCG60" s="608"/>
      <c r="UCH60" s="608"/>
      <c r="UCI60" s="608"/>
      <c r="UCJ60" s="608"/>
      <c r="UCK60" s="608"/>
      <c r="UCL60" s="608"/>
      <c r="UCM60" s="608"/>
      <c r="UCN60" s="608"/>
      <c r="UCO60" s="608"/>
      <c r="UCP60" s="608"/>
      <c r="UCQ60" s="608"/>
      <c r="UCR60" s="608"/>
      <c r="UCS60" s="608"/>
      <c r="UCT60" s="608"/>
      <c r="UCU60" s="608"/>
      <c r="UCV60" s="608"/>
      <c r="UCW60" s="608"/>
      <c r="UCX60" s="608"/>
      <c r="UCY60" s="608"/>
      <c r="UCZ60" s="608"/>
      <c r="UDA60" s="608"/>
      <c r="UDB60" s="608"/>
      <c r="UDC60" s="608"/>
      <c r="UDD60" s="608"/>
      <c r="UDE60" s="608"/>
      <c r="UDF60" s="608"/>
      <c r="UDG60" s="608"/>
      <c r="UDH60" s="608"/>
      <c r="UDI60" s="608"/>
      <c r="UDJ60" s="608"/>
      <c r="UDK60" s="608"/>
      <c r="UDL60" s="608"/>
      <c r="UDM60" s="608"/>
      <c r="UDN60" s="608"/>
      <c r="UDO60" s="608"/>
      <c r="UDP60" s="608"/>
      <c r="UDQ60" s="608"/>
      <c r="UDR60" s="608"/>
      <c r="UDS60" s="608"/>
      <c r="UDT60" s="608"/>
      <c r="UDU60" s="608"/>
      <c r="UDV60" s="608"/>
      <c r="UDW60" s="608"/>
      <c r="UDX60" s="608"/>
      <c r="UDY60" s="608"/>
      <c r="UDZ60" s="608"/>
      <c r="UEA60" s="608"/>
      <c r="UEB60" s="608"/>
      <c r="UEC60" s="608"/>
      <c r="UED60" s="608"/>
      <c r="UEE60" s="608"/>
      <c r="UEF60" s="608"/>
      <c r="UEG60" s="608"/>
      <c r="UEH60" s="608"/>
      <c r="UEI60" s="608"/>
      <c r="UEJ60" s="608"/>
      <c r="UEK60" s="608"/>
      <c r="UEL60" s="608"/>
      <c r="UEM60" s="608"/>
      <c r="UEN60" s="608"/>
      <c r="UEO60" s="608"/>
      <c r="UEP60" s="608"/>
      <c r="UEQ60" s="608"/>
      <c r="UER60" s="608"/>
      <c r="UES60" s="608"/>
      <c r="UET60" s="608"/>
      <c r="UEU60" s="608"/>
      <c r="UEV60" s="608"/>
      <c r="UEW60" s="608"/>
      <c r="UEX60" s="608"/>
      <c r="UEY60" s="608"/>
      <c r="UEZ60" s="608"/>
      <c r="UFA60" s="608"/>
      <c r="UFB60" s="608"/>
      <c r="UFC60" s="608"/>
      <c r="UFD60" s="608"/>
      <c r="UFE60" s="608"/>
      <c r="UFF60" s="608"/>
      <c r="UFG60" s="608"/>
      <c r="UFH60" s="608"/>
      <c r="UFI60" s="608"/>
      <c r="UFJ60" s="608"/>
      <c r="UFK60" s="608"/>
      <c r="UFL60" s="608"/>
      <c r="UFM60" s="608"/>
      <c r="UFN60" s="608"/>
      <c r="UFO60" s="608"/>
      <c r="UFP60" s="608"/>
      <c r="UFQ60" s="608"/>
      <c r="UFR60" s="608"/>
      <c r="UFS60" s="608"/>
      <c r="UFT60" s="608"/>
      <c r="UFU60" s="608"/>
      <c r="UFV60" s="608"/>
      <c r="UFW60" s="608"/>
      <c r="UFX60" s="608"/>
      <c r="UFY60" s="608"/>
      <c r="UFZ60" s="608"/>
      <c r="UGA60" s="608"/>
      <c r="UGB60" s="608"/>
      <c r="UGC60" s="608"/>
      <c r="UGD60" s="608"/>
      <c r="UGE60" s="608"/>
      <c r="UGF60" s="608"/>
      <c r="UGG60" s="608"/>
      <c r="UGH60" s="608"/>
      <c r="UGI60" s="608"/>
      <c r="UGJ60" s="608"/>
      <c r="UGK60" s="608"/>
      <c r="UGL60" s="608"/>
      <c r="UGM60" s="608"/>
      <c r="UGN60" s="608"/>
      <c r="UGO60" s="608"/>
      <c r="UGP60" s="608"/>
      <c r="UGQ60" s="608"/>
      <c r="UGR60" s="608"/>
      <c r="UGS60" s="608"/>
      <c r="UGT60" s="608"/>
      <c r="UGU60" s="608"/>
      <c r="UGV60" s="608"/>
      <c r="UGW60" s="608"/>
      <c r="UGX60" s="608"/>
      <c r="UGY60" s="608"/>
      <c r="UGZ60" s="608"/>
      <c r="UHA60" s="608"/>
      <c r="UHB60" s="608"/>
      <c r="UHC60" s="608"/>
      <c r="UHD60" s="608"/>
      <c r="UHE60" s="608"/>
      <c r="UHF60" s="608"/>
      <c r="UHG60" s="608"/>
      <c r="UHH60" s="608"/>
      <c r="UHI60" s="608"/>
      <c r="UHJ60" s="608"/>
      <c r="UHK60" s="608"/>
      <c r="UHL60" s="608"/>
      <c r="UHM60" s="608"/>
      <c r="UHN60" s="608"/>
      <c r="UHO60" s="608"/>
      <c r="UHP60" s="608"/>
      <c r="UHQ60" s="608"/>
      <c r="UHR60" s="608"/>
      <c r="UHS60" s="608"/>
      <c r="UHT60" s="608"/>
      <c r="UHU60" s="608"/>
      <c r="UHV60" s="608"/>
      <c r="UHW60" s="608"/>
      <c r="UHX60" s="608"/>
      <c r="UHY60" s="608"/>
      <c r="UHZ60" s="608"/>
      <c r="UIA60" s="608"/>
      <c r="UIB60" s="608"/>
      <c r="UIC60" s="608"/>
      <c r="UID60" s="608"/>
      <c r="UIE60" s="608"/>
      <c r="UIF60" s="608"/>
      <c r="UIG60" s="608"/>
      <c r="UIH60" s="608"/>
      <c r="UII60" s="608"/>
      <c r="UIJ60" s="608"/>
      <c r="UIK60" s="608"/>
      <c r="UIL60" s="608"/>
      <c r="UIM60" s="608"/>
      <c r="UIN60" s="608"/>
      <c r="UIO60" s="608"/>
      <c r="UIP60" s="608"/>
      <c r="UIQ60" s="608"/>
      <c r="UIR60" s="608"/>
      <c r="UIS60" s="608"/>
      <c r="UIT60" s="608"/>
      <c r="UIU60" s="608"/>
      <c r="UIV60" s="608"/>
      <c r="UIW60" s="608"/>
      <c r="UIX60" s="608"/>
      <c r="UIY60" s="608"/>
      <c r="UIZ60" s="608"/>
      <c r="UJA60" s="608"/>
      <c r="UJB60" s="608"/>
      <c r="UJC60" s="608"/>
      <c r="UJD60" s="608"/>
      <c r="UJE60" s="608"/>
      <c r="UJF60" s="608"/>
      <c r="UJG60" s="608"/>
      <c r="UJH60" s="608"/>
      <c r="UJI60" s="608"/>
      <c r="UJJ60" s="608"/>
      <c r="UJK60" s="608"/>
      <c r="UJL60" s="608"/>
      <c r="UJM60" s="608"/>
      <c r="UJN60" s="608"/>
      <c r="UJO60" s="608"/>
      <c r="UJP60" s="608"/>
      <c r="UJQ60" s="608"/>
      <c r="UJR60" s="608"/>
      <c r="UJS60" s="608"/>
      <c r="UJT60" s="608"/>
      <c r="UJU60" s="608"/>
      <c r="UJV60" s="608"/>
      <c r="UJW60" s="608"/>
      <c r="UJX60" s="608"/>
      <c r="UJY60" s="608"/>
      <c r="UJZ60" s="608"/>
      <c r="UKA60" s="608"/>
      <c r="UKB60" s="608"/>
      <c r="UKC60" s="608"/>
      <c r="UKD60" s="608"/>
      <c r="UKE60" s="608"/>
      <c r="UKF60" s="608"/>
      <c r="UKG60" s="608"/>
      <c r="UKH60" s="608"/>
      <c r="UKI60" s="608"/>
      <c r="UKJ60" s="608"/>
      <c r="UKK60" s="608"/>
      <c r="UKL60" s="608"/>
      <c r="UKM60" s="608"/>
      <c r="UKN60" s="608"/>
      <c r="UKO60" s="608"/>
      <c r="UKP60" s="608"/>
      <c r="UKQ60" s="608"/>
      <c r="UKR60" s="608"/>
      <c r="UKS60" s="608"/>
      <c r="UKT60" s="608"/>
      <c r="UKU60" s="608"/>
      <c r="UKV60" s="608"/>
      <c r="UKW60" s="608"/>
      <c r="UKX60" s="608"/>
      <c r="UKY60" s="608"/>
      <c r="UKZ60" s="608"/>
      <c r="ULA60" s="608"/>
      <c r="ULB60" s="608"/>
      <c r="ULC60" s="608"/>
      <c r="ULD60" s="608"/>
      <c r="ULE60" s="608"/>
      <c r="ULF60" s="608"/>
      <c r="ULG60" s="608"/>
      <c r="ULH60" s="608"/>
      <c r="ULI60" s="608"/>
      <c r="ULJ60" s="608"/>
      <c r="ULK60" s="608"/>
      <c r="ULL60" s="608"/>
      <c r="ULM60" s="608"/>
      <c r="ULN60" s="608"/>
      <c r="ULO60" s="608"/>
      <c r="ULP60" s="608"/>
      <c r="ULQ60" s="608"/>
      <c r="ULR60" s="608"/>
      <c r="ULS60" s="608"/>
      <c r="ULT60" s="608"/>
      <c r="ULU60" s="608"/>
      <c r="ULV60" s="608"/>
      <c r="ULW60" s="608"/>
      <c r="ULX60" s="608"/>
      <c r="ULY60" s="608"/>
      <c r="ULZ60" s="608"/>
      <c r="UMA60" s="608"/>
      <c r="UMB60" s="608"/>
      <c r="UMC60" s="608"/>
      <c r="UMD60" s="608"/>
      <c r="UME60" s="608"/>
      <c r="UMF60" s="608"/>
      <c r="UMG60" s="608"/>
      <c r="UMH60" s="608"/>
      <c r="UMI60" s="608"/>
      <c r="UMJ60" s="608"/>
      <c r="UMK60" s="608"/>
      <c r="UML60" s="608"/>
      <c r="UMM60" s="608"/>
      <c r="UMN60" s="608"/>
      <c r="UMO60" s="608"/>
      <c r="UMP60" s="608"/>
      <c r="UMQ60" s="608"/>
      <c r="UMR60" s="608"/>
      <c r="UMS60" s="608"/>
      <c r="UMT60" s="608"/>
      <c r="UMU60" s="608"/>
      <c r="UMV60" s="608"/>
      <c r="UMW60" s="608"/>
      <c r="UMX60" s="608"/>
      <c r="UMY60" s="608"/>
      <c r="UMZ60" s="608"/>
      <c r="UNA60" s="608"/>
      <c r="UNB60" s="608"/>
      <c r="UNC60" s="608"/>
      <c r="UND60" s="608"/>
      <c r="UNE60" s="608"/>
      <c r="UNF60" s="608"/>
      <c r="UNG60" s="608"/>
      <c r="UNH60" s="608"/>
      <c r="UNI60" s="608"/>
      <c r="UNJ60" s="608"/>
      <c r="UNK60" s="608"/>
      <c r="UNL60" s="608"/>
      <c r="UNM60" s="608"/>
      <c r="UNN60" s="608"/>
      <c r="UNO60" s="608"/>
      <c r="UNP60" s="608"/>
      <c r="UNQ60" s="608"/>
      <c r="UNR60" s="608"/>
      <c r="UNS60" s="608"/>
      <c r="UNT60" s="608"/>
      <c r="UNU60" s="608"/>
      <c r="UNV60" s="608"/>
      <c r="UNW60" s="608"/>
      <c r="UNX60" s="608"/>
      <c r="UNY60" s="608"/>
      <c r="UNZ60" s="608"/>
      <c r="UOA60" s="608"/>
      <c r="UOB60" s="608"/>
      <c r="UOC60" s="608"/>
      <c r="UOD60" s="608"/>
      <c r="UOE60" s="608"/>
      <c r="UOF60" s="608"/>
      <c r="UOG60" s="608"/>
      <c r="UOH60" s="608"/>
      <c r="UOI60" s="608"/>
      <c r="UOJ60" s="608"/>
      <c r="UOK60" s="608"/>
      <c r="UOL60" s="608"/>
      <c r="UOM60" s="608"/>
      <c r="UON60" s="608"/>
      <c r="UOO60" s="608"/>
      <c r="UOP60" s="608"/>
      <c r="UOQ60" s="608"/>
      <c r="UOR60" s="608"/>
      <c r="UOS60" s="608"/>
      <c r="UOT60" s="608"/>
      <c r="UOU60" s="608"/>
      <c r="UOV60" s="608"/>
      <c r="UOW60" s="608"/>
      <c r="UOX60" s="608"/>
      <c r="UOY60" s="608"/>
      <c r="UOZ60" s="608"/>
      <c r="UPA60" s="608"/>
      <c r="UPB60" s="608"/>
      <c r="UPC60" s="608"/>
      <c r="UPD60" s="608"/>
      <c r="UPE60" s="608"/>
      <c r="UPF60" s="608"/>
      <c r="UPG60" s="608"/>
      <c r="UPH60" s="608"/>
      <c r="UPI60" s="608"/>
      <c r="UPJ60" s="608"/>
      <c r="UPK60" s="608"/>
      <c r="UPL60" s="608"/>
      <c r="UPM60" s="608"/>
      <c r="UPN60" s="608"/>
      <c r="UPO60" s="608"/>
      <c r="UPP60" s="608"/>
      <c r="UPQ60" s="608"/>
      <c r="UPR60" s="608"/>
      <c r="UPS60" s="608"/>
      <c r="UPT60" s="608"/>
      <c r="UPU60" s="608"/>
      <c r="UPV60" s="608"/>
      <c r="UPW60" s="608"/>
      <c r="UPX60" s="608"/>
      <c r="UPY60" s="608"/>
      <c r="UPZ60" s="608"/>
      <c r="UQA60" s="608"/>
      <c r="UQB60" s="608"/>
      <c r="UQC60" s="608"/>
      <c r="UQD60" s="608"/>
      <c r="UQE60" s="608"/>
      <c r="UQF60" s="608"/>
      <c r="UQG60" s="608"/>
      <c r="UQH60" s="608"/>
      <c r="UQI60" s="608"/>
      <c r="UQJ60" s="608"/>
      <c r="UQK60" s="608"/>
      <c r="UQL60" s="608"/>
      <c r="UQM60" s="608"/>
      <c r="UQN60" s="608"/>
      <c r="UQO60" s="608"/>
      <c r="UQP60" s="608"/>
      <c r="UQQ60" s="608"/>
      <c r="UQR60" s="608"/>
      <c r="UQS60" s="608"/>
      <c r="UQT60" s="608"/>
      <c r="UQU60" s="608"/>
      <c r="UQV60" s="608"/>
      <c r="UQW60" s="608"/>
      <c r="UQX60" s="608"/>
      <c r="UQY60" s="608"/>
      <c r="UQZ60" s="608"/>
      <c r="URA60" s="608"/>
      <c r="URB60" s="608"/>
      <c r="URC60" s="608"/>
      <c r="URD60" s="608"/>
      <c r="URE60" s="608"/>
      <c r="URF60" s="608"/>
      <c r="URG60" s="608"/>
      <c r="URH60" s="608"/>
      <c r="URI60" s="608"/>
      <c r="URJ60" s="608"/>
      <c r="URK60" s="608"/>
      <c r="URL60" s="608"/>
      <c r="URM60" s="608"/>
      <c r="URN60" s="608"/>
      <c r="URO60" s="608"/>
      <c r="URP60" s="608"/>
      <c r="URQ60" s="608"/>
      <c r="URR60" s="608"/>
      <c r="URS60" s="608"/>
      <c r="URT60" s="608"/>
      <c r="URU60" s="608"/>
      <c r="URV60" s="608"/>
      <c r="URW60" s="608"/>
      <c r="URX60" s="608"/>
      <c r="URY60" s="608"/>
      <c r="URZ60" s="608"/>
      <c r="USA60" s="608"/>
      <c r="USB60" s="608"/>
      <c r="USC60" s="608"/>
      <c r="USD60" s="608"/>
      <c r="USE60" s="608"/>
      <c r="USF60" s="608"/>
      <c r="USG60" s="608"/>
      <c r="USH60" s="608"/>
      <c r="USI60" s="608"/>
      <c r="USJ60" s="608"/>
      <c r="USK60" s="608"/>
      <c r="USL60" s="608"/>
      <c r="USM60" s="608"/>
      <c r="USN60" s="608"/>
      <c r="USO60" s="608"/>
      <c r="USP60" s="608"/>
      <c r="USQ60" s="608"/>
      <c r="USR60" s="608"/>
      <c r="USS60" s="608"/>
      <c r="UST60" s="608"/>
      <c r="USU60" s="608"/>
      <c r="USV60" s="608"/>
      <c r="USW60" s="608"/>
      <c r="USX60" s="608"/>
      <c r="USY60" s="608"/>
      <c r="USZ60" s="608"/>
      <c r="UTA60" s="608"/>
      <c r="UTB60" s="608"/>
      <c r="UTC60" s="608"/>
      <c r="UTD60" s="608"/>
      <c r="UTE60" s="608"/>
      <c r="UTF60" s="608"/>
      <c r="UTG60" s="608"/>
      <c r="UTH60" s="608"/>
      <c r="UTI60" s="608"/>
      <c r="UTJ60" s="608"/>
      <c r="UTK60" s="608"/>
      <c r="UTL60" s="608"/>
      <c r="UTM60" s="608"/>
      <c r="UTN60" s="608"/>
      <c r="UTO60" s="608"/>
      <c r="UTP60" s="608"/>
      <c r="UTQ60" s="608"/>
      <c r="UTR60" s="608"/>
      <c r="UTS60" s="608"/>
      <c r="UTT60" s="608"/>
      <c r="UTU60" s="608"/>
      <c r="UTV60" s="608"/>
      <c r="UTW60" s="608"/>
      <c r="UTX60" s="608"/>
      <c r="UTY60" s="608"/>
      <c r="UTZ60" s="608"/>
      <c r="UUA60" s="608"/>
      <c r="UUB60" s="608"/>
      <c r="UUC60" s="608"/>
      <c r="UUD60" s="608"/>
      <c r="UUE60" s="608"/>
      <c r="UUF60" s="608"/>
      <c r="UUG60" s="608"/>
      <c r="UUH60" s="608"/>
      <c r="UUI60" s="608"/>
      <c r="UUJ60" s="608"/>
      <c r="UUK60" s="608"/>
      <c r="UUL60" s="608"/>
      <c r="UUM60" s="608"/>
      <c r="UUN60" s="608"/>
      <c r="UUO60" s="608"/>
      <c r="UUP60" s="608"/>
      <c r="UUQ60" s="608"/>
      <c r="UUR60" s="608"/>
      <c r="UUS60" s="608"/>
      <c r="UUT60" s="608"/>
      <c r="UUU60" s="608"/>
      <c r="UUV60" s="608"/>
      <c r="UUW60" s="608"/>
      <c r="UUX60" s="608"/>
      <c r="UUY60" s="608"/>
      <c r="UUZ60" s="608"/>
      <c r="UVA60" s="608"/>
      <c r="UVB60" s="608"/>
      <c r="UVC60" s="608"/>
      <c r="UVD60" s="608"/>
      <c r="UVE60" s="608"/>
      <c r="UVF60" s="608"/>
      <c r="UVG60" s="608"/>
      <c r="UVH60" s="608"/>
      <c r="UVI60" s="608"/>
      <c r="UVJ60" s="608"/>
      <c r="UVK60" s="608"/>
      <c r="UVL60" s="608"/>
      <c r="UVM60" s="608"/>
      <c r="UVN60" s="608"/>
      <c r="UVO60" s="608"/>
      <c r="UVP60" s="608"/>
      <c r="UVQ60" s="608"/>
      <c r="UVR60" s="608"/>
      <c r="UVS60" s="608"/>
      <c r="UVT60" s="608"/>
      <c r="UVU60" s="608"/>
      <c r="UVV60" s="608"/>
      <c r="UVW60" s="608"/>
      <c r="UVX60" s="608"/>
      <c r="UVY60" s="608"/>
      <c r="UVZ60" s="608"/>
      <c r="UWA60" s="608"/>
      <c r="UWB60" s="608"/>
      <c r="UWC60" s="608"/>
      <c r="UWD60" s="608"/>
      <c r="UWE60" s="608"/>
      <c r="UWF60" s="608"/>
      <c r="UWG60" s="608"/>
      <c r="UWH60" s="608"/>
      <c r="UWI60" s="608"/>
      <c r="UWJ60" s="608"/>
      <c r="UWK60" s="608"/>
      <c r="UWL60" s="608"/>
      <c r="UWM60" s="608"/>
      <c r="UWN60" s="608"/>
      <c r="UWO60" s="608"/>
      <c r="UWP60" s="608"/>
      <c r="UWQ60" s="608"/>
      <c r="UWR60" s="608"/>
      <c r="UWS60" s="608"/>
      <c r="UWT60" s="608"/>
      <c r="UWU60" s="608"/>
      <c r="UWV60" s="608"/>
      <c r="UWW60" s="608"/>
      <c r="UWX60" s="608"/>
      <c r="UWY60" s="608"/>
      <c r="UWZ60" s="608"/>
      <c r="UXA60" s="608"/>
      <c r="UXB60" s="608"/>
      <c r="UXC60" s="608"/>
      <c r="UXD60" s="608"/>
      <c r="UXE60" s="608"/>
      <c r="UXF60" s="608"/>
      <c r="UXG60" s="608"/>
      <c r="UXH60" s="608"/>
      <c r="UXI60" s="608"/>
      <c r="UXJ60" s="608"/>
      <c r="UXK60" s="608"/>
      <c r="UXL60" s="608"/>
      <c r="UXM60" s="608"/>
      <c r="UXN60" s="608"/>
      <c r="UXO60" s="608"/>
      <c r="UXP60" s="608"/>
      <c r="UXQ60" s="608"/>
      <c r="UXR60" s="608"/>
      <c r="UXS60" s="608"/>
      <c r="UXT60" s="608"/>
      <c r="UXU60" s="608"/>
      <c r="UXV60" s="608"/>
      <c r="UXW60" s="608"/>
      <c r="UXX60" s="608"/>
      <c r="UXY60" s="608"/>
      <c r="UXZ60" s="608"/>
      <c r="UYA60" s="608"/>
      <c r="UYB60" s="608"/>
      <c r="UYC60" s="608"/>
      <c r="UYD60" s="608"/>
      <c r="UYE60" s="608"/>
      <c r="UYF60" s="608"/>
      <c r="UYG60" s="608"/>
      <c r="UYH60" s="608"/>
      <c r="UYI60" s="608"/>
      <c r="UYJ60" s="608"/>
      <c r="UYK60" s="608"/>
      <c r="UYL60" s="608"/>
      <c r="UYM60" s="608"/>
      <c r="UYN60" s="608"/>
      <c r="UYO60" s="608"/>
      <c r="UYP60" s="608"/>
      <c r="UYQ60" s="608"/>
      <c r="UYR60" s="608"/>
      <c r="UYS60" s="608"/>
      <c r="UYT60" s="608"/>
      <c r="UYU60" s="608"/>
      <c r="UYV60" s="608"/>
      <c r="UYW60" s="608"/>
      <c r="UYX60" s="608"/>
      <c r="UYY60" s="608"/>
      <c r="UYZ60" s="608"/>
      <c r="UZA60" s="608"/>
      <c r="UZB60" s="608"/>
      <c r="UZC60" s="608"/>
      <c r="UZD60" s="608"/>
      <c r="UZE60" s="608"/>
      <c r="UZF60" s="608"/>
      <c r="UZG60" s="608"/>
      <c r="UZH60" s="608"/>
      <c r="UZI60" s="608"/>
      <c r="UZJ60" s="608"/>
      <c r="UZK60" s="608"/>
      <c r="UZL60" s="608"/>
      <c r="UZM60" s="608"/>
      <c r="UZN60" s="608"/>
      <c r="UZO60" s="608"/>
      <c r="UZP60" s="608"/>
      <c r="UZQ60" s="608"/>
      <c r="UZR60" s="608"/>
      <c r="UZS60" s="608"/>
      <c r="UZT60" s="608"/>
      <c r="UZU60" s="608"/>
      <c r="UZV60" s="608"/>
      <c r="UZW60" s="608"/>
      <c r="UZX60" s="608"/>
      <c r="UZY60" s="608"/>
      <c r="UZZ60" s="608"/>
      <c r="VAA60" s="608"/>
      <c r="VAB60" s="608"/>
      <c r="VAC60" s="608"/>
      <c r="VAD60" s="608"/>
      <c r="VAE60" s="608"/>
      <c r="VAF60" s="608"/>
      <c r="VAG60" s="608"/>
      <c r="VAH60" s="608"/>
      <c r="VAI60" s="608"/>
      <c r="VAJ60" s="608"/>
      <c r="VAK60" s="608"/>
      <c r="VAL60" s="608"/>
      <c r="VAM60" s="608"/>
      <c r="VAN60" s="608"/>
      <c r="VAO60" s="608"/>
      <c r="VAP60" s="608"/>
      <c r="VAQ60" s="608"/>
      <c r="VAR60" s="608"/>
      <c r="VAS60" s="608"/>
      <c r="VAT60" s="608"/>
      <c r="VAU60" s="608"/>
      <c r="VAV60" s="608"/>
      <c r="VAW60" s="608"/>
      <c r="VAX60" s="608"/>
      <c r="VAY60" s="608"/>
      <c r="VAZ60" s="608"/>
      <c r="VBA60" s="608"/>
      <c r="VBB60" s="608"/>
      <c r="VBC60" s="608"/>
      <c r="VBD60" s="608"/>
      <c r="VBE60" s="608"/>
      <c r="VBF60" s="608"/>
      <c r="VBG60" s="608"/>
      <c r="VBH60" s="608"/>
      <c r="VBI60" s="608"/>
      <c r="VBJ60" s="608"/>
      <c r="VBK60" s="608"/>
      <c r="VBL60" s="608"/>
      <c r="VBM60" s="608"/>
      <c r="VBN60" s="608"/>
      <c r="VBO60" s="608"/>
      <c r="VBP60" s="608"/>
      <c r="VBQ60" s="608"/>
      <c r="VBR60" s="608"/>
      <c r="VBS60" s="608"/>
      <c r="VBT60" s="608"/>
      <c r="VBU60" s="608"/>
      <c r="VBV60" s="608"/>
      <c r="VBW60" s="608"/>
      <c r="VBX60" s="608"/>
      <c r="VBY60" s="608"/>
      <c r="VBZ60" s="608"/>
      <c r="VCA60" s="608"/>
      <c r="VCB60" s="608"/>
      <c r="VCC60" s="608"/>
      <c r="VCD60" s="608"/>
      <c r="VCE60" s="608"/>
      <c r="VCF60" s="608"/>
      <c r="VCG60" s="608"/>
      <c r="VCH60" s="608"/>
      <c r="VCI60" s="608"/>
      <c r="VCJ60" s="608"/>
      <c r="VCK60" s="608"/>
      <c r="VCL60" s="608"/>
      <c r="VCM60" s="608"/>
      <c r="VCN60" s="608"/>
      <c r="VCO60" s="608"/>
      <c r="VCP60" s="608"/>
      <c r="VCQ60" s="608"/>
      <c r="VCR60" s="608"/>
      <c r="VCS60" s="608"/>
      <c r="VCT60" s="608"/>
      <c r="VCU60" s="608"/>
      <c r="VCV60" s="608"/>
      <c r="VCW60" s="608"/>
      <c r="VCX60" s="608"/>
      <c r="VCY60" s="608"/>
      <c r="VCZ60" s="608"/>
      <c r="VDA60" s="608"/>
      <c r="VDB60" s="608"/>
      <c r="VDC60" s="608"/>
      <c r="VDD60" s="608"/>
      <c r="VDE60" s="608"/>
      <c r="VDF60" s="608"/>
      <c r="VDG60" s="608"/>
      <c r="VDH60" s="608"/>
      <c r="VDI60" s="608"/>
      <c r="VDJ60" s="608"/>
      <c r="VDK60" s="608"/>
      <c r="VDL60" s="608"/>
      <c r="VDM60" s="608"/>
      <c r="VDN60" s="608"/>
      <c r="VDO60" s="608"/>
      <c r="VDP60" s="608"/>
      <c r="VDQ60" s="608"/>
      <c r="VDR60" s="608"/>
      <c r="VDS60" s="608"/>
      <c r="VDT60" s="608"/>
      <c r="VDU60" s="608"/>
      <c r="VDV60" s="608"/>
      <c r="VDW60" s="608"/>
      <c r="VDX60" s="608"/>
      <c r="VDY60" s="608"/>
      <c r="VDZ60" s="608"/>
      <c r="VEA60" s="608"/>
      <c r="VEB60" s="608"/>
      <c r="VEC60" s="608"/>
      <c r="VED60" s="608"/>
      <c r="VEE60" s="608"/>
      <c r="VEF60" s="608"/>
      <c r="VEG60" s="608"/>
      <c r="VEH60" s="608"/>
      <c r="VEI60" s="608"/>
      <c r="VEJ60" s="608"/>
      <c r="VEK60" s="608"/>
      <c r="VEL60" s="608"/>
      <c r="VEM60" s="608"/>
      <c r="VEN60" s="608"/>
      <c r="VEO60" s="608"/>
      <c r="VEP60" s="608"/>
      <c r="VEQ60" s="608"/>
      <c r="VER60" s="608"/>
      <c r="VES60" s="608"/>
      <c r="VET60" s="608"/>
      <c r="VEU60" s="608"/>
      <c r="VEV60" s="608"/>
      <c r="VEW60" s="608"/>
      <c r="VEX60" s="608"/>
      <c r="VEY60" s="608"/>
      <c r="VEZ60" s="608"/>
      <c r="VFA60" s="608"/>
      <c r="VFB60" s="608"/>
      <c r="VFC60" s="608"/>
      <c r="VFD60" s="608"/>
      <c r="VFE60" s="608"/>
      <c r="VFF60" s="608"/>
      <c r="VFG60" s="608"/>
      <c r="VFH60" s="608"/>
      <c r="VFI60" s="608"/>
      <c r="VFJ60" s="608"/>
      <c r="VFK60" s="608"/>
      <c r="VFL60" s="608"/>
      <c r="VFM60" s="608"/>
      <c r="VFN60" s="608"/>
      <c r="VFO60" s="608"/>
      <c r="VFP60" s="608"/>
      <c r="VFQ60" s="608"/>
      <c r="VFR60" s="608"/>
      <c r="VFS60" s="608"/>
      <c r="VFT60" s="608"/>
      <c r="VFU60" s="608"/>
      <c r="VFV60" s="608"/>
      <c r="VFW60" s="608"/>
      <c r="VFX60" s="608"/>
      <c r="VFY60" s="608"/>
      <c r="VFZ60" s="608"/>
      <c r="VGA60" s="608"/>
      <c r="VGB60" s="608"/>
      <c r="VGC60" s="608"/>
      <c r="VGD60" s="608"/>
      <c r="VGE60" s="608"/>
      <c r="VGF60" s="608"/>
      <c r="VGG60" s="608"/>
      <c r="VGH60" s="608"/>
      <c r="VGI60" s="608"/>
      <c r="VGJ60" s="608"/>
      <c r="VGK60" s="608"/>
      <c r="VGL60" s="608"/>
      <c r="VGM60" s="608"/>
      <c r="VGN60" s="608"/>
      <c r="VGO60" s="608"/>
      <c r="VGP60" s="608"/>
      <c r="VGQ60" s="608"/>
      <c r="VGR60" s="608"/>
      <c r="VGS60" s="608"/>
      <c r="VGT60" s="608"/>
      <c r="VGU60" s="608"/>
      <c r="VGV60" s="608"/>
      <c r="VGW60" s="608"/>
      <c r="VGX60" s="608"/>
      <c r="VGY60" s="608"/>
      <c r="VGZ60" s="608"/>
      <c r="VHA60" s="608"/>
      <c r="VHB60" s="608"/>
      <c r="VHC60" s="608"/>
      <c r="VHD60" s="608"/>
      <c r="VHE60" s="608"/>
      <c r="VHF60" s="608"/>
      <c r="VHG60" s="608"/>
      <c r="VHH60" s="608"/>
      <c r="VHI60" s="608"/>
      <c r="VHJ60" s="608"/>
      <c r="VHK60" s="608"/>
      <c r="VHL60" s="608"/>
      <c r="VHM60" s="608"/>
      <c r="VHN60" s="608"/>
      <c r="VHO60" s="608"/>
      <c r="VHP60" s="608"/>
      <c r="VHQ60" s="608"/>
      <c r="VHR60" s="608"/>
      <c r="VHS60" s="608"/>
      <c r="VHT60" s="608"/>
      <c r="VHU60" s="608"/>
      <c r="VHV60" s="608"/>
      <c r="VHW60" s="608"/>
      <c r="VHX60" s="608"/>
      <c r="VHY60" s="608"/>
      <c r="VHZ60" s="608"/>
      <c r="VIA60" s="608"/>
      <c r="VIB60" s="608"/>
      <c r="VIC60" s="608"/>
      <c r="VID60" s="608"/>
      <c r="VIE60" s="608"/>
      <c r="VIF60" s="608"/>
      <c r="VIG60" s="608"/>
      <c r="VIH60" s="608"/>
      <c r="VII60" s="608"/>
      <c r="VIJ60" s="608"/>
      <c r="VIK60" s="608"/>
      <c r="VIL60" s="608"/>
      <c r="VIM60" s="608"/>
      <c r="VIN60" s="608"/>
      <c r="VIO60" s="608"/>
      <c r="VIP60" s="608"/>
      <c r="VIQ60" s="608"/>
      <c r="VIR60" s="608"/>
      <c r="VIS60" s="608"/>
      <c r="VIT60" s="608"/>
      <c r="VIU60" s="608"/>
      <c r="VIV60" s="608"/>
      <c r="VIW60" s="608"/>
      <c r="VIX60" s="608"/>
      <c r="VIY60" s="608"/>
      <c r="VIZ60" s="608"/>
      <c r="VJA60" s="608"/>
      <c r="VJB60" s="608"/>
      <c r="VJC60" s="608"/>
      <c r="VJD60" s="608"/>
      <c r="VJE60" s="608"/>
      <c r="VJF60" s="608"/>
      <c r="VJG60" s="608"/>
      <c r="VJH60" s="608"/>
      <c r="VJI60" s="608"/>
      <c r="VJJ60" s="608"/>
      <c r="VJK60" s="608"/>
      <c r="VJL60" s="608"/>
      <c r="VJM60" s="608"/>
      <c r="VJN60" s="608"/>
      <c r="VJO60" s="608"/>
      <c r="VJP60" s="608"/>
      <c r="VJQ60" s="608"/>
      <c r="VJR60" s="608"/>
      <c r="VJS60" s="608"/>
      <c r="VJT60" s="608"/>
      <c r="VJU60" s="608"/>
      <c r="VJV60" s="608"/>
      <c r="VJW60" s="608"/>
      <c r="VJX60" s="608"/>
      <c r="VJY60" s="608"/>
      <c r="VJZ60" s="608"/>
      <c r="VKA60" s="608"/>
      <c r="VKB60" s="608"/>
      <c r="VKC60" s="608"/>
      <c r="VKD60" s="608"/>
      <c r="VKE60" s="608"/>
      <c r="VKF60" s="608"/>
      <c r="VKG60" s="608"/>
      <c r="VKH60" s="608"/>
      <c r="VKI60" s="608"/>
      <c r="VKJ60" s="608"/>
      <c r="VKK60" s="608"/>
      <c r="VKL60" s="608"/>
      <c r="VKM60" s="608"/>
      <c r="VKN60" s="608"/>
      <c r="VKO60" s="608"/>
      <c r="VKP60" s="608"/>
      <c r="VKQ60" s="608"/>
      <c r="VKR60" s="608"/>
      <c r="VKS60" s="608"/>
      <c r="VKT60" s="608"/>
      <c r="VKU60" s="608"/>
      <c r="VKV60" s="608"/>
      <c r="VKW60" s="608"/>
      <c r="VKX60" s="608"/>
      <c r="VKY60" s="608"/>
      <c r="VKZ60" s="608"/>
      <c r="VLA60" s="608"/>
      <c r="VLB60" s="608"/>
      <c r="VLC60" s="608"/>
      <c r="VLD60" s="608"/>
      <c r="VLE60" s="608"/>
      <c r="VLF60" s="608"/>
      <c r="VLG60" s="608"/>
      <c r="VLH60" s="608"/>
      <c r="VLI60" s="608"/>
      <c r="VLJ60" s="608"/>
      <c r="VLK60" s="608"/>
      <c r="VLL60" s="608"/>
      <c r="VLM60" s="608"/>
      <c r="VLN60" s="608"/>
      <c r="VLO60" s="608"/>
      <c r="VLP60" s="608"/>
      <c r="VLQ60" s="608"/>
      <c r="VLR60" s="608"/>
      <c r="VLS60" s="608"/>
      <c r="VLT60" s="608"/>
      <c r="VLU60" s="608"/>
      <c r="VLV60" s="608"/>
      <c r="VLW60" s="608"/>
      <c r="VLX60" s="608"/>
      <c r="VLY60" s="608"/>
      <c r="VLZ60" s="608"/>
      <c r="VMA60" s="608"/>
      <c r="VMB60" s="608"/>
      <c r="VMC60" s="608"/>
      <c r="VMD60" s="608"/>
      <c r="VME60" s="608"/>
      <c r="VMF60" s="608"/>
      <c r="VMG60" s="608"/>
      <c r="VMH60" s="608"/>
      <c r="VMI60" s="608"/>
      <c r="VMJ60" s="608"/>
      <c r="VMK60" s="608"/>
      <c r="VML60" s="608"/>
      <c r="VMM60" s="608"/>
      <c r="VMN60" s="608"/>
      <c r="VMO60" s="608"/>
      <c r="VMP60" s="608"/>
      <c r="VMQ60" s="608"/>
      <c r="VMR60" s="608"/>
      <c r="VMS60" s="608"/>
      <c r="VMT60" s="608"/>
      <c r="VMU60" s="608"/>
      <c r="VMV60" s="608"/>
      <c r="VMW60" s="608"/>
      <c r="VMX60" s="608"/>
      <c r="VMY60" s="608"/>
      <c r="VMZ60" s="608"/>
      <c r="VNA60" s="608"/>
      <c r="VNB60" s="608"/>
      <c r="VNC60" s="608"/>
      <c r="VND60" s="608"/>
      <c r="VNE60" s="608"/>
      <c r="VNF60" s="608"/>
      <c r="VNG60" s="608"/>
      <c r="VNH60" s="608"/>
      <c r="VNI60" s="608"/>
      <c r="VNJ60" s="608"/>
      <c r="VNK60" s="608"/>
      <c r="VNL60" s="608"/>
      <c r="VNM60" s="608"/>
      <c r="VNN60" s="608"/>
      <c r="VNO60" s="608"/>
      <c r="VNP60" s="608"/>
      <c r="VNQ60" s="608"/>
      <c r="VNR60" s="608"/>
      <c r="VNS60" s="608"/>
      <c r="VNT60" s="608"/>
      <c r="VNU60" s="608"/>
      <c r="VNV60" s="608"/>
      <c r="VNW60" s="608"/>
      <c r="VNX60" s="608"/>
      <c r="VNY60" s="608"/>
      <c r="VNZ60" s="608"/>
      <c r="VOA60" s="608"/>
      <c r="VOB60" s="608"/>
      <c r="VOC60" s="608"/>
      <c r="VOD60" s="608"/>
      <c r="VOE60" s="608"/>
      <c r="VOF60" s="608"/>
      <c r="VOG60" s="608"/>
      <c r="VOH60" s="608"/>
      <c r="VOI60" s="608"/>
      <c r="VOJ60" s="608"/>
      <c r="VOK60" s="608"/>
      <c r="VOL60" s="608"/>
      <c r="VOM60" s="608"/>
      <c r="VON60" s="608"/>
      <c r="VOO60" s="608"/>
      <c r="VOP60" s="608"/>
      <c r="VOQ60" s="608"/>
      <c r="VOR60" s="608"/>
      <c r="VOS60" s="608"/>
      <c r="VOT60" s="608"/>
      <c r="VOU60" s="608"/>
      <c r="VOV60" s="608"/>
      <c r="VOW60" s="608"/>
      <c r="VOX60" s="608"/>
      <c r="VOY60" s="608"/>
      <c r="VOZ60" s="608"/>
      <c r="VPA60" s="608"/>
      <c r="VPB60" s="608"/>
      <c r="VPC60" s="608"/>
      <c r="VPD60" s="608"/>
      <c r="VPE60" s="608"/>
      <c r="VPF60" s="608"/>
      <c r="VPG60" s="608"/>
      <c r="VPH60" s="608"/>
      <c r="VPI60" s="608"/>
      <c r="VPJ60" s="608"/>
      <c r="VPK60" s="608"/>
      <c r="VPL60" s="608"/>
      <c r="VPM60" s="608"/>
      <c r="VPN60" s="608"/>
      <c r="VPO60" s="608"/>
      <c r="VPP60" s="608"/>
      <c r="VPQ60" s="608"/>
      <c r="VPR60" s="608"/>
      <c r="VPS60" s="608"/>
      <c r="VPT60" s="608"/>
      <c r="VPU60" s="608"/>
      <c r="VPV60" s="608"/>
      <c r="VPW60" s="608"/>
      <c r="VPX60" s="608"/>
      <c r="VPY60" s="608"/>
      <c r="VPZ60" s="608"/>
      <c r="VQA60" s="608"/>
      <c r="VQB60" s="608"/>
      <c r="VQC60" s="608"/>
      <c r="VQD60" s="608"/>
      <c r="VQE60" s="608"/>
      <c r="VQF60" s="608"/>
      <c r="VQG60" s="608"/>
      <c r="VQH60" s="608"/>
      <c r="VQI60" s="608"/>
      <c r="VQJ60" s="608"/>
      <c r="VQK60" s="608"/>
      <c r="VQL60" s="608"/>
      <c r="VQM60" s="608"/>
      <c r="VQN60" s="608"/>
      <c r="VQO60" s="608"/>
      <c r="VQP60" s="608"/>
      <c r="VQQ60" s="608"/>
      <c r="VQR60" s="608"/>
      <c r="VQS60" s="608"/>
      <c r="VQT60" s="608"/>
      <c r="VQU60" s="608"/>
      <c r="VQV60" s="608"/>
      <c r="VQW60" s="608"/>
      <c r="VQX60" s="608"/>
      <c r="VQY60" s="608"/>
      <c r="VQZ60" s="608"/>
      <c r="VRA60" s="608"/>
      <c r="VRB60" s="608"/>
      <c r="VRC60" s="608"/>
      <c r="VRD60" s="608"/>
      <c r="VRE60" s="608"/>
      <c r="VRF60" s="608"/>
      <c r="VRG60" s="608"/>
      <c r="VRH60" s="608"/>
      <c r="VRI60" s="608"/>
      <c r="VRJ60" s="608"/>
      <c r="VRK60" s="608"/>
      <c r="VRL60" s="608"/>
      <c r="VRM60" s="608"/>
      <c r="VRN60" s="608"/>
      <c r="VRO60" s="608"/>
      <c r="VRP60" s="608"/>
      <c r="VRQ60" s="608"/>
      <c r="VRR60" s="608"/>
      <c r="VRS60" s="608"/>
      <c r="VRT60" s="608"/>
      <c r="VRU60" s="608"/>
      <c r="VRV60" s="608"/>
      <c r="VRW60" s="608"/>
      <c r="VRX60" s="608"/>
      <c r="VRY60" s="608"/>
      <c r="VRZ60" s="608"/>
      <c r="VSA60" s="608"/>
      <c r="VSB60" s="608"/>
      <c r="VSC60" s="608"/>
      <c r="VSD60" s="608"/>
      <c r="VSE60" s="608"/>
      <c r="VSF60" s="608"/>
      <c r="VSG60" s="608"/>
      <c r="VSH60" s="608"/>
      <c r="VSI60" s="608"/>
      <c r="VSJ60" s="608"/>
      <c r="VSK60" s="608"/>
      <c r="VSL60" s="608"/>
      <c r="VSM60" s="608"/>
      <c r="VSN60" s="608"/>
      <c r="VSO60" s="608"/>
      <c r="VSP60" s="608"/>
      <c r="VSQ60" s="608"/>
      <c r="VSR60" s="608"/>
      <c r="VSS60" s="608"/>
      <c r="VST60" s="608"/>
      <c r="VSU60" s="608"/>
      <c r="VSV60" s="608"/>
      <c r="VSW60" s="608"/>
      <c r="VSX60" s="608"/>
      <c r="VSY60" s="608"/>
      <c r="VSZ60" s="608"/>
      <c r="VTA60" s="608"/>
      <c r="VTB60" s="608"/>
      <c r="VTC60" s="608"/>
      <c r="VTD60" s="608"/>
      <c r="VTE60" s="608"/>
      <c r="VTF60" s="608"/>
      <c r="VTG60" s="608"/>
      <c r="VTH60" s="608"/>
      <c r="VTI60" s="608"/>
      <c r="VTJ60" s="608"/>
      <c r="VTK60" s="608"/>
      <c r="VTL60" s="608"/>
      <c r="VTM60" s="608"/>
      <c r="VTN60" s="608"/>
      <c r="VTO60" s="608"/>
      <c r="VTP60" s="608"/>
      <c r="VTQ60" s="608"/>
      <c r="VTR60" s="608"/>
      <c r="VTS60" s="608"/>
      <c r="VTT60" s="608"/>
      <c r="VTU60" s="608"/>
      <c r="VTV60" s="608"/>
      <c r="VTW60" s="608"/>
      <c r="VTX60" s="608"/>
      <c r="VTY60" s="608"/>
      <c r="VTZ60" s="608"/>
      <c r="VUA60" s="608"/>
      <c r="VUB60" s="608"/>
      <c r="VUC60" s="608"/>
      <c r="VUD60" s="608"/>
      <c r="VUE60" s="608"/>
      <c r="VUF60" s="608"/>
      <c r="VUG60" s="608"/>
      <c r="VUH60" s="608"/>
      <c r="VUI60" s="608"/>
      <c r="VUJ60" s="608"/>
      <c r="VUK60" s="608"/>
      <c r="VUL60" s="608"/>
      <c r="VUM60" s="608"/>
      <c r="VUN60" s="608"/>
      <c r="VUO60" s="608"/>
      <c r="VUP60" s="608"/>
      <c r="VUQ60" s="608"/>
      <c r="VUR60" s="608"/>
      <c r="VUS60" s="608"/>
      <c r="VUT60" s="608"/>
      <c r="VUU60" s="608"/>
      <c r="VUV60" s="608"/>
      <c r="VUW60" s="608"/>
      <c r="VUX60" s="608"/>
      <c r="VUY60" s="608"/>
      <c r="VUZ60" s="608"/>
      <c r="VVA60" s="608"/>
      <c r="VVB60" s="608"/>
      <c r="VVC60" s="608"/>
      <c r="VVD60" s="608"/>
      <c r="VVE60" s="608"/>
      <c r="VVF60" s="608"/>
      <c r="VVG60" s="608"/>
      <c r="VVH60" s="608"/>
      <c r="VVI60" s="608"/>
      <c r="VVJ60" s="608"/>
      <c r="VVK60" s="608"/>
      <c r="VVL60" s="608"/>
      <c r="VVM60" s="608"/>
      <c r="VVN60" s="608"/>
      <c r="VVO60" s="608"/>
      <c r="VVP60" s="608"/>
      <c r="VVQ60" s="608"/>
      <c r="VVR60" s="608"/>
      <c r="VVS60" s="608"/>
      <c r="VVT60" s="608"/>
      <c r="VVU60" s="608"/>
      <c r="VVV60" s="608"/>
      <c r="VVW60" s="608"/>
      <c r="VVX60" s="608"/>
      <c r="VVY60" s="608"/>
      <c r="VVZ60" s="608"/>
      <c r="VWA60" s="608"/>
      <c r="VWB60" s="608"/>
      <c r="VWC60" s="608"/>
      <c r="VWD60" s="608"/>
      <c r="VWE60" s="608"/>
      <c r="VWF60" s="608"/>
      <c r="VWG60" s="608"/>
      <c r="VWH60" s="608"/>
      <c r="VWI60" s="608"/>
      <c r="VWJ60" s="608"/>
      <c r="VWK60" s="608"/>
      <c r="VWL60" s="608"/>
      <c r="VWM60" s="608"/>
      <c r="VWN60" s="608"/>
      <c r="VWO60" s="608"/>
      <c r="VWP60" s="608"/>
      <c r="VWQ60" s="608"/>
      <c r="VWR60" s="608"/>
      <c r="VWS60" s="608"/>
      <c r="VWT60" s="608"/>
      <c r="VWU60" s="608"/>
      <c r="VWV60" s="608"/>
      <c r="VWW60" s="608"/>
      <c r="VWX60" s="608"/>
      <c r="VWY60" s="608"/>
      <c r="VWZ60" s="608"/>
      <c r="VXA60" s="608"/>
      <c r="VXB60" s="608"/>
      <c r="VXC60" s="608"/>
      <c r="VXD60" s="608"/>
      <c r="VXE60" s="608"/>
      <c r="VXF60" s="608"/>
      <c r="VXG60" s="608"/>
      <c r="VXH60" s="608"/>
      <c r="VXI60" s="608"/>
      <c r="VXJ60" s="608"/>
      <c r="VXK60" s="608"/>
      <c r="VXL60" s="608"/>
      <c r="VXM60" s="608"/>
      <c r="VXN60" s="608"/>
      <c r="VXO60" s="608"/>
      <c r="VXP60" s="608"/>
      <c r="VXQ60" s="608"/>
      <c r="VXR60" s="608"/>
      <c r="VXS60" s="608"/>
      <c r="VXT60" s="608"/>
      <c r="VXU60" s="608"/>
      <c r="VXV60" s="608"/>
      <c r="VXW60" s="608"/>
      <c r="VXX60" s="608"/>
      <c r="VXY60" s="608"/>
      <c r="VXZ60" s="608"/>
      <c r="VYA60" s="608"/>
      <c r="VYB60" s="608"/>
      <c r="VYC60" s="608"/>
      <c r="VYD60" s="608"/>
      <c r="VYE60" s="608"/>
      <c r="VYF60" s="608"/>
      <c r="VYG60" s="608"/>
      <c r="VYH60" s="608"/>
      <c r="VYI60" s="608"/>
      <c r="VYJ60" s="608"/>
      <c r="VYK60" s="608"/>
      <c r="VYL60" s="608"/>
      <c r="VYM60" s="608"/>
      <c r="VYN60" s="608"/>
      <c r="VYO60" s="608"/>
      <c r="VYP60" s="608"/>
      <c r="VYQ60" s="608"/>
      <c r="VYR60" s="608"/>
      <c r="VYS60" s="608"/>
      <c r="VYT60" s="608"/>
      <c r="VYU60" s="608"/>
      <c r="VYV60" s="608"/>
      <c r="VYW60" s="608"/>
      <c r="VYX60" s="608"/>
      <c r="VYY60" s="608"/>
      <c r="VYZ60" s="608"/>
      <c r="VZA60" s="608"/>
      <c r="VZB60" s="608"/>
      <c r="VZC60" s="608"/>
      <c r="VZD60" s="608"/>
      <c r="VZE60" s="608"/>
      <c r="VZF60" s="608"/>
      <c r="VZG60" s="608"/>
      <c r="VZH60" s="608"/>
      <c r="VZI60" s="608"/>
      <c r="VZJ60" s="608"/>
      <c r="VZK60" s="608"/>
      <c r="VZL60" s="608"/>
      <c r="VZM60" s="608"/>
      <c r="VZN60" s="608"/>
      <c r="VZO60" s="608"/>
      <c r="VZP60" s="608"/>
      <c r="VZQ60" s="608"/>
      <c r="VZR60" s="608"/>
      <c r="VZS60" s="608"/>
      <c r="VZT60" s="608"/>
      <c r="VZU60" s="608"/>
      <c r="VZV60" s="608"/>
      <c r="VZW60" s="608"/>
      <c r="VZX60" s="608"/>
      <c r="VZY60" s="608"/>
      <c r="VZZ60" s="608"/>
      <c r="WAA60" s="608"/>
      <c r="WAB60" s="608"/>
      <c r="WAC60" s="608"/>
      <c r="WAD60" s="608"/>
      <c r="WAE60" s="608"/>
      <c r="WAF60" s="608"/>
      <c r="WAG60" s="608"/>
      <c r="WAH60" s="608"/>
      <c r="WAI60" s="608"/>
      <c r="WAJ60" s="608"/>
      <c r="WAK60" s="608"/>
      <c r="WAL60" s="608"/>
      <c r="WAM60" s="608"/>
      <c r="WAN60" s="608"/>
      <c r="WAO60" s="608"/>
      <c r="WAP60" s="608"/>
      <c r="WAQ60" s="608"/>
      <c r="WAR60" s="608"/>
      <c r="WAS60" s="608"/>
      <c r="WAT60" s="608"/>
      <c r="WAU60" s="608"/>
      <c r="WAV60" s="608"/>
      <c r="WAW60" s="608"/>
      <c r="WAX60" s="608"/>
      <c r="WAY60" s="608"/>
      <c r="WAZ60" s="608"/>
      <c r="WBA60" s="608"/>
      <c r="WBB60" s="608"/>
      <c r="WBC60" s="608"/>
      <c r="WBD60" s="608"/>
      <c r="WBE60" s="608"/>
      <c r="WBF60" s="608"/>
      <c r="WBG60" s="608"/>
      <c r="WBH60" s="608"/>
      <c r="WBI60" s="608"/>
      <c r="WBJ60" s="608"/>
      <c r="WBK60" s="608"/>
      <c r="WBL60" s="608"/>
      <c r="WBM60" s="608"/>
      <c r="WBN60" s="608"/>
      <c r="WBO60" s="608"/>
      <c r="WBP60" s="608"/>
      <c r="WBQ60" s="608"/>
      <c r="WBR60" s="608"/>
      <c r="WBS60" s="608"/>
      <c r="WBT60" s="608"/>
      <c r="WBU60" s="608"/>
      <c r="WBV60" s="608"/>
      <c r="WBW60" s="608"/>
      <c r="WBX60" s="608"/>
      <c r="WBY60" s="608"/>
      <c r="WBZ60" s="608"/>
      <c r="WCA60" s="608"/>
      <c r="WCB60" s="608"/>
      <c r="WCC60" s="608"/>
      <c r="WCD60" s="608"/>
      <c r="WCE60" s="608"/>
      <c r="WCF60" s="608"/>
      <c r="WCG60" s="608"/>
      <c r="WCH60" s="608"/>
      <c r="WCI60" s="608"/>
      <c r="WCJ60" s="608"/>
      <c r="WCK60" s="608"/>
      <c r="WCL60" s="608"/>
      <c r="WCM60" s="608"/>
      <c r="WCN60" s="608"/>
      <c r="WCO60" s="608"/>
      <c r="WCP60" s="608"/>
      <c r="WCQ60" s="608"/>
      <c r="WCR60" s="608"/>
      <c r="WCS60" s="608"/>
      <c r="WCT60" s="608"/>
      <c r="WCU60" s="608"/>
      <c r="WCV60" s="608"/>
      <c r="WCW60" s="608"/>
      <c r="WCX60" s="608"/>
      <c r="WCY60" s="608"/>
      <c r="WCZ60" s="608"/>
      <c r="WDA60" s="608"/>
      <c r="WDB60" s="608"/>
      <c r="WDC60" s="608"/>
      <c r="WDD60" s="608"/>
      <c r="WDE60" s="608"/>
      <c r="WDF60" s="608"/>
      <c r="WDG60" s="608"/>
      <c r="WDH60" s="608"/>
      <c r="WDI60" s="608"/>
      <c r="WDJ60" s="608"/>
      <c r="WDK60" s="608"/>
      <c r="WDL60" s="608"/>
      <c r="WDM60" s="608"/>
      <c r="WDN60" s="608"/>
      <c r="WDO60" s="608"/>
      <c r="WDP60" s="608"/>
      <c r="WDQ60" s="608"/>
      <c r="WDR60" s="608"/>
      <c r="WDS60" s="608"/>
      <c r="WDT60" s="608"/>
      <c r="WDU60" s="608"/>
      <c r="WDV60" s="608"/>
      <c r="WDW60" s="608"/>
      <c r="WDX60" s="608"/>
      <c r="WDY60" s="608"/>
      <c r="WDZ60" s="608"/>
      <c r="WEA60" s="608"/>
      <c r="WEB60" s="608"/>
      <c r="WEC60" s="608"/>
      <c r="WED60" s="608"/>
      <c r="WEE60" s="608"/>
      <c r="WEF60" s="608"/>
      <c r="WEG60" s="608"/>
      <c r="WEH60" s="608"/>
      <c r="WEI60" s="608"/>
      <c r="WEJ60" s="608"/>
      <c r="WEK60" s="608"/>
      <c r="WEL60" s="608"/>
      <c r="WEM60" s="608"/>
      <c r="WEN60" s="608"/>
      <c r="WEO60" s="608"/>
      <c r="WEP60" s="608"/>
      <c r="WEQ60" s="608"/>
      <c r="WER60" s="608"/>
      <c r="WES60" s="608"/>
      <c r="WET60" s="608"/>
      <c r="WEU60" s="608"/>
      <c r="WEV60" s="608"/>
      <c r="WEW60" s="608"/>
      <c r="WEX60" s="608"/>
      <c r="WEY60" s="608"/>
      <c r="WEZ60" s="608"/>
      <c r="WFA60" s="608"/>
      <c r="WFB60" s="608"/>
      <c r="WFC60" s="608"/>
      <c r="WFD60" s="608"/>
      <c r="WFE60" s="608"/>
      <c r="WFF60" s="608"/>
      <c r="WFG60" s="608"/>
      <c r="WFH60" s="608"/>
      <c r="WFI60" s="608"/>
      <c r="WFJ60" s="608"/>
      <c r="WFK60" s="608"/>
      <c r="WFL60" s="608"/>
      <c r="WFM60" s="608"/>
      <c r="WFN60" s="608"/>
      <c r="WFO60" s="608"/>
      <c r="WFP60" s="608"/>
      <c r="WFQ60" s="608"/>
      <c r="WFR60" s="608"/>
      <c r="WFS60" s="608"/>
      <c r="WFT60" s="608"/>
      <c r="WFU60" s="608"/>
      <c r="WFV60" s="608"/>
      <c r="WFW60" s="608"/>
      <c r="WFX60" s="608"/>
      <c r="WFY60" s="608"/>
      <c r="WFZ60" s="608"/>
      <c r="WGA60" s="608"/>
      <c r="WGB60" s="608"/>
      <c r="WGC60" s="608"/>
      <c r="WGD60" s="608"/>
      <c r="WGE60" s="608"/>
      <c r="WGF60" s="608"/>
      <c r="WGG60" s="608"/>
      <c r="WGH60" s="608"/>
      <c r="WGI60" s="608"/>
      <c r="WGJ60" s="608"/>
      <c r="WGK60" s="608"/>
      <c r="WGL60" s="608"/>
      <c r="WGM60" s="608"/>
      <c r="WGN60" s="608"/>
      <c r="WGO60" s="608"/>
      <c r="WGP60" s="608"/>
      <c r="WGQ60" s="608"/>
      <c r="WGR60" s="608"/>
      <c r="WGS60" s="608"/>
      <c r="WGT60" s="608"/>
      <c r="WGU60" s="608"/>
      <c r="WGV60" s="608"/>
      <c r="WGW60" s="608"/>
      <c r="WGX60" s="608"/>
      <c r="WGY60" s="608"/>
      <c r="WGZ60" s="608"/>
      <c r="WHA60" s="608"/>
      <c r="WHB60" s="608"/>
      <c r="WHC60" s="608"/>
      <c r="WHD60" s="608"/>
      <c r="WHE60" s="608"/>
      <c r="WHF60" s="608"/>
      <c r="WHG60" s="608"/>
      <c r="WHH60" s="608"/>
      <c r="WHI60" s="608"/>
      <c r="WHJ60" s="608"/>
      <c r="WHK60" s="608"/>
      <c r="WHL60" s="608"/>
      <c r="WHM60" s="608"/>
      <c r="WHN60" s="608"/>
      <c r="WHO60" s="608"/>
      <c r="WHP60" s="608"/>
      <c r="WHQ60" s="608"/>
      <c r="WHR60" s="608"/>
      <c r="WHS60" s="608"/>
      <c r="WHT60" s="608"/>
      <c r="WHU60" s="608"/>
      <c r="WHV60" s="608"/>
      <c r="WHW60" s="608"/>
      <c r="WHX60" s="608"/>
      <c r="WHY60" s="608"/>
      <c r="WHZ60" s="608"/>
      <c r="WIA60" s="608"/>
      <c r="WIB60" s="608"/>
      <c r="WIC60" s="608"/>
      <c r="WID60" s="608"/>
      <c r="WIE60" s="608"/>
      <c r="WIF60" s="608"/>
      <c r="WIG60" s="608"/>
      <c r="WIH60" s="608"/>
      <c r="WII60" s="608"/>
      <c r="WIJ60" s="608"/>
      <c r="WIK60" s="608"/>
      <c r="WIL60" s="608"/>
      <c r="WIM60" s="608"/>
      <c r="WIN60" s="608"/>
      <c r="WIO60" s="608"/>
      <c r="WIP60" s="608"/>
      <c r="WIQ60" s="608"/>
      <c r="WIR60" s="608"/>
      <c r="WIS60" s="608"/>
      <c r="WIT60" s="608"/>
      <c r="WIU60" s="608"/>
      <c r="WIV60" s="608"/>
      <c r="WIW60" s="608"/>
      <c r="WIX60" s="608"/>
      <c r="WIY60" s="608"/>
      <c r="WIZ60" s="608"/>
      <c r="WJA60" s="608"/>
      <c r="WJB60" s="608"/>
      <c r="WJC60" s="608"/>
      <c r="WJD60" s="608"/>
      <c r="WJE60" s="608"/>
      <c r="WJF60" s="608"/>
      <c r="WJG60" s="608"/>
      <c r="WJH60" s="608"/>
      <c r="WJI60" s="608"/>
      <c r="WJJ60" s="608"/>
      <c r="WJK60" s="608"/>
      <c r="WJL60" s="608"/>
      <c r="WJM60" s="608"/>
      <c r="WJN60" s="608"/>
      <c r="WJO60" s="608"/>
      <c r="WJP60" s="608"/>
      <c r="WJQ60" s="608"/>
      <c r="WJR60" s="608"/>
      <c r="WJS60" s="608"/>
      <c r="WJT60" s="608"/>
      <c r="WJU60" s="608"/>
      <c r="WJV60" s="608"/>
      <c r="WJW60" s="608"/>
      <c r="WJX60" s="608"/>
      <c r="WJY60" s="608"/>
      <c r="WJZ60" s="608"/>
      <c r="WKA60" s="608"/>
      <c r="WKB60" s="608"/>
      <c r="WKC60" s="608"/>
      <c r="WKD60" s="608"/>
      <c r="WKE60" s="608"/>
      <c r="WKF60" s="608"/>
      <c r="WKG60" s="608"/>
      <c r="WKH60" s="608"/>
      <c r="WKI60" s="608"/>
      <c r="WKJ60" s="608"/>
      <c r="WKK60" s="608"/>
      <c r="WKL60" s="608"/>
      <c r="WKM60" s="608"/>
      <c r="WKN60" s="608"/>
      <c r="WKO60" s="608"/>
      <c r="WKP60" s="608"/>
      <c r="WKQ60" s="608"/>
      <c r="WKR60" s="608"/>
      <c r="WKS60" s="608"/>
      <c r="WKT60" s="608"/>
      <c r="WKU60" s="608"/>
      <c r="WKV60" s="608"/>
      <c r="WKW60" s="608"/>
      <c r="WKX60" s="608"/>
      <c r="WKY60" s="608"/>
      <c r="WKZ60" s="608"/>
      <c r="WLA60" s="608"/>
      <c r="WLB60" s="608"/>
      <c r="WLC60" s="608"/>
      <c r="WLD60" s="608"/>
      <c r="WLE60" s="608"/>
      <c r="WLF60" s="608"/>
      <c r="WLG60" s="608"/>
      <c r="WLH60" s="608"/>
      <c r="WLI60" s="608"/>
      <c r="WLJ60" s="608"/>
      <c r="WLK60" s="608"/>
      <c r="WLL60" s="608"/>
      <c r="WLM60" s="608"/>
      <c r="WLN60" s="608"/>
      <c r="WLO60" s="608"/>
      <c r="WLP60" s="608"/>
      <c r="WLQ60" s="608"/>
      <c r="WLR60" s="608"/>
      <c r="WLS60" s="608"/>
      <c r="WLT60" s="608"/>
      <c r="WLU60" s="608"/>
      <c r="WLV60" s="608"/>
      <c r="WLW60" s="608"/>
      <c r="WLX60" s="608"/>
      <c r="WLY60" s="608"/>
      <c r="WLZ60" s="608"/>
      <c r="WMA60" s="608"/>
      <c r="WMB60" s="608"/>
      <c r="WMC60" s="608"/>
      <c r="WMD60" s="608"/>
      <c r="WME60" s="608"/>
      <c r="WMF60" s="608"/>
      <c r="WMG60" s="608"/>
      <c r="WMH60" s="608"/>
      <c r="WMI60" s="608"/>
      <c r="WMJ60" s="608"/>
      <c r="WMK60" s="608"/>
      <c r="WML60" s="608"/>
      <c r="WMM60" s="608"/>
      <c r="WMN60" s="608"/>
      <c r="WMO60" s="608"/>
      <c r="WMP60" s="608"/>
      <c r="WMQ60" s="608"/>
      <c r="WMR60" s="608"/>
      <c r="WMS60" s="608"/>
      <c r="WMT60" s="608"/>
      <c r="WMU60" s="608"/>
      <c r="WMV60" s="608"/>
      <c r="WMW60" s="608"/>
      <c r="WMX60" s="608"/>
      <c r="WMY60" s="608"/>
      <c r="WMZ60" s="608"/>
      <c r="WNA60" s="608"/>
      <c r="WNB60" s="608"/>
      <c r="WNC60" s="608"/>
      <c r="WND60" s="608"/>
      <c r="WNE60" s="608"/>
      <c r="WNF60" s="608"/>
      <c r="WNG60" s="608"/>
      <c r="WNH60" s="608"/>
      <c r="WNI60" s="608"/>
      <c r="WNJ60" s="608"/>
      <c r="WNK60" s="608"/>
      <c r="WNL60" s="608"/>
      <c r="WNM60" s="608"/>
      <c r="WNN60" s="608"/>
      <c r="WNO60" s="608"/>
      <c r="WNP60" s="608"/>
      <c r="WNQ60" s="608"/>
      <c r="WNR60" s="608"/>
      <c r="WNS60" s="608"/>
      <c r="WNT60" s="608"/>
      <c r="WNU60" s="608"/>
      <c r="WNV60" s="608"/>
      <c r="WNW60" s="608"/>
      <c r="WNX60" s="608"/>
      <c r="WNY60" s="608"/>
      <c r="WNZ60" s="608"/>
      <c r="WOA60" s="608"/>
      <c r="WOB60" s="608"/>
      <c r="WOC60" s="608"/>
      <c r="WOD60" s="608"/>
      <c r="WOE60" s="608"/>
      <c r="WOF60" s="608"/>
      <c r="WOG60" s="608"/>
      <c r="WOH60" s="608"/>
      <c r="WOI60" s="608"/>
      <c r="WOJ60" s="608"/>
      <c r="WOK60" s="608"/>
      <c r="WOL60" s="608"/>
      <c r="WOM60" s="608"/>
      <c r="WON60" s="608"/>
      <c r="WOO60" s="608"/>
      <c r="WOP60" s="608"/>
      <c r="WOQ60" s="608"/>
      <c r="WOR60" s="608"/>
      <c r="WOS60" s="608"/>
      <c r="WOT60" s="608"/>
      <c r="WOU60" s="608"/>
      <c r="WOV60" s="608"/>
      <c r="WOW60" s="608"/>
      <c r="WOX60" s="608"/>
      <c r="WOY60" s="608"/>
      <c r="WOZ60" s="608"/>
      <c r="WPA60" s="608"/>
      <c r="WPB60" s="608"/>
      <c r="WPC60" s="608"/>
      <c r="WPD60" s="608"/>
      <c r="WPE60" s="608"/>
      <c r="WPF60" s="608"/>
      <c r="WPG60" s="608"/>
      <c r="WPH60" s="608"/>
      <c r="WPI60" s="608"/>
      <c r="WPJ60" s="608"/>
      <c r="WPK60" s="608"/>
      <c r="WPL60" s="608"/>
      <c r="WPM60" s="608"/>
      <c r="WPN60" s="608"/>
      <c r="WPO60" s="608"/>
      <c r="WPP60" s="608"/>
      <c r="WPQ60" s="608"/>
      <c r="WPR60" s="608"/>
      <c r="WPS60" s="608"/>
      <c r="WPT60" s="608"/>
      <c r="WPU60" s="608"/>
      <c r="WPV60" s="608"/>
      <c r="WPW60" s="608"/>
      <c r="WPX60" s="608"/>
      <c r="WPY60" s="608"/>
      <c r="WPZ60" s="608"/>
      <c r="WQA60" s="608"/>
      <c r="WQB60" s="608"/>
      <c r="WQC60" s="608"/>
      <c r="WQD60" s="608"/>
      <c r="WQE60" s="608"/>
      <c r="WQF60" s="608"/>
      <c r="WQG60" s="608"/>
      <c r="WQH60" s="608"/>
      <c r="WQI60" s="608"/>
      <c r="WQJ60" s="608"/>
      <c r="WQK60" s="608"/>
      <c r="WQL60" s="608"/>
      <c r="WQM60" s="608"/>
      <c r="WQN60" s="608"/>
      <c r="WQO60" s="608"/>
      <c r="WQP60" s="608"/>
      <c r="WQQ60" s="608"/>
      <c r="WQR60" s="608"/>
      <c r="WQS60" s="608"/>
      <c r="WQT60" s="608"/>
      <c r="WQU60" s="608"/>
      <c r="WQV60" s="608"/>
      <c r="WQW60" s="608"/>
      <c r="WQX60" s="608"/>
      <c r="WQY60" s="608"/>
      <c r="WQZ60" s="608"/>
      <c r="WRA60" s="608"/>
      <c r="WRB60" s="608"/>
      <c r="WRC60" s="608"/>
      <c r="WRD60" s="608"/>
      <c r="WRE60" s="608"/>
      <c r="WRF60" s="608"/>
      <c r="WRG60" s="608"/>
      <c r="WRH60" s="608"/>
      <c r="WRI60" s="608"/>
      <c r="WRJ60" s="608"/>
      <c r="WRK60" s="608"/>
      <c r="WRL60" s="608"/>
      <c r="WRM60" s="608"/>
      <c r="WRN60" s="608"/>
      <c r="WRO60" s="608"/>
      <c r="WRP60" s="608"/>
      <c r="WRQ60" s="608"/>
      <c r="WRR60" s="608"/>
      <c r="WRS60" s="608"/>
      <c r="WRT60" s="608"/>
      <c r="WRU60" s="608"/>
      <c r="WRV60" s="608"/>
      <c r="WRW60" s="608"/>
      <c r="WRX60" s="608"/>
      <c r="WRY60" s="608"/>
      <c r="WRZ60" s="608"/>
      <c r="WSA60" s="608"/>
      <c r="WSB60" s="608"/>
      <c r="WSC60" s="608"/>
      <c r="WSD60" s="608"/>
      <c r="WSE60" s="608"/>
      <c r="WSF60" s="608"/>
      <c r="WSG60" s="608"/>
      <c r="WSH60" s="608"/>
      <c r="WSI60" s="608"/>
      <c r="WSJ60" s="608"/>
      <c r="WSK60" s="608"/>
      <c r="WSL60" s="608"/>
      <c r="WSM60" s="608"/>
      <c r="WSN60" s="608"/>
      <c r="WSO60" s="608"/>
      <c r="WSP60" s="608"/>
      <c r="WSQ60" s="608"/>
      <c r="WSR60" s="608"/>
      <c r="WSS60" s="608"/>
      <c r="WST60" s="608"/>
      <c r="WSU60" s="608"/>
      <c r="WSV60" s="608"/>
      <c r="WSW60" s="608"/>
      <c r="WSX60" s="608"/>
      <c r="WSY60" s="608"/>
      <c r="WSZ60" s="608"/>
      <c r="WTA60" s="608"/>
      <c r="WTB60" s="608"/>
      <c r="WTC60" s="608"/>
      <c r="WTD60" s="608"/>
      <c r="WTE60" s="608"/>
      <c r="WTF60" s="608"/>
      <c r="WTG60" s="608"/>
      <c r="WTH60" s="608"/>
      <c r="WTI60" s="608"/>
      <c r="WTJ60" s="608"/>
      <c r="WTK60" s="608"/>
      <c r="WTL60" s="608"/>
      <c r="WTM60" s="608"/>
      <c r="WTN60" s="608"/>
      <c r="WTO60" s="608"/>
      <c r="WTP60" s="608"/>
      <c r="WTQ60" s="608"/>
      <c r="WTR60" s="608"/>
      <c r="WTS60" s="608"/>
      <c r="WTT60" s="608"/>
      <c r="WTU60" s="608"/>
      <c r="WTV60" s="608"/>
      <c r="WTW60" s="608"/>
      <c r="WTX60" s="608"/>
      <c r="WTY60" s="608"/>
      <c r="WTZ60" s="608"/>
      <c r="WUA60" s="608"/>
      <c r="WUB60" s="608"/>
      <c r="WUC60" s="608"/>
      <c r="WUD60" s="608"/>
      <c r="WUE60" s="608"/>
      <c r="WUF60" s="608"/>
      <c r="WUG60" s="608"/>
      <c r="WUH60" s="608"/>
      <c r="WUI60" s="608"/>
      <c r="WUJ60" s="608"/>
      <c r="WUK60" s="608"/>
      <c r="WUL60" s="608"/>
      <c r="WUM60" s="608"/>
      <c r="WUN60" s="608"/>
      <c r="WUO60" s="608"/>
      <c r="WUP60" s="608"/>
      <c r="WUQ60" s="608"/>
      <c r="WUR60" s="608"/>
      <c r="WUS60" s="608"/>
      <c r="WUT60" s="608"/>
      <c r="WUU60" s="608"/>
      <c r="WUV60" s="608"/>
      <c r="WUW60" s="608"/>
      <c r="WUX60" s="608"/>
      <c r="WUY60" s="608"/>
      <c r="WUZ60" s="608"/>
      <c r="WVA60" s="608"/>
      <c r="WVB60" s="608"/>
      <c r="WVC60" s="608"/>
      <c r="WVD60" s="608"/>
      <c r="WVE60" s="608"/>
      <c r="WVF60" s="608"/>
      <c r="WVG60" s="608"/>
      <c r="WVH60" s="608"/>
      <c r="WVI60" s="608"/>
      <c r="WVJ60" s="608"/>
      <c r="WVK60" s="608"/>
      <c r="WVL60" s="608"/>
      <c r="WVM60" s="608"/>
      <c r="WVN60" s="608"/>
      <c r="WVO60" s="608"/>
      <c r="WVP60" s="608"/>
      <c r="WVQ60" s="608"/>
      <c r="WVR60" s="608"/>
      <c r="WVS60" s="608"/>
      <c r="WVT60" s="608"/>
      <c r="WVU60" s="608"/>
      <c r="WVV60" s="608"/>
      <c r="WVW60" s="608"/>
      <c r="WVX60" s="608"/>
      <c r="WVY60" s="608"/>
      <c r="WVZ60" s="608"/>
      <c r="WWA60" s="608"/>
      <c r="WWB60" s="608"/>
      <c r="WWC60" s="608"/>
      <c r="WWD60" s="608"/>
      <c r="WWE60" s="608"/>
      <c r="WWF60" s="608"/>
      <c r="WWG60" s="608"/>
      <c r="WWH60" s="608"/>
      <c r="WWI60" s="608"/>
      <c r="WWJ60" s="608"/>
      <c r="WWK60" s="608"/>
      <c r="WWL60" s="608"/>
      <c r="WWM60" s="608"/>
      <c r="WWN60" s="608"/>
      <c r="WWO60" s="608"/>
      <c r="WWP60" s="608"/>
      <c r="WWQ60" s="608"/>
      <c r="WWR60" s="608"/>
      <c r="WWS60" s="608"/>
      <c r="WWT60" s="608"/>
      <c r="WWU60" s="608"/>
      <c r="WWV60" s="608"/>
      <c r="WWW60" s="608"/>
      <c r="WWX60" s="608"/>
      <c r="WWY60" s="608"/>
      <c r="WWZ60" s="608"/>
      <c r="WXA60" s="608"/>
      <c r="WXB60" s="608"/>
      <c r="WXC60" s="608"/>
      <c r="WXD60" s="608"/>
      <c r="WXE60" s="608"/>
      <c r="WXF60" s="608"/>
      <c r="WXG60" s="608"/>
      <c r="WXH60" s="608"/>
      <c r="WXI60" s="608"/>
      <c r="WXJ60" s="608"/>
      <c r="WXK60" s="608"/>
      <c r="WXL60" s="608"/>
      <c r="WXM60" s="608"/>
      <c r="WXN60" s="608"/>
      <c r="WXO60" s="608"/>
      <c r="WXP60" s="608"/>
      <c r="WXQ60" s="608"/>
      <c r="WXR60" s="608"/>
      <c r="WXS60" s="608"/>
      <c r="WXT60" s="608"/>
      <c r="WXU60" s="608"/>
      <c r="WXV60" s="608"/>
      <c r="WXW60" s="608"/>
      <c r="WXX60" s="608"/>
      <c r="WXY60" s="608"/>
      <c r="WXZ60" s="608"/>
      <c r="WYA60" s="608"/>
      <c r="WYB60" s="608"/>
      <c r="WYC60" s="608"/>
      <c r="WYD60" s="608"/>
      <c r="WYE60" s="608"/>
      <c r="WYF60" s="608"/>
      <c r="WYG60" s="608"/>
      <c r="WYH60" s="608"/>
      <c r="WYI60" s="608"/>
      <c r="WYJ60" s="608"/>
      <c r="WYK60" s="608"/>
      <c r="WYL60" s="608"/>
      <c r="WYM60" s="608"/>
      <c r="WYN60" s="608"/>
      <c r="WYO60" s="608"/>
      <c r="WYP60" s="608"/>
      <c r="WYQ60" s="608"/>
      <c r="WYR60" s="608"/>
      <c r="WYS60" s="608"/>
      <c r="WYT60" s="608"/>
      <c r="WYU60" s="608"/>
      <c r="WYV60" s="608"/>
      <c r="WYW60" s="608"/>
      <c r="WYX60" s="608"/>
      <c r="WYY60" s="608"/>
      <c r="WYZ60" s="608"/>
      <c r="WZA60" s="608"/>
      <c r="WZB60" s="608"/>
      <c r="WZC60" s="608"/>
      <c r="WZD60" s="608"/>
      <c r="WZE60" s="608"/>
      <c r="WZF60" s="608"/>
      <c r="WZG60" s="608"/>
      <c r="WZH60" s="608"/>
      <c r="WZI60" s="608"/>
      <c r="WZJ60" s="608"/>
      <c r="WZK60" s="608"/>
      <c r="WZL60" s="608"/>
      <c r="WZM60" s="608"/>
      <c r="WZN60" s="608"/>
      <c r="WZO60" s="608"/>
      <c r="WZP60" s="608"/>
      <c r="WZQ60" s="608"/>
      <c r="WZR60" s="608"/>
      <c r="WZS60" s="608"/>
      <c r="WZT60" s="608"/>
      <c r="WZU60" s="608"/>
      <c r="WZV60" s="608"/>
      <c r="WZW60" s="608"/>
      <c r="WZX60" s="608"/>
      <c r="WZY60" s="608"/>
      <c r="WZZ60" s="608"/>
      <c r="XAA60" s="608"/>
      <c r="XAB60" s="608"/>
      <c r="XAC60" s="608"/>
      <c r="XAD60" s="608"/>
      <c r="XAE60" s="608"/>
      <c r="XAF60" s="608"/>
      <c r="XAG60" s="608"/>
      <c r="XAH60" s="608"/>
      <c r="XAI60" s="608"/>
      <c r="XAJ60" s="608"/>
      <c r="XAK60" s="608"/>
      <c r="XAL60" s="608"/>
      <c r="XAM60" s="608"/>
      <c r="XAN60" s="608"/>
      <c r="XAO60" s="608"/>
      <c r="XAP60" s="608"/>
      <c r="XAQ60" s="608"/>
      <c r="XAR60" s="608"/>
      <c r="XAS60" s="608"/>
      <c r="XAT60" s="608"/>
      <c r="XAU60" s="608"/>
      <c r="XAV60" s="608"/>
      <c r="XAW60" s="608"/>
      <c r="XAX60" s="608"/>
      <c r="XAY60" s="608"/>
      <c r="XAZ60" s="608"/>
      <c r="XBA60" s="608"/>
      <c r="XBB60" s="608"/>
      <c r="XBC60" s="608"/>
      <c r="XBD60" s="608"/>
      <c r="XBE60" s="608"/>
      <c r="XBF60" s="608"/>
      <c r="XBG60" s="608"/>
      <c r="XBH60" s="608"/>
      <c r="XBI60" s="608"/>
      <c r="XBJ60" s="608"/>
      <c r="XBK60" s="608"/>
      <c r="XBL60" s="608"/>
      <c r="XBM60" s="608"/>
      <c r="XBN60" s="608"/>
      <c r="XBO60" s="608"/>
      <c r="XBP60" s="608"/>
      <c r="XBQ60" s="608"/>
      <c r="XBR60" s="608"/>
      <c r="XBS60" s="608"/>
      <c r="XBT60" s="608"/>
      <c r="XBU60" s="608"/>
      <c r="XBV60" s="608"/>
      <c r="XBW60" s="608"/>
      <c r="XBX60" s="608"/>
      <c r="XBY60" s="608"/>
      <c r="XBZ60" s="608"/>
      <c r="XCA60" s="608"/>
      <c r="XCB60" s="608"/>
      <c r="XCC60" s="608"/>
      <c r="XCD60" s="608"/>
      <c r="XCE60" s="608"/>
      <c r="XCF60" s="608"/>
      <c r="XCG60" s="608"/>
      <c r="XCH60" s="608"/>
      <c r="XCI60" s="608"/>
      <c r="XCJ60" s="608"/>
      <c r="XCK60" s="608"/>
      <c r="XCL60" s="608"/>
      <c r="XCM60" s="608"/>
      <c r="XCN60" s="608"/>
      <c r="XCO60" s="608"/>
      <c r="XCP60" s="608"/>
      <c r="XCQ60" s="608"/>
      <c r="XCR60" s="608"/>
      <c r="XCS60" s="608"/>
      <c r="XCT60" s="608"/>
      <c r="XCU60" s="608"/>
      <c r="XCV60" s="608"/>
      <c r="XCW60" s="608"/>
      <c r="XCX60" s="608"/>
      <c r="XCY60" s="608"/>
      <c r="XCZ60" s="608"/>
      <c r="XDA60" s="608"/>
      <c r="XDB60" s="608"/>
      <c r="XDC60" s="608"/>
      <c r="XDD60" s="608"/>
      <c r="XDE60" s="608"/>
      <c r="XDF60" s="608"/>
      <c r="XDG60" s="608"/>
      <c r="XDH60" s="608"/>
      <c r="XDI60" s="608"/>
      <c r="XDJ60" s="608"/>
      <c r="XDK60" s="608"/>
      <c r="XDL60" s="608"/>
      <c r="XDM60" s="608"/>
      <c r="XDN60" s="608"/>
      <c r="XDO60" s="608"/>
      <c r="XDP60" s="608"/>
      <c r="XDQ60" s="608"/>
      <c r="XDR60" s="608"/>
      <c r="XDS60" s="608"/>
      <c r="XDT60" s="608"/>
      <c r="XDU60" s="608"/>
      <c r="XDV60" s="608"/>
      <c r="XDW60" s="608"/>
      <c r="XDX60" s="608"/>
      <c r="XDY60" s="608"/>
      <c r="XDZ60" s="608"/>
      <c r="XEA60" s="608"/>
      <c r="XEB60" s="608"/>
      <c r="XEC60" s="608"/>
      <c r="XED60" s="608"/>
      <c r="XEE60" s="608"/>
      <c r="XEF60" s="608"/>
      <c r="XEG60" s="608"/>
      <c r="XEH60" s="608"/>
      <c r="XEI60" s="608"/>
      <c r="XEJ60" s="608"/>
      <c r="XEK60" s="608"/>
      <c r="XEL60" s="608"/>
      <c r="XEM60" s="608"/>
      <c r="XEN60" s="608"/>
      <c r="XEO60" s="608"/>
      <c r="XEP60" s="608"/>
      <c r="XEQ60" s="608"/>
      <c r="XER60" s="608"/>
      <c r="XES60" s="608"/>
      <c r="XET60" s="608"/>
      <c r="XEU60" s="608"/>
      <c r="XEV60" s="608"/>
      <c r="XEW60" s="608"/>
      <c r="XEX60" s="608"/>
      <c r="XEY60" s="608"/>
      <c r="XEZ60" s="615"/>
      <c r="XFA60" s="615"/>
      <c r="XFB60" s="615"/>
      <c r="XFC60" s="615"/>
      <c r="XFD60" s="615"/>
    </row>
    <row r="61" s="610" customFormat="1" spans="1:16384">
      <c r="A61" s="610" t="s">
        <v>2144</v>
      </c>
      <c r="B61" s="610" t="s">
        <v>2145</v>
      </c>
      <c r="C61" s="610" t="s">
        <v>2096</v>
      </c>
      <c r="D61" s="610">
        <v>23471.66</v>
      </c>
      <c r="E61" s="610">
        <v>70415</v>
      </c>
      <c r="F61" s="610" t="s">
        <v>2146</v>
      </c>
      <c r="G61" s="610" t="s">
        <v>1930</v>
      </c>
      <c r="H61" s="610" t="s">
        <v>2121</v>
      </c>
      <c r="I61" s="610" t="s">
        <v>2147</v>
      </c>
      <c r="J61" s="610" t="s">
        <v>2148</v>
      </c>
      <c r="K61" s="614">
        <v>44343.0004976852</v>
      </c>
      <c r="L61" s="610" t="s">
        <v>1932</v>
      </c>
      <c r="M61" s="610" t="s">
        <v>2149</v>
      </c>
      <c r="N61" s="610">
        <v>280000</v>
      </c>
      <c r="O61" s="610">
        <v>7952.85</v>
      </c>
      <c r="P61" s="610">
        <v>39764</v>
      </c>
      <c r="Q61" s="610">
        <v>14.99</v>
      </c>
      <c r="R61" s="610" t="s">
        <v>2150</v>
      </c>
      <c r="S61" s="608"/>
      <c r="T61" s="608"/>
      <c r="U61" s="608"/>
      <c r="V61" s="608"/>
      <c r="W61" s="608"/>
      <c r="X61" s="608"/>
      <c r="Y61" s="608"/>
      <c r="Z61" s="608"/>
      <c r="AA61" s="608"/>
      <c r="AB61" s="608"/>
      <c r="AC61" s="608"/>
      <c r="AD61" s="608"/>
      <c r="AE61" s="608"/>
      <c r="AF61" s="608"/>
      <c r="AG61" s="608"/>
      <c r="AH61" s="608"/>
      <c r="AI61" s="608"/>
      <c r="AJ61" s="608"/>
      <c r="AK61" s="608"/>
      <c r="AL61" s="608"/>
      <c r="AM61" s="608"/>
      <c r="AN61" s="608"/>
      <c r="AO61" s="608"/>
      <c r="AP61" s="608"/>
      <c r="AQ61" s="608"/>
      <c r="AR61" s="608"/>
      <c r="AS61" s="608"/>
      <c r="AT61" s="608"/>
      <c r="AU61" s="608"/>
      <c r="AV61" s="608"/>
      <c r="AW61" s="608"/>
      <c r="AX61" s="608"/>
      <c r="AY61" s="608"/>
      <c r="AZ61" s="608"/>
      <c r="BA61" s="608"/>
      <c r="BB61" s="608"/>
      <c r="BC61" s="608"/>
      <c r="BD61" s="608"/>
      <c r="BE61" s="608"/>
      <c r="BF61" s="608"/>
      <c r="BG61" s="608"/>
      <c r="BH61" s="608"/>
      <c r="BI61" s="608"/>
      <c r="BJ61" s="608"/>
      <c r="BK61" s="608"/>
      <c r="BL61" s="608"/>
      <c r="BM61" s="608"/>
      <c r="BN61" s="608"/>
      <c r="BO61" s="608"/>
      <c r="BP61" s="608"/>
      <c r="BQ61" s="608"/>
      <c r="BR61" s="608"/>
      <c r="BS61" s="608"/>
      <c r="BT61" s="608"/>
      <c r="BU61" s="608"/>
      <c r="BV61" s="608"/>
      <c r="BW61" s="608"/>
      <c r="BX61" s="608"/>
      <c r="BY61" s="608"/>
      <c r="BZ61" s="608"/>
      <c r="CA61" s="608"/>
      <c r="CB61" s="608"/>
      <c r="CC61" s="608"/>
      <c r="CD61" s="608"/>
      <c r="CE61" s="608"/>
      <c r="CF61" s="608"/>
      <c r="CG61" s="608"/>
      <c r="CH61" s="608"/>
      <c r="CI61" s="608"/>
      <c r="CJ61" s="608"/>
      <c r="CK61" s="608"/>
      <c r="CL61" s="608"/>
      <c r="CM61" s="608"/>
      <c r="CN61" s="608"/>
      <c r="CO61" s="608"/>
      <c r="CP61" s="608"/>
      <c r="CQ61" s="608"/>
      <c r="CR61" s="608"/>
      <c r="CS61" s="608"/>
      <c r="CT61" s="608"/>
      <c r="CU61" s="608"/>
      <c r="CV61" s="608"/>
      <c r="CW61" s="608"/>
      <c r="CX61" s="608"/>
      <c r="CY61" s="608"/>
      <c r="CZ61" s="608"/>
      <c r="DA61" s="608"/>
      <c r="DB61" s="608"/>
      <c r="DC61" s="608"/>
      <c r="DD61" s="608"/>
      <c r="DE61" s="608"/>
      <c r="DF61" s="608"/>
      <c r="DG61" s="608"/>
      <c r="DH61" s="608"/>
      <c r="DI61" s="608"/>
      <c r="DJ61" s="608"/>
      <c r="DK61" s="608"/>
      <c r="DL61" s="608"/>
      <c r="DM61" s="608"/>
      <c r="DN61" s="608"/>
      <c r="DO61" s="608"/>
      <c r="DP61" s="608"/>
      <c r="DQ61" s="608"/>
      <c r="DR61" s="608"/>
      <c r="DS61" s="608"/>
      <c r="DT61" s="608"/>
      <c r="DU61" s="608"/>
      <c r="DV61" s="608"/>
      <c r="DW61" s="608"/>
      <c r="DX61" s="608"/>
      <c r="DY61" s="608"/>
      <c r="DZ61" s="608"/>
      <c r="EA61" s="608"/>
      <c r="EB61" s="608"/>
      <c r="EC61" s="608"/>
      <c r="ED61" s="608"/>
      <c r="EE61" s="608"/>
      <c r="EF61" s="608"/>
      <c r="EG61" s="608"/>
      <c r="EH61" s="608"/>
      <c r="EI61" s="608"/>
      <c r="EJ61" s="608"/>
      <c r="EK61" s="608"/>
      <c r="EL61" s="608"/>
      <c r="EM61" s="608"/>
      <c r="EN61" s="608"/>
      <c r="EO61" s="608"/>
      <c r="EP61" s="608"/>
      <c r="EQ61" s="608"/>
      <c r="ER61" s="608"/>
      <c r="ES61" s="608"/>
      <c r="ET61" s="608"/>
      <c r="EU61" s="608"/>
      <c r="EV61" s="608"/>
      <c r="EW61" s="608"/>
      <c r="EX61" s="608"/>
      <c r="EY61" s="608"/>
      <c r="EZ61" s="608"/>
      <c r="FA61" s="608"/>
      <c r="FB61" s="608"/>
      <c r="FC61" s="608"/>
      <c r="FD61" s="608"/>
      <c r="FE61" s="608"/>
      <c r="FF61" s="608"/>
      <c r="FG61" s="608"/>
      <c r="FH61" s="608"/>
      <c r="FI61" s="608"/>
      <c r="FJ61" s="608"/>
      <c r="FK61" s="608"/>
      <c r="FL61" s="608"/>
      <c r="FM61" s="608"/>
      <c r="FN61" s="608"/>
      <c r="FO61" s="608"/>
      <c r="FP61" s="608"/>
      <c r="FQ61" s="608"/>
      <c r="FR61" s="608"/>
      <c r="FS61" s="608"/>
      <c r="FT61" s="608"/>
      <c r="FU61" s="608"/>
      <c r="FV61" s="608"/>
      <c r="FW61" s="608"/>
      <c r="FX61" s="608"/>
      <c r="FY61" s="608"/>
      <c r="FZ61" s="608"/>
      <c r="GA61" s="608"/>
      <c r="GB61" s="608"/>
      <c r="GC61" s="608"/>
      <c r="GD61" s="608"/>
      <c r="GE61" s="608"/>
      <c r="GF61" s="608"/>
      <c r="GG61" s="608"/>
      <c r="GH61" s="608"/>
      <c r="GI61" s="608"/>
      <c r="GJ61" s="608"/>
      <c r="GK61" s="608"/>
      <c r="GL61" s="608"/>
      <c r="GM61" s="608"/>
      <c r="GN61" s="608"/>
      <c r="GO61" s="608"/>
      <c r="GP61" s="608"/>
      <c r="GQ61" s="608"/>
      <c r="GR61" s="608"/>
      <c r="GS61" s="608"/>
      <c r="GT61" s="608"/>
      <c r="GU61" s="608"/>
      <c r="GV61" s="608"/>
      <c r="GW61" s="608"/>
      <c r="GX61" s="608"/>
      <c r="GY61" s="608"/>
      <c r="GZ61" s="608"/>
      <c r="HA61" s="608"/>
      <c r="HB61" s="608"/>
      <c r="HC61" s="608"/>
      <c r="HD61" s="608"/>
      <c r="HE61" s="608"/>
      <c r="HF61" s="608"/>
      <c r="HG61" s="608"/>
      <c r="HH61" s="608"/>
      <c r="HI61" s="608"/>
      <c r="HJ61" s="608"/>
      <c r="HK61" s="608"/>
      <c r="HL61" s="608"/>
      <c r="HM61" s="608"/>
      <c r="HN61" s="608"/>
      <c r="HO61" s="608"/>
      <c r="HP61" s="608"/>
      <c r="HQ61" s="608"/>
      <c r="HR61" s="608"/>
      <c r="HS61" s="608"/>
      <c r="HT61" s="608"/>
      <c r="HU61" s="608"/>
      <c r="HV61" s="608"/>
      <c r="HW61" s="608"/>
      <c r="HX61" s="608"/>
      <c r="HY61" s="608"/>
      <c r="HZ61" s="608"/>
      <c r="IA61" s="608"/>
      <c r="IB61" s="608"/>
      <c r="IC61" s="608"/>
      <c r="ID61" s="608"/>
      <c r="IE61" s="608"/>
      <c r="IF61" s="608"/>
      <c r="IG61" s="608"/>
      <c r="IH61" s="608"/>
      <c r="II61" s="608"/>
      <c r="IJ61" s="608"/>
      <c r="IK61" s="608"/>
      <c r="IL61" s="608"/>
      <c r="IM61" s="608"/>
      <c r="IN61" s="608"/>
      <c r="IO61" s="608"/>
      <c r="IP61" s="608"/>
      <c r="IQ61" s="608"/>
      <c r="IR61" s="608"/>
      <c r="IS61" s="608"/>
      <c r="IT61" s="608"/>
      <c r="IU61" s="608"/>
      <c r="IV61" s="608"/>
      <c r="IW61" s="608"/>
      <c r="IX61" s="608"/>
      <c r="IY61" s="608"/>
      <c r="IZ61" s="608"/>
      <c r="JA61" s="608"/>
      <c r="JB61" s="608"/>
      <c r="JC61" s="608"/>
      <c r="JD61" s="608"/>
      <c r="JE61" s="608"/>
      <c r="JF61" s="608"/>
      <c r="JG61" s="608"/>
      <c r="JH61" s="608"/>
      <c r="JI61" s="608"/>
      <c r="JJ61" s="608"/>
      <c r="JK61" s="608"/>
      <c r="JL61" s="608"/>
      <c r="JM61" s="608"/>
      <c r="JN61" s="608"/>
      <c r="JO61" s="608"/>
      <c r="JP61" s="608"/>
      <c r="JQ61" s="608"/>
      <c r="JR61" s="608"/>
      <c r="JS61" s="608"/>
      <c r="JT61" s="608"/>
      <c r="JU61" s="608"/>
      <c r="JV61" s="608"/>
      <c r="JW61" s="608"/>
      <c r="JX61" s="608"/>
      <c r="JY61" s="608"/>
      <c r="JZ61" s="608"/>
      <c r="KA61" s="608"/>
      <c r="KB61" s="608"/>
      <c r="KC61" s="608"/>
      <c r="KD61" s="608"/>
      <c r="KE61" s="608"/>
      <c r="KF61" s="608"/>
      <c r="KG61" s="608"/>
      <c r="KH61" s="608"/>
      <c r="KI61" s="608"/>
      <c r="KJ61" s="608"/>
      <c r="KK61" s="608"/>
      <c r="KL61" s="608"/>
      <c r="KM61" s="608"/>
      <c r="KN61" s="608"/>
      <c r="KO61" s="608"/>
      <c r="KP61" s="608"/>
      <c r="KQ61" s="608"/>
      <c r="KR61" s="608"/>
      <c r="KS61" s="608"/>
      <c r="KT61" s="608"/>
      <c r="KU61" s="608"/>
      <c r="KV61" s="608"/>
      <c r="KW61" s="608"/>
      <c r="KX61" s="608"/>
      <c r="KY61" s="608"/>
      <c r="KZ61" s="608"/>
      <c r="LA61" s="608"/>
      <c r="LB61" s="608"/>
      <c r="LC61" s="608"/>
      <c r="LD61" s="608"/>
      <c r="LE61" s="608"/>
      <c r="LF61" s="608"/>
      <c r="LG61" s="608"/>
      <c r="LH61" s="608"/>
      <c r="LI61" s="608"/>
      <c r="LJ61" s="608"/>
      <c r="LK61" s="608"/>
      <c r="LL61" s="608"/>
      <c r="LM61" s="608"/>
      <c r="LN61" s="608"/>
      <c r="LO61" s="608"/>
      <c r="LP61" s="608"/>
      <c r="LQ61" s="608"/>
      <c r="LR61" s="608"/>
      <c r="LS61" s="608"/>
      <c r="LT61" s="608"/>
      <c r="LU61" s="608"/>
      <c r="LV61" s="608"/>
      <c r="LW61" s="608"/>
      <c r="LX61" s="608"/>
      <c r="LY61" s="608"/>
      <c r="LZ61" s="608"/>
      <c r="MA61" s="608"/>
      <c r="MB61" s="608"/>
      <c r="MC61" s="608"/>
      <c r="MD61" s="608"/>
      <c r="ME61" s="608"/>
      <c r="MF61" s="608"/>
      <c r="MG61" s="608"/>
      <c r="MH61" s="608"/>
      <c r="MI61" s="608"/>
      <c r="MJ61" s="608"/>
      <c r="MK61" s="608"/>
      <c r="ML61" s="608"/>
      <c r="MM61" s="608"/>
      <c r="MN61" s="608"/>
      <c r="MO61" s="608"/>
      <c r="MP61" s="608"/>
      <c r="MQ61" s="608"/>
      <c r="MR61" s="608"/>
      <c r="MS61" s="608"/>
      <c r="MT61" s="608"/>
      <c r="MU61" s="608"/>
      <c r="MV61" s="608"/>
      <c r="MW61" s="608"/>
      <c r="MX61" s="608"/>
      <c r="MY61" s="608"/>
      <c r="MZ61" s="608"/>
      <c r="NA61" s="608"/>
      <c r="NB61" s="608"/>
      <c r="NC61" s="608"/>
      <c r="ND61" s="608"/>
      <c r="NE61" s="608"/>
      <c r="NF61" s="608"/>
      <c r="NG61" s="608"/>
      <c r="NH61" s="608"/>
      <c r="NI61" s="608"/>
      <c r="NJ61" s="608"/>
      <c r="NK61" s="608"/>
      <c r="NL61" s="608"/>
      <c r="NM61" s="608"/>
      <c r="NN61" s="608"/>
      <c r="NO61" s="608"/>
      <c r="NP61" s="608"/>
      <c r="NQ61" s="608"/>
      <c r="NR61" s="608"/>
      <c r="NS61" s="608"/>
      <c r="NT61" s="608"/>
      <c r="NU61" s="608"/>
      <c r="NV61" s="608"/>
      <c r="NW61" s="608"/>
      <c r="NX61" s="608"/>
      <c r="NY61" s="608"/>
      <c r="NZ61" s="608"/>
      <c r="OA61" s="608"/>
      <c r="OB61" s="608"/>
      <c r="OC61" s="608"/>
      <c r="OD61" s="608"/>
      <c r="OE61" s="608"/>
      <c r="OF61" s="608"/>
      <c r="OG61" s="608"/>
      <c r="OH61" s="608"/>
      <c r="OI61" s="608"/>
      <c r="OJ61" s="608"/>
      <c r="OK61" s="608"/>
      <c r="OL61" s="608"/>
      <c r="OM61" s="608"/>
      <c r="ON61" s="608"/>
      <c r="OO61" s="608"/>
      <c r="OP61" s="608"/>
      <c r="OQ61" s="608"/>
      <c r="OR61" s="608"/>
      <c r="OS61" s="608"/>
      <c r="OT61" s="608"/>
      <c r="OU61" s="608"/>
      <c r="OV61" s="608"/>
      <c r="OW61" s="608"/>
      <c r="OX61" s="608"/>
      <c r="OY61" s="608"/>
      <c r="OZ61" s="608"/>
      <c r="PA61" s="608"/>
      <c r="PB61" s="608"/>
      <c r="PC61" s="608"/>
      <c r="PD61" s="608"/>
      <c r="PE61" s="608"/>
      <c r="PF61" s="608"/>
      <c r="PG61" s="608"/>
      <c r="PH61" s="608"/>
      <c r="PI61" s="608"/>
      <c r="PJ61" s="608"/>
      <c r="PK61" s="608"/>
      <c r="PL61" s="608"/>
      <c r="PM61" s="608"/>
      <c r="PN61" s="608"/>
      <c r="PO61" s="608"/>
      <c r="PP61" s="608"/>
      <c r="PQ61" s="608"/>
      <c r="PR61" s="608"/>
      <c r="PS61" s="608"/>
      <c r="PT61" s="608"/>
      <c r="PU61" s="608"/>
      <c r="PV61" s="608"/>
      <c r="PW61" s="608"/>
      <c r="PX61" s="608"/>
      <c r="PY61" s="608"/>
      <c r="PZ61" s="608"/>
      <c r="QA61" s="608"/>
      <c r="QB61" s="608"/>
      <c r="QC61" s="608"/>
      <c r="QD61" s="608"/>
      <c r="QE61" s="608"/>
      <c r="QF61" s="608"/>
      <c r="QG61" s="608"/>
      <c r="QH61" s="608"/>
      <c r="QI61" s="608"/>
      <c r="QJ61" s="608"/>
      <c r="QK61" s="608"/>
      <c r="QL61" s="608"/>
      <c r="QM61" s="608"/>
      <c r="QN61" s="608"/>
      <c r="QO61" s="608"/>
      <c r="QP61" s="608"/>
      <c r="QQ61" s="608"/>
      <c r="QR61" s="608"/>
      <c r="QS61" s="608"/>
      <c r="QT61" s="608"/>
      <c r="QU61" s="608"/>
      <c r="QV61" s="608"/>
      <c r="QW61" s="608"/>
      <c r="QX61" s="608"/>
      <c r="QY61" s="608"/>
      <c r="QZ61" s="608"/>
      <c r="RA61" s="608"/>
      <c r="RB61" s="608"/>
      <c r="RC61" s="608"/>
      <c r="RD61" s="608"/>
      <c r="RE61" s="608"/>
      <c r="RF61" s="608"/>
      <c r="RG61" s="608"/>
      <c r="RH61" s="608"/>
      <c r="RI61" s="608"/>
      <c r="RJ61" s="608"/>
      <c r="RK61" s="608"/>
      <c r="RL61" s="608"/>
      <c r="RM61" s="608"/>
      <c r="RN61" s="608"/>
      <c r="RO61" s="608"/>
      <c r="RP61" s="608"/>
      <c r="RQ61" s="608"/>
      <c r="RR61" s="608"/>
      <c r="RS61" s="608"/>
      <c r="RT61" s="608"/>
      <c r="RU61" s="608"/>
      <c r="RV61" s="608"/>
      <c r="RW61" s="608"/>
      <c r="RX61" s="608"/>
      <c r="RY61" s="608"/>
      <c r="RZ61" s="608"/>
      <c r="SA61" s="608"/>
      <c r="SB61" s="608"/>
      <c r="SC61" s="608"/>
      <c r="SD61" s="608"/>
      <c r="SE61" s="608"/>
      <c r="SF61" s="608"/>
      <c r="SG61" s="608"/>
      <c r="SH61" s="608"/>
      <c r="SI61" s="608"/>
      <c r="SJ61" s="608"/>
      <c r="SK61" s="608"/>
      <c r="SL61" s="608"/>
      <c r="SM61" s="608"/>
      <c r="SN61" s="608"/>
      <c r="SO61" s="608"/>
      <c r="SP61" s="608"/>
      <c r="SQ61" s="608"/>
      <c r="SR61" s="608"/>
      <c r="SS61" s="608"/>
      <c r="ST61" s="608"/>
      <c r="SU61" s="608"/>
      <c r="SV61" s="608"/>
      <c r="SW61" s="608"/>
      <c r="SX61" s="608"/>
      <c r="SY61" s="608"/>
      <c r="SZ61" s="608"/>
      <c r="TA61" s="608"/>
      <c r="TB61" s="608"/>
      <c r="TC61" s="608"/>
      <c r="TD61" s="608"/>
      <c r="TE61" s="608"/>
      <c r="TF61" s="608"/>
      <c r="TG61" s="608"/>
      <c r="TH61" s="608"/>
      <c r="TI61" s="608"/>
      <c r="TJ61" s="608"/>
      <c r="TK61" s="608"/>
      <c r="TL61" s="608"/>
      <c r="TM61" s="608"/>
      <c r="TN61" s="608"/>
      <c r="TO61" s="608"/>
      <c r="TP61" s="608"/>
      <c r="TQ61" s="608"/>
      <c r="TR61" s="608"/>
      <c r="TS61" s="608"/>
      <c r="TT61" s="608"/>
      <c r="TU61" s="608"/>
      <c r="TV61" s="608"/>
      <c r="TW61" s="608"/>
      <c r="TX61" s="608"/>
      <c r="TY61" s="608"/>
      <c r="TZ61" s="608"/>
      <c r="UA61" s="608"/>
      <c r="UB61" s="608"/>
      <c r="UC61" s="608"/>
      <c r="UD61" s="608"/>
      <c r="UE61" s="608"/>
      <c r="UF61" s="608"/>
      <c r="UG61" s="608"/>
      <c r="UH61" s="608"/>
      <c r="UI61" s="608"/>
      <c r="UJ61" s="608"/>
      <c r="UK61" s="608"/>
      <c r="UL61" s="608"/>
      <c r="UM61" s="608"/>
      <c r="UN61" s="608"/>
      <c r="UO61" s="608"/>
      <c r="UP61" s="608"/>
      <c r="UQ61" s="608"/>
      <c r="UR61" s="608"/>
      <c r="US61" s="608"/>
      <c r="UT61" s="608"/>
      <c r="UU61" s="608"/>
      <c r="UV61" s="608"/>
      <c r="UW61" s="608"/>
      <c r="UX61" s="608"/>
      <c r="UY61" s="608"/>
      <c r="UZ61" s="608"/>
      <c r="VA61" s="608"/>
      <c r="VB61" s="608"/>
      <c r="VC61" s="608"/>
      <c r="VD61" s="608"/>
      <c r="VE61" s="608"/>
      <c r="VF61" s="608"/>
      <c r="VG61" s="608"/>
      <c r="VH61" s="608"/>
      <c r="VI61" s="608"/>
      <c r="VJ61" s="608"/>
      <c r="VK61" s="608"/>
      <c r="VL61" s="608"/>
      <c r="VM61" s="608"/>
      <c r="VN61" s="608"/>
      <c r="VO61" s="608"/>
      <c r="VP61" s="608"/>
      <c r="VQ61" s="608"/>
      <c r="VR61" s="608"/>
      <c r="VS61" s="608"/>
      <c r="VT61" s="608"/>
      <c r="VU61" s="608"/>
      <c r="VV61" s="608"/>
      <c r="VW61" s="608"/>
      <c r="VX61" s="608"/>
      <c r="VY61" s="608"/>
      <c r="VZ61" s="608"/>
      <c r="WA61" s="608"/>
      <c r="WB61" s="608"/>
      <c r="WC61" s="608"/>
      <c r="WD61" s="608"/>
      <c r="WE61" s="608"/>
      <c r="WF61" s="608"/>
      <c r="WG61" s="608"/>
      <c r="WH61" s="608"/>
      <c r="WI61" s="608"/>
      <c r="WJ61" s="608"/>
      <c r="WK61" s="608"/>
      <c r="WL61" s="608"/>
      <c r="WM61" s="608"/>
      <c r="WN61" s="608"/>
      <c r="WO61" s="608"/>
      <c r="WP61" s="608"/>
      <c r="WQ61" s="608"/>
      <c r="WR61" s="608"/>
      <c r="WS61" s="608"/>
      <c r="WT61" s="608"/>
      <c r="WU61" s="608"/>
      <c r="WV61" s="608"/>
      <c r="WW61" s="608"/>
      <c r="WX61" s="608"/>
      <c r="WY61" s="608"/>
      <c r="WZ61" s="608"/>
      <c r="XA61" s="608"/>
      <c r="XB61" s="608"/>
      <c r="XC61" s="608"/>
      <c r="XD61" s="608"/>
      <c r="XE61" s="608"/>
      <c r="XF61" s="608"/>
      <c r="XG61" s="608"/>
      <c r="XH61" s="608"/>
      <c r="XI61" s="608"/>
      <c r="XJ61" s="608"/>
      <c r="XK61" s="608"/>
      <c r="XL61" s="608"/>
      <c r="XM61" s="608"/>
      <c r="XN61" s="608"/>
      <c r="XO61" s="608"/>
      <c r="XP61" s="608"/>
      <c r="XQ61" s="608"/>
      <c r="XR61" s="608"/>
      <c r="XS61" s="608"/>
      <c r="XT61" s="608"/>
      <c r="XU61" s="608"/>
      <c r="XV61" s="608"/>
      <c r="XW61" s="608"/>
      <c r="XX61" s="608"/>
      <c r="XY61" s="608"/>
      <c r="XZ61" s="608"/>
      <c r="YA61" s="608"/>
      <c r="YB61" s="608"/>
      <c r="YC61" s="608"/>
      <c r="YD61" s="608"/>
      <c r="YE61" s="608"/>
      <c r="YF61" s="608"/>
      <c r="YG61" s="608"/>
      <c r="YH61" s="608"/>
      <c r="YI61" s="608"/>
      <c r="YJ61" s="608"/>
      <c r="YK61" s="608"/>
      <c r="YL61" s="608"/>
      <c r="YM61" s="608"/>
      <c r="YN61" s="608"/>
      <c r="YO61" s="608"/>
      <c r="YP61" s="608"/>
      <c r="YQ61" s="608"/>
      <c r="YR61" s="608"/>
      <c r="YS61" s="608"/>
      <c r="YT61" s="608"/>
      <c r="YU61" s="608"/>
      <c r="YV61" s="608"/>
      <c r="YW61" s="608"/>
      <c r="YX61" s="608"/>
      <c r="YY61" s="608"/>
      <c r="YZ61" s="608"/>
      <c r="ZA61" s="608"/>
      <c r="ZB61" s="608"/>
      <c r="ZC61" s="608"/>
      <c r="ZD61" s="608"/>
      <c r="ZE61" s="608"/>
      <c r="ZF61" s="608"/>
      <c r="ZG61" s="608"/>
      <c r="ZH61" s="608"/>
      <c r="ZI61" s="608"/>
      <c r="ZJ61" s="608"/>
      <c r="ZK61" s="608"/>
      <c r="ZL61" s="608"/>
      <c r="ZM61" s="608"/>
      <c r="ZN61" s="608"/>
      <c r="ZO61" s="608"/>
      <c r="ZP61" s="608"/>
      <c r="ZQ61" s="608"/>
      <c r="ZR61" s="608"/>
      <c r="ZS61" s="608"/>
      <c r="ZT61" s="608"/>
      <c r="ZU61" s="608"/>
      <c r="ZV61" s="608"/>
      <c r="ZW61" s="608"/>
      <c r="ZX61" s="608"/>
      <c r="ZY61" s="608"/>
      <c r="ZZ61" s="608"/>
      <c r="AAA61" s="608"/>
      <c r="AAB61" s="608"/>
      <c r="AAC61" s="608"/>
      <c r="AAD61" s="608"/>
      <c r="AAE61" s="608"/>
      <c r="AAF61" s="608"/>
      <c r="AAG61" s="608"/>
      <c r="AAH61" s="608"/>
      <c r="AAI61" s="608"/>
      <c r="AAJ61" s="608"/>
      <c r="AAK61" s="608"/>
      <c r="AAL61" s="608"/>
      <c r="AAM61" s="608"/>
      <c r="AAN61" s="608"/>
      <c r="AAO61" s="608"/>
      <c r="AAP61" s="608"/>
      <c r="AAQ61" s="608"/>
      <c r="AAR61" s="608"/>
      <c r="AAS61" s="608"/>
      <c r="AAT61" s="608"/>
      <c r="AAU61" s="608"/>
      <c r="AAV61" s="608"/>
      <c r="AAW61" s="608"/>
      <c r="AAX61" s="608"/>
      <c r="AAY61" s="608"/>
      <c r="AAZ61" s="608"/>
      <c r="ABA61" s="608"/>
      <c r="ABB61" s="608"/>
      <c r="ABC61" s="608"/>
      <c r="ABD61" s="608"/>
      <c r="ABE61" s="608"/>
      <c r="ABF61" s="608"/>
      <c r="ABG61" s="608"/>
      <c r="ABH61" s="608"/>
      <c r="ABI61" s="608"/>
      <c r="ABJ61" s="608"/>
      <c r="ABK61" s="608"/>
      <c r="ABL61" s="608"/>
      <c r="ABM61" s="608"/>
      <c r="ABN61" s="608"/>
      <c r="ABO61" s="608"/>
      <c r="ABP61" s="608"/>
      <c r="ABQ61" s="608"/>
      <c r="ABR61" s="608"/>
      <c r="ABS61" s="608"/>
      <c r="ABT61" s="608"/>
      <c r="ABU61" s="608"/>
      <c r="ABV61" s="608"/>
      <c r="ABW61" s="608"/>
      <c r="ABX61" s="608"/>
      <c r="ABY61" s="608"/>
      <c r="ABZ61" s="608"/>
      <c r="ACA61" s="608"/>
      <c r="ACB61" s="608"/>
      <c r="ACC61" s="608"/>
      <c r="ACD61" s="608"/>
      <c r="ACE61" s="608"/>
      <c r="ACF61" s="608"/>
      <c r="ACG61" s="608"/>
      <c r="ACH61" s="608"/>
      <c r="ACI61" s="608"/>
      <c r="ACJ61" s="608"/>
      <c r="ACK61" s="608"/>
      <c r="ACL61" s="608"/>
      <c r="ACM61" s="608"/>
      <c r="ACN61" s="608"/>
      <c r="ACO61" s="608"/>
      <c r="ACP61" s="608"/>
      <c r="ACQ61" s="608"/>
      <c r="ACR61" s="608"/>
      <c r="ACS61" s="608"/>
      <c r="ACT61" s="608"/>
      <c r="ACU61" s="608"/>
      <c r="ACV61" s="608"/>
      <c r="ACW61" s="608"/>
      <c r="ACX61" s="608"/>
      <c r="ACY61" s="608"/>
      <c r="ACZ61" s="608"/>
      <c r="ADA61" s="608"/>
      <c r="ADB61" s="608"/>
      <c r="ADC61" s="608"/>
      <c r="ADD61" s="608"/>
      <c r="ADE61" s="608"/>
      <c r="ADF61" s="608"/>
      <c r="ADG61" s="608"/>
      <c r="ADH61" s="608"/>
      <c r="ADI61" s="608"/>
      <c r="ADJ61" s="608"/>
      <c r="ADK61" s="608"/>
      <c r="ADL61" s="608"/>
      <c r="ADM61" s="608"/>
      <c r="ADN61" s="608"/>
      <c r="ADO61" s="608"/>
      <c r="ADP61" s="608"/>
      <c r="ADQ61" s="608"/>
      <c r="ADR61" s="608"/>
      <c r="ADS61" s="608"/>
      <c r="ADT61" s="608"/>
      <c r="ADU61" s="608"/>
      <c r="ADV61" s="608"/>
      <c r="ADW61" s="608"/>
      <c r="ADX61" s="608"/>
      <c r="ADY61" s="608"/>
      <c r="ADZ61" s="608"/>
      <c r="AEA61" s="608"/>
      <c r="AEB61" s="608"/>
      <c r="AEC61" s="608"/>
      <c r="AED61" s="608"/>
      <c r="AEE61" s="608"/>
      <c r="AEF61" s="608"/>
      <c r="AEG61" s="608"/>
      <c r="AEH61" s="608"/>
      <c r="AEI61" s="608"/>
      <c r="AEJ61" s="608"/>
      <c r="AEK61" s="608"/>
      <c r="AEL61" s="608"/>
      <c r="AEM61" s="608"/>
      <c r="AEN61" s="608"/>
      <c r="AEO61" s="608"/>
      <c r="AEP61" s="608"/>
      <c r="AEQ61" s="608"/>
      <c r="AER61" s="608"/>
      <c r="AES61" s="608"/>
      <c r="AET61" s="608"/>
      <c r="AEU61" s="608"/>
      <c r="AEV61" s="608"/>
      <c r="AEW61" s="608"/>
      <c r="AEX61" s="608"/>
      <c r="AEY61" s="608"/>
      <c r="AEZ61" s="608"/>
      <c r="AFA61" s="608"/>
      <c r="AFB61" s="608"/>
      <c r="AFC61" s="608"/>
      <c r="AFD61" s="608"/>
      <c r="AFE61" s="608"/>
      <c r="AFF61" s="608"/>
      <c r="AFG61" s="608"/>
      <c r="AFH61" s="608"/>
      <c r="AFI61" s="608"/>
      <c r="AFJ61" s="608"/>
      <c r="AFK61" s="608"/>
      <c r="AFL61" s="608"/>
      <c r="AFM61" s="608"/>
      <c r="AFN61" s="608"/>
      <c r="AFO61" s="608"/>
      <c r="AFP61" s="608"/>
      <c r="AFQ61" s="608"/>
      <c r="AFR61" s="608"/>
      <c r="AFS61" s="608"/>
      <c r="AFT61" s="608"/>
      <c r="AFU61" s="608"/>
      <c r="AFV61" s="608"/>
      <c r="AFW61" s="608"/>
      <c r="AFX61" s="608"/>
      <c r="AFY61" s="608"/>
      <c r="AFZ61" s="608"/>
      <c r="AGA61" s="608"/>
      <c r="AGB61" s="608"/>
      <c r="AGC61" s="608"/>
      <c r="AGD61" s="608"/>
      <c r="AGE61" s="608"/>
      <c r="AGF61" s="608"/>
      <c r="AGG61" s="608"/>
      <c r="AGH61" s="608"/>
      <c r="AGI61" s="608"/>
      <c r="AGJ61" s="608"/>
      <c r="AGK61" s="608"/>
      <c r="AGL61" s="608"/>
      <c r="AGM61" s="608"/>
      <c r="AGN61" s="608"/>
      <c r="AGO61" s="608"/>
      <c r="AGP61" s="608"/>
      <c r="AGQ61" s="608"/>
      <c r="AGR61" s="608"/>
      <c r="AGS61" s="608"/>
      <c r="AGT61" s="608"/>
      <c r="AGU61" s="608"/>
      <c r="AGV61" s="608"/>
      <c r="AGW61" s="608"/>
      <c r="AGX61" s="608"/>
      <c r="AGY61" s="608"/>
      <c r="AGZ61" s="608"/>
      <c r="AHA61" s="608"/>
      <c r="AHB61" s="608"/>
      <c r="AHC61" s="608"/>
      <c r="AHD61" s="608"/>
      <c r="AHE61" s="608"/>
      <c r="AHF61" s="608"/>
      <c r="AHG61" s="608"/>
      <c r="AHH61" s="608"/>
      <c r="AHI61" s="608"/>
      <c r="AHJ61" s="608"/>
      <c r="AHK61" s="608"/>
      <c r="AHL61" s="608"/>
      <c r="AHM61" s="608"/>
      <c r="AHN61" s="608"/>
      <c r="AHO61" s="608"/>
      <c r="AHP61" s="608"/>
      <c r="AHQ61" s="608"/>
      <c r="AHR61" s="608"/>
      <c r="AHS61" s="608"/>
      <c r="AHT61" s="608"/>
      <c r="AHU61" s="608"/>
      <c r="AHV61" s="608"/>
      <c r="AHW61" s="608"/>
      <c r="AHX61" s="608"/>
      <c r="AHY61" s="608"/>
      <c r="AHZ61" s="608"/>
      <c r="AIA61" s="608"/>
      <c r="AIB61" s="608"/>
      <c r="AIC61" s="608"/>
      <c r="AID61" s="608"/>
      <c r="AIE61" s="608"/>
      <c r="AIF61" s="608"/>
      <c r="AIG61" s="608"/>
      <c r="AIH61" s="608"/>
      <c r="AII61" s="608"/>
      <c r="AIJ61" s="608"/>
      <c r="AIK61" s="608"/>
      <c r="AIL61" s="608"/>
      <c r="AIM61" s="608"/>
      <c r="AIN61" s="608"/>
      <c r="AIO61" s="608"/>
      <c r="AIP61" s="608"/>
      <c r="AIQ61" s="608"/>
      <c r="AIR61" s="608"/>
      <c r="AIS61" s="608"/>
      <c r="AIT61" s="608"/>
      <c r="AIU61" s="608"/>
      <c r="AIV61" s="608"/>
      <c r="AIW61" s="608"/>
      <c r="AIX61" s="608"/>
      <c r="AIY61" s="608"/>
      <c r="AIZ61" s="608"/>
      <c r="AJA61" s="608"/>
      <c r="AJB61" s="608"/>
      <c r="AJC61" s="608"/>
      <c r="AJD61" s="608"/>
      <c r="AJE61" s="608"/>
      <c r="AJF61" s="608"/>
      <c r="AJG61" s="608"/>
      <c r="AJH61" s="608"/>
      <c r="AJI61" s="608"/>
      <c r="AJJ61" s="608"/>
      <c r="AJK61" s="608"/>
      <c r="AJL61" s="608"/>
      <c r="AJM61" s="608"/>
      <c r="AJN61" s="608"/>
      <c r="AJO61" s="608"/>
      <c r="AJP61" s="608"/>
      <c r="AJQ61" s="608"/>
      <c r="AJR61" s="608"/>
      <c r="AJS61" s="608"/>
      <c r="AJT61" s="608"/>
      <c r="AJU61" s="608"/>
      <c r="AJV61" s="608"/>
      <c r="AJW61" s="608"/>
      <c r="AJX61" s="608"/>
      <c r="AJY61" s="608"/>
      <c r="AJZ61" s="608"/>
      <c r="AKA61" s="608"/>
      <c r="AKB61" s="608"/>
      <c r="AKC61" s="608"/>
      <c r="AKD61" s="608"/>
      <c r="AKE61" s="608"/>
      <c r="AKF61" s="608"/>
      <c r="AKG61" s="608"/>
      <c r="AKH61" s="608"/>
      <c r="AKI61" s="608"/>
      <c r="AKJ61" s="608"/>
      <c r="AKK61" s="608"/>
      <c r="AKL61" s="608"/>
      <c r="AKM61" s="608"/>
      <c r="AKN61" s="608"/>
      <c r="AKO61" s="608"/>
      <c r="AKP61" s="608"/>
      <c r="AKQ61" s="608"/>
      <c r="AKR61" s="608"/>
      <c r="AKS61" s="608"/>
      <c r="AKT61" s="608"/>
      <c r="AKU61" s="608"/>
      <c r="AKV61" s="608"/>
      <c r="AKW61" s="608"/>
      <c r="AKX61" s="608"/>
      <c r="AKY61" s="608"/>
      <c r="AKZ61" s="608"/>
      <c r="ALA61" s="608"/>
      <c r="ALB61" s="608"/>
      <c r="ALC61" s="608"/>
      <c r="ALD61" s="608"/>
      <c r="ALE61" s="608"/>
      <c r="ALF61" s="608"/>
      <c r="ALG61" s="608"/>
      <c r="ALH61" s="608"/>
      <c r="ALI61" s="608"/>
      <c r="ALJ61" s="608"/>
      <c r="ALK61" s="608"/>
      <c r="ALL61" s="608"/>
      <c r="ALM61" s="608"/>
      <c r="ALN61" s="608"/>
      <c r="ALO61" s="608"/>
      <c r="ALP61" s="608"/>
      <c r="ALQ61" s="608"/>
      <c r="ALR61" s="608"/>
      <c r="ALS61" s="608"/>
      <c r="ALT61" s="608"/>
      <c r="ALU61" s="608"/>
      <c r="ALV61" s="608"/>
      <c r="ALW61" s="608"/>
      <c r="ALX61" s="608"/>
      <c r="ALY61" s="608"/>
      <c r="ALZ61" s="608"/>
      <c r="AMA61" s="608"/>
      <c r="AMB61" s="608"/>
      <c r="AMC61" s="608"/>
      <c r="AMD61" s="608"/>
      <c r="AME61" s="608"/>
      <c r="AMF61" s="608"/>
      <c r="AMG61" s="608"/>
      <c r="AMH61" s="608"/>
      <c r="AMI61" s="608"/>
      <c r="AMJ61" s="608"/>
      <c r="AMK61" s="608"/>
      <c r="AML61" s="608"/>
      <c r="AMM61" s="608"/>
      <c r="AMN61" s="608"/>
      <c r="AMO61" s="608"/>
      <c r="AMP61" s="608"/>
      <c r="AMQ61" s="608"/>
      <c r="AMR61" s="608"/>
      <c r="AMS61" s="608"/>
      <c r="AMT61" s="608"/>
      <c r="AMU61" s="608"/>
      <c r="AMV61" s="608"/>
      <c r="AMW61" s="608"/>
      <c r="AMX61" s="608"/>
      <c r="AMY61" s="608"/>
      <c r="AMZ61" s="608"/>
      <c r="ANA61" s="608"/>
      <c r="ANB61" s="608"/>
      <c r="ANC61" s="608"/>
      <c r="AND61" s="608"/>
      <c r="ANE61" s="608"/>
      <c r="ANF61" s="608"/>
      <c r="ANG61" s="608"/>
      <c r="ANH61" s="608"/>
      <c r="ANI61" s="608"/>
      <c r="ANJ61" s="608"/>
      <c r="ANK61" s="608"/>
      <c r="ANL61" s="608"/>
      <c r="ANM61" s="608"/>
      <c r="ANN61" s="608"/>
      <c r="ANO61" s="608"/>
      <c r="ANP61" s="608"/>
      <c r="ANQ61" s="608"/>
      <c r="ANR61" s="608"/>
      <c r="ANS61" s="608"/>
      <c r="ANT61" s="608"/>
      <c r="ANU61" s="608"/>
      <c r="ANV61" s="608"/>
      <c r="ANW61" s="608"/>
      <c r="ANX61" s="608"/>
      <c r="ANY61" s="608"/>
      <c r="ANZ61" s="608"/>
      <c r="AOA61" s="608"/>
      <c r="AOB61" s="608"/>
      <c r="AOC61" s="608"/>
      <c r="AOD61" s="608"/>
      <c r="AOE61" s="608"/>
      <c r="AOF61" s="608"/>
      <c r="AOG61" s="608"/>
      <c r="AOH61" s="608"/>
      <c r="AOI61" s="608"/>
      <c r="AOJ61" s="608"/>
      <c r="AOK61" s="608"/>
      <c r="AOL61" s="608"/>
      <c r="AOM61" s="608"/>
      <c r="AON61" s="608"/>
      <c r="AOO61" s="608"/>
      <c r="AOP61" s="608"/>
      <c r="AOQ61" s="608"/>
      <c r="AOR61" s="608"/>
      <c r="AOS61" s="608"/>
      <c r="AOT61" s="608"/>
      <c r="AOU61" s="608"/>
      <c r="AOV61" s="608"/>
      <c r="AOW61" s="608"/>
      <c r="AOX61" s="608"/>
      <c r="AOY61" s="608"/>
      <c r="AOZ61" s="608"/>
      <c r="APA61" s="608"/>
      <c r="APB61" s="608"/>
      <c r="APC61" s="608"/>
      <c r="APD61" s="608"/>
      <c r="APE61" s="608"/>
      <c r="APF61" s="608"/>
      <c r="APG61" s="608"/>
      <c r="APH61" s="608"/>
      <c r="API61" s="608"/>
      <c r="APJ61" s="608"/>
      <c r="APK61" s="608"/>
      <c r="APL61" s="608"/>
      <c r="APM61" s="608"/>
      <c r="APN61" s="608"/>
      <c r="APO61" s="608"/>
      <c r="APP61" s="608"/>
      <c r="APQ61" s="608"/>
      <c r="APR61" s="608"/>
      <c r="APS61" s="608"/>
      <c r="APT61" s="608"/>
      <c r="APU61" s="608"/>
      <c r="APV61" s="608"/>
      <c r="APW61" s="608"/>
      <c r="APX61" s="608"/>
      <c r="APY61" s="608"/>
      <c r="APZ61" s="608"/>
      <c r="AQA61" s="608"/>
      <c r="AQB61" s="608"/>
      <c r="AQC61" s="608"/>
      <c r="AQD61" s="608"/>
      <c r="AQE61" s="608"/>
      <c r="AQF61" s="608"/>
      <c r="AQG61" s="608"/>
      <c r="AQH61" s="608"/>
      <c r="AQI61" s="608"/>
      <c r="AQJ61" s="608"/>
      <c r="AQK61" s="608"/>
      <c r="AQL61" s="608"/>
      <c r="AQM61" s="608"/>
      <c r="AQN61" s="608"/>
      <c r="AQO61" s="608"/>
      <c r="AQP61" s="608"/>
      <c r="AQQ61" s="608"/>
      <c r="AQR61" s="608"/>
      <c r="AQS61" s="608"/>
      <c r="AQT61" s="608"/>
      <c r="AQU61" s="608"/>
      <c r="AQV61" s="608"/>
      <c r="AQW61" s="608"/>
      <c r="AQX61" s="608"/>
      <c r="AQY61" s="608"/>
      <c r="AQZ61" s="608"/>
      <c r="ARA61" s="608"/>
      <c r="ARB61" s="608"/>
      <c r="ARC61" s="608"/>
      <c r="ARD61" s="608"/>
      <c r="ARE61" s="608"/>
      <c r="ARF61" s="608"/>
      <c r="ARG61" s="608"/>
      <c r="ARH61" s="608"/>
      <c r="ARI61" s="608"/>
      <c r="ARJ61" s="608"/>
      <c r="ARK61" s="608"/>
      <c r="ARL61" s="608"/>
      <c r="ARM61" s="608"/>
      <c r="ARN61" s="608"/>
      <c r="ARO61" s="608"/>
      <c r="ARP61" s="608"/>
      <c r="ARQ61" s="608"/>
      <c r="ARR61" s="608"/>
      <c r="ARS61" s="608"/>
      <c r="ART61" s="608"/>
      <c r="ARU61" s="608"/>
      <c r="ARV61" s="608"/>
      <c r="ARW61" s="608"/>
      <c r="ARX61" s="608"/>
      <c r="ARY61" s="608"/>
      <c r="ARZ61" s="608"/>
      <c r="ASA61" s="608"/>
      <c r="ASB61" s="608"/>
      <c r="ASC61" s="608"/>
      <c r="ASD61" s="608"/>
      <c r="ASE61" s="608"/>
      <c r="ASF61" s="608"/>
      <c r="ASG61" s="608"/>
      <c r="ASH61" s="608"/>
      <c r="ASI61" s="608"/>
      <c r="ASJ61" s="608"/>
      <c r="ASK61" s="608"/>
      <c r="ASL61" s="608"/>
      <c r="ASM61" s="608"/>
      <c r="ASN61" s="608"/>
      <c r="ASO61" s="608"/>
      <c r="ASP61" s="608"/>
      <c r="ASQ61" s="608"/>
      <c r="ASR61" s="608"/>
      <c r="ASS61" s="608"/>
      <c r="AST61" s="608"/>
      <c r="ASU61" s="608"/>
      <c r="ASV61" s="608"/>
      <c r="ASW61" s="608"/>
      <c r="ASX61" s="608"/>
      <c r="ASY61" s="608"/>
      <c r="ASZ61" s="608"/>
      <c r="ATA61" s="608"/>
      <c r="ATB61" s="608"/>
      <c r="ATC61" s="608"/>
      <c r="ATD61" s="608"/>
      <c r="ATE61" s="608"/>
      <c r="ATF61" s="608"/>
      <c r="ATG61" s="608"/>
      <c r="ATH61" s="608"/>
      <c r="ATI61" s="608"/>
      <c r="ATJ61" s="608"/>
      <c r="ATK61" s="608"/>
      <c r="ATL61" s="608"/>
      <c r="ATM61" s="608"/>
      <c r="ATN61" s="608"/>
      <c r="ATO61" s="608"/>
      <c r="ATP61" s="608"/>
      <c r="ATQ61" s="608"/>
      <c r="ATR61" s="608"/>
      <c r="ATS61" s="608"/>
      <c r="ATT61" s="608"/>
      <c r="ATU61" s="608"/>
      <c r="ATV61" s="608"/>
      <c r="ATW61" s="608"/>
      <c r="ATX61" s="608"/>
      <c r="ATY61" s="608"/>
      <c r="ATZ61" s="608"/>
      <c r="AUA61" s="608"/>
      <c r="AUB61" s="608"/>
      <c r="AUC61" s="608"/>
      <c r="AUD61" s="608"/>
      <c r="AUE61" s="608"/>
      <c r="AUF61" s="608"/>
      <c r="AUG61" s="608"/>
      <c r="AUH61" s="608"/>
      <c r="AUI61" s="608"/>
      <c r="AUJ61" s="608"/>
      <c r="AUK61" s="608"/>
      <c r="AUL61" s="608"/>
      <c r="AUM61" s="608"/>
      <c r="AUN61" s="608"/>
      <c r="AUO61" s="608"/>
      <c r="AUP61" s="608"/>
      <c r="AUQ61" s="608"/>
      <c r="AUR61" s="608"/>
      <c r="AUS61" s="608"/>
      <c r="AUT61" s="608"/>
      <c r="AUU61" s="608"/>
      <c r="AUV61" s="608"/>
      <c r="AUW61" s="608"/>
      <c r="AUX61" s="608"/>
      <c r="AUY61" s="608"/>
      <c r="AUZ61" s="608"/>
      <c r="AVA61" s="608"/>
      <c r="AVB61" s="608"/>
      <c r="AVC61" s="608"/>
      <c r="AVD61" s="608"/>
      <c r="AVE61" s="608"/>
      <c r="AVF61" s="608"/>
      <c r="AVG61" s="608"/>
      <c r="AVH61" s="608"/>
      <c r="AVI61" s="608"/>
      <c r="AVJ61" s="608"/>
      <c r="AVK61" s="608"/>
      <c r="AVL61" s="608"/>
      <c r="AVM61" s="608"/>
      <c r="AVN61" s="608"/>
      <c r="AVO61" s="608"/>
      <c r="AVP61" s="608"/>
      <c r="AVQ61" s="608"/>
      <c r="AVR61" s="608"/>
      <c r="AVS61" s="608"/>
      <c r="AVT61" s="608"/>
      <c r="AVU61" s="608"/>
      <c r="AVV61" s="608"/>
      <c r="AVW61" s="608"/>
      <c r="AVX61" s="608"/>
      <c r="AVY61" s="608"/>
      <c r="AVZ61" s="608"/>
      <c r="AWA61" s="608"/>
      <c r="AWB61" s="608"/>
      <c r="AWC61" s="608"/>
      <c r="AWD61" s="608"/>
      <c r="AWE61" s="608"/>
      <c r="AWF61" s="608"/>
      <c r="AWG61" s="608"/>
      <c r="AWH61" s="608"/>
      <c r="AWI61" s="608"/>
      <c r="AWJ61" s="608"/>
      <c r="AWK61" s="608"/>
      <c r="AWL61" s="608"/>
      <c r="AWM61" s="608"/>
      <c r="AWN61" s="608"/>
      <c r="AWO61" s="608"/>
      <c r="AWP61" s="608"/>
      <c r="AWQ61" s="608"/>
      <c r="AWR61" s="608"/>
      <c r="AWS61" s="608"/>
      <c r="AWT61" s="608"/>
      <c r="AWU61" s="608"/>
      <c r="AWV61" s="608"/>
      <c r="AWW61" s="608"/>
      <c r="AWX61" s="608"/>
      <c r="AWY61" s="608"/>
      <c r="AWZ61" s="608"/>
      <c r="AXA61" s="608"/>
      <c r="AXB61" s="608"/>
      <c r="AXC61" s="608"/>
      <c r="AXD61" s="608"/>
      <c r="AXE61" s="608"/>
      <c r="AXF61" s="608"/>
      <c r="AXG61" s="608"/>
      <c r="AXH61" s="608"/>
      <c r="AXI61" s="608"/>
      <c r="AXJ61" s="608"/>
      <c r="AXK61" s="608"/>
      <c r="AXL61" s="608"/>
      <c r="AXM61" s="608"/>
      <c r="AXN61" s="608"/>
      <c r="AXO61" s="608"/>
      <c r="AXP61" s="608"/>
      <c r="AXQ61" s="608"/>
      <c r="AXR61" s="608"/>
      <c r="AXS61" s="608"/>
      <c r="AXT61" s="608"/>
      <c r="AXU61" s="608"/>
      <c r="AXV61" s="608"/>
      <c r="AXW61" s="608"/>
      <c r="AXX61" s="608"/>
      <c r="AXY61" s="608"/>
      <c r="AXZ61" s="608"/>
      <c r="AYA61" s="608"/>
      <c r="AYB61" s="608"/>
      <c r="AYC61" s="608"/>
      <c r="AYD61" s="608"/>
      <c r="AYE61" s="608"/>
      <c r="AYF61" s="608"/>
      <c r="AYG61" s="608"/>
      <c r="AYH61" s="608"/>
      <c r="AYI61" s="608"/>
      <c r="AYJ61" s="608"/>
      <c r="AYK61" s="608"/>
      <c r="AYL61" s="608"/>
      <c r="AYM61" s="608"/>
      <c r="AYN61" s="608"/>
      <c r="AYO61" s="608"/>
      <c r="AYP61" s="608"/>
      <c r="AYQ61" s="608"/>
      <c r="AYR61" s="608"/>
      <c r="AYS61" s="608"/>
      <c r="AYT61" s="608"/>
      <c r="AYU61" s="608"/>
      <c r="AYV61" s="608"/>
      <c r="AYW61" s="608"/>
      <c r="AYX61" s="608"/>
      <c r="AYY61" s="608"/>
      <c r="AYZ61" s="608"/>
      <c r="AZA61" s="608"/>
      <c r="AZB61" s="608"/>
      <c r="AZC61" s="608"/>
      <c r="AZD61" s="608"/>
      <c r="AZE61" s="608"/>
      <c r="AZF61" s="608"/>
      <c r="AZG61" s="608"/>
      <c r="AZH61" s="608"/>
      <c r="AZI61" s="608"/>
      <c r="AZJ61" s="608"/>
      <c r="AZK61" s="608"/>
      <c r="AZL61" s="608"/>
      <c r="AZM61" s="608"/>
      <c r="AZN61" s="608"/>
      <c r="AZO61" s="608"/>
      <c r="AZP61" s="608"/>
      <c r="AZQ61" s="608"/>
      <c r="AZR61" s="608"/>
      <c r="AZS61" s="608"/>
      <c r="AZT61" s="608"/>
      <c r="AZU61" s="608"/>
      <c r="AZV61" s="608"/>
      <c r="AZW61" s="608"/>
      <c r="AZX61" s="608"/>
      <c r="AZY61" s="608"/>
      <c r="AZZ61" s="608"/>
      <c r="BAA61" s="608"/>
      <c r="BAB61" s="608"/>
      <c r="BAC61" s="608"/>
      <c r="BAD61" s="608"/>
      <c r="BAE61" s="608"/>
      <c r="BAF61" s="608"/>
      <c r="BAG61" s="608"/>
      <c r="BAH61" s="608"/>
      <c r="BAI61" s="608"/>
      <c r="BAJ61" s="608"/>
      <c r="BAK61" s="608"/>
      <c r="BAL61" s="608"/>
      <c r="BAM61" s="608"/>
      <c r="BAN61" s="608"/>
      <c r="BAO61" s="608"/>
      <c r="BAP61" s="608"/>
      <c r="BAQ61" s="608"/>
      <c r="BAR61" s="608"/>
      <c r="BAS61" s="608"/>
      <c r="BAT61" s="608"/>
      <c r="BAU61" s="608"/>
      <c r="BAV61" s="608"/>
      <c r="BAW61" s="608"/>
      <c r="BAX61" s="608"/>
      <c r="BAY61" s="608"/>
      <c r="BAZ61" s="608"/>
      <c r="BBA61" s="608"/>
      <c r="BBB61" s="608"/>
      <c r="BBC61" s="608"/>
      <c r="BBD61" s="608"/>
      <c r="BBE61" s="608"/>
      <c r="BBF61" s="608"/>
      <c r="BBG61" s="608"/>
      <c r="BBH61" s="608"/>
      <c r="BBI61" s="608"/>
      <c r="BBJ61" s="608"/>
      <c r="BBK61" s="608"/>
      <c r="BBL61" s="608"/>
      <c r="BBM61" s="608"/>
      <c r="BBN61" s="608"/>
      <c r="BBO61" s="608"/>
      <c r="BBP61" s="608"/>
      <c r="BBQ61" s="608"/>
      <c r="BBR61" s="608"/>
      <c r="BBS61" s="608"/>
      <c r="BBT61" s="608"/>
      <c r="BBU61" s="608"/>
      <c r="BBV61" s="608"/>
      <c r="BBW61" s="608"/>
      <c r="BBX61" s="608"/>
      <c r="BBY61" s="608"/>
      <c r="BBZ61" s="608"/>
      <c r="BCA61" s="608"/>
      <c r="BCB61" s="608"/>
      <c r="BCC61" s="608"/>
      <c r="BCD61" s="608"/>
      <c r="BCE61" s="608"/>
      <c r="BCF61" s="608"/>
      <c r="BCG61" s="608"/>
      <c r="BCH61" s="608"/>
      <c r="BCI61" s="608"/>
      <c r="BCJ61" s="608"/>
      <c r="BCK61" s="608"/>
      <c r="BCL61" s="608"/>
      <c r="BCM61" s="608"/>
      <c r="BCN61" s="608"/>
      <c r="BCO61" s="608"/>
      <c r="BCP61" s="608"/>
      <c r="BCQ61" s="608"/>
      <c r="BCR61" s="608"/>
      <c r="BCS61" s="608"/>
      <c r="BCT61" s="608"/>
      <c r="BCU61" s="608"/>
      <c r="BCV61" s="608"/>
      <c r="BCW61" s="608"/>
      <c r="BCX61" s="608"/>
      <c r="BCY61" s="608"/>
      <c r="BCZ61" s="608"/>
      <c r="BDA61" s="608"/>
      <c r="BDB61" s="608"/>
      <c r="BDC61" s="608"/>
      <c r="BDD61" s="608"/>
      <c r="BDE61" s="608"/>
      <c r="BDF61" s="608"/>
      <c r="BDG61" s="608"/>
      <c r="BDH61" s="608"/>
      <c r="BDI61" s="608"/>
      <c r="BDJ61" s="608"/>
      <c r="BDK61" s="608"/>
      <c r="BDL61" s="608"/>
      <c r="BDM61" s="608"/>
      <c r="BDN61" s="608"/>
      <c r="BDO61" s="608"/>
      <c r="BDP61" s="608"/>
      <c r="BDQ61" s="608"/>
      <c r="BDR61" s="608"/>
      <c r="BDS61" s="608"/>
      <c r="BDT61" s="608"/>
      <c r="BDU61" s="608"/>
      <c r="BDV61" s="608"/>
      <c r="BDW61" s="608"/>
      <c r="BDX61" s="608"/>
      <c r="BDY61" s="608"/>
      <c r="BDZ61" s="608"/>
      <c r="BEA61" s="608"/>
      <c r="BEB61" s="608"/>
      <c r="BEC61" s="608"/>
      <c r="BED61" s="608"/>
      <c r="BEE61" s="608"/>
      <c r="BEF61" s="608"/>
      <c r="BEG61" s="608"/>
      <c r="BEH61" s="608"/>
      <c r="BEI61" s="608"/>
      <c r="BEJ61" s="608"/>
      <c r="BEK61" s="608"/>
      <c r="BEL61" s="608"/>
      <c r="BEM61" s="608"/>
      <c r="BEN61" s="608"/>
      <c r="BEO61" s="608"/>
      <c r="BEP61" s="608"/>
      <c r="BEQ61" s="608"/>
      <c r="BER61" s="608"/>
      <c r="BES61" s="608"/>
      <c r="BET61" s="608"/>
      <c r="BEU61" s="608"/>
      <c r="BEV61" s="608"/>
      <c r="BEW61" s="608"/>
      <c r="BEX61" s="608"/>
      <c r="BEY61" s="608"/>
      <c r="BEZ61" s="608"/>
      <c r="BFA61" s="608"/>
      <c r="BFB61" s="608"/>
      <c r="BFC61" s="608"/>
      <c r="BFD61" s="608"/>
      <c r="BFE61" s="608"/>
      <c r="BFF61" s="608"/>
      <c r="BFG61" s="608"/>
      <c r="BFH61" s="608"/>
      <c r="BFI61" s="608"/>
      <c r="BFJ61" s="608"/>
      <c r="BFK61" s="608"/>
      <c r="BFL61" s="608"/>
      <c r="BFM61" s="608"/>
      <c r="BFN61" s="608"/>
      <c r="BFO61" s="608"/>
      <c r="BFP61" s="608"/>
      <c r="BFQ61" s="608"/>
      <c r="BFR61" s="608"/>
      <c r="BFS61" s="608"/>
      <c r="BFT61" s="608"/>
      <c r="BFU61" s="608"/>
      <c r="BFV61" s="608"/>
      <c r="BFW61" s="608"/>
      <c r="BFX61" s="608"/>
      <c r="BFY61" s="608"/>
      <c r="BFZ61" s="608"/>
      <c r="BGA61" s="608"/>
      <c r="BGB61" s="608"/>
      <c r="BGC61" s="608"/>
      <c r="BGD61" s="608"/>
      <c r="BGE61" s="608"/>
      <c r="BGF61" s="608"/>
      <c r="BGG61" s="608"/>
      <c r="BGH61" s="608"/>
      <c r="BGI61" s="608"/>
      <c r="BGJ61" s="608"/>
      <c r="BGK61" s="608"/>
      <c r="BGL61" s="608"/>
      <c r="BGM61" s="608"/>
      <c r="BGN61" s="608"/>
      <c r="BGO61" s="608"/>
      <c r="BGP61" s="608"/>
      <c r="BGQ61" s="608"/>
      <c r="BGR61" s="608"/>
      <c r="BGS61" s="608"/>
      <c r="BGT61" s="608"/>
      <c r="BGU61" s="608"/>
      <c r="BGV61" s="608"/>
      <c r="BGW61" s="608"/>
      <c r="BGX61" s="608"/>
      <c r="BGY61" s="608"/>
      <c r="BGZ61" s="608"/>
      <c r="BHA61" s="608"/>
      <c r="BHB61" s="608"/>
      <c r="BHC61" s="608"/>
      <c r="BHD61" s="608"/>
      <c r="BHE61" s="608"/>
      <c r="BHF61" s="608"/>
      <c r="BHG61" s="608"/>
      <c r="BHH61" s="608"/>
      <c r="BHI61" s="608"/>
      <c r="BHJ61" s="608"/>
      <c r="BHK61" s="608"/>
      <c r="BHL61" s="608"/>
      <c r="BHM61" s="608"/>
      <c r="BHN61" s="608"/>
      <c r="BHO61" s="608"/>
      <c r="BHP61" s="608"/>
      <c r="BHQ61" s="608"/>
      <c r="BHR61" s="608"/>
      <c r="BHS61" s="608"/>
      <c r="BHT61" s="608"/>
      <c r="BHU61" s="608"/>
      <c r="BHV61" s="608"/>
      <c r="BHW61" s="608"/>
      <c r="BHX61" s="608"/>
      <c r="BHY61" s="608"/>
      <c r="BHZ61" s="608"/>
      <c r="BIA61" s="608"/>
      <c r="BIB61" s="608"/>
      <c r="BIC61" s="608"/>
      <c r="BID61" s="608"/>
      <c r="BIE61" s="608"/>
      <c r="BIF61" s="608"/>
      <c r="BIG61" s="608"/>
      <c r="BIH61" s="608"/>
      <c r="BII61" s="608"/>
      <c r="BIJ61" s="608"/>
      <c r="BIK61" s="608"/>
      <c r="BIL61" s="608"/>
      <c r="BIM61" s="608"/>
      <c r="BIN61" s="608"/>
      <c r="BIO61" s="608"/>
      <c r="BIP61" s="608"/>
      <c r="BIQ61" s="608"/>
      <c r="BIR61" s="608"/>
      <c r="BIS61" s="608"/>
      <c r="BIT61" s="608"/>
      <c r="BIU61" s="608"/>
      <c r="BIV61" s="608"/>
      <c r="BIW61" s="608"/>
      <c r="BIX61" s="608"/>
      <c r="BIY61" s="608"/>
      <c r="BIZ61" s="608"/>
      <c r="BJA61" s="608"/>
      <c r="BJB61" s="608"/>
      <c r="BJC61" s="608"/>
      <c r="BJD61" s="608"/>
      <c r="BJE61" s="608"/>
      <c r="BJF61" s="608"/>
      <c r="BJG61" s="608"/>
      <c r="BJH61" s="608"/>
      <c r="BJI61" s="608"/>
      <c r="BJJ61" s="608"/>
      <c r="BJK61" s="608"/>
      <c r="BJL61" s="608"/>
      <c r="BJM61" s="608"/>
      <c r="BJN61" s="608"/>
      <c r="BJO61" s="608"/>
      <c r="BJP61" s="608"/>
      <c r="BJQ61" s="608"/>
      <c r="BJR61" s="608"/>
      <c r="BJS61" s="608"/>
      <c r="BJT61" s="608"/>
      <c r="BJU61" s="608"/>
      <c r="BJV61" s="608"/>
      <c r="BJW61" s="608"/>
      <c r="BJX61" s="608"/>
      <c r="BJY61" s="608"/>
      <c r="BJZ61" s="608"/>
      <c r="BKA61" s="608"/>
      <c r="BKB61" s="608"/>
      <c r="BKC61" s="608"/>
      <c r="BKD61" s="608"/>
      <c r="BKE61" s="608"/>
      <c r="BKF61" s="608"/>
      <c r="BKG61" s="608"/>
      <c r="BKH61" s="608"/>
      <c r="BKI61" s="608"/>
      <c r="BKJ61" s="608"/>
      <c r="BKK61" s="608"/>
      <c r="BKL61" s="608"/>
      <c r="BKM61" s="608"/>
      <c r="BKN61" s="608"/>
      <c r="BKO61" s="608"/>
      <c r="BKP61" s="608"/>
      <c r="BKQ61" s="608"/>
      <c r="BKR61" s="608"/>
      <c r="BKS61" s="608"/>
      <c r="BKT61" s="608"/>
      <c r="BKU61" s="608"/>
      <c r="BKV61" s="608"/>
      <c r="BKW61" s="608"/>
      <c r="BKX61" s="608"/>
      <c r="BKY61" s="608"/>
      <c r="BKZ61" s="608"/>
      <c r="BLA61" s="608"/>
      <c r="BLB61" s="608"/>
      <c r="BLC61" s="608"/>
      <c r="BLD61" s="608"/>
      <c r="BLE61" s="608"/>
      <c r="BLF61" s="608"/>
      <c r="BLG61" s="608"/>
      <c r="BLH61" s="608"/>
      <c r="BLI61" s="608"/>
      <c r="BLJ61" s="608"/>
      <c r="BLK61" s="608"/>
      <c r="BLL61" s="608"/>
      <c r="BLM61" s="608"/>
      <c r="BLN61" s="608"/>
      <c r="BLO61" s="608"/>
      <c r="BLP61" s="608"/>
      <c r="BLQ61" s="608"/>
      <c r="BLR61" s="608"/>
      <c r="BLS61" s="608"/>
      <c r="BLT61" s="608"/>
      <c r="BLU61" s="608"/>
      <c r="BLV61" s="608"/>
      <c r="BLW61" s="608"/>
      <c r="BLX61" s="608"/>
      <c r="BLY61" s="608"/>
      <c r="BLZ61" s="608"/>
      <c r="BMA61" s="608"/>
      <c r="BMB61" s="608"/>
      <c r="BMC61" s="608"/>
      <c r="BMD61" s="608"/>
      <c r="BME61" s="608"/>
      <c r="BMF61" s="608"/>
      <c r="BMG61" s="608"/>
      <c r="BMH61" s="608"/>
      <c r="BMI61" s="608"/>
      <c r="BMJ61" s="608"/>
      <c r="BMK61" s="608"/>
      <c r="BML61" s="608"/>
      <c r="BMM61" s="608"/>
      <c r="BMN61" s="608"/>
      <c r="BMO61" s="608"/>
      <c r="BMP61" s="608"/>
      <c r="BMQ61" s="608"/>
      <c r="BMR61" s="608"/>
      <c r="BMS61" s="608"/>
      <c r="BMT61" s="608"/>
      <c r="BMU61" s="608"/>
      <c r="BMV61" s="608"/>
      <c r="BMW61" s="608"/>
      <c r="BMX61" s="608"/>
      <c r="BMY61" s="608"/>
      <c r="BMZ61" s="608"/>
      <c r="BNA61" s="608"/>
      <c r="BNB61" s="608"/>
      <c r="BNC61" s="608"/>
      <c r="BND61" s="608"/>
      <c r="BNE61" s="608"/>
      <c r="BNF61" s="608"/>
      <c r="BNG61" s="608"/>
      <c r="BNH61" s="608"/>
      <c r="BNI61" s="608"/>
      <c r="BNJ61" s="608"/>
      <c r="BNK61" s="608"/>
      <c r="BNL61" s="608"/>
      <c r="BNM61" s="608"/>
      <c r="BNN61" s="608"/>
      <c r="BNO61" s="608"/>
      <c r="BNP61" s="608"/>
      <c r="BNQ61" s="608"/>
      <c r="BNR61" s="608"/>
      <c r="BNS61" s="608"/>
      <c r="BNT61" s="608"/>
      <c r="BNU61" s="608"/>
      <c r="BNV61" s="608"/>
      <c r="BNW61" s="608"/>
      <c r="BNX61" s="608"/>
      <c r="BNY61" s="608"/>
      <c r="BNZ61" s="608"/>
      <c r="BOA61" s="608"/>
      <c r="BOB61" s="608"/>
      <c r="BOC61" s="608"/>
      <c r="BOD61" s="608"/>
      <c r="BOE61" s="608"/>
      <c r="BOF61" s="608"/>
      <c r="BOG61" s="608"/>
      <c r="BOH61" s="608"/>
      <c r="BOI61" s="608"/>
      <c r="BOJ61" s="608"/>
      <c r="BOK61" s="608"/>
      <c r="BOL61" s="608"/>
      <c r="BOM61" s="608"/>
      <c r="BON61" s="608"/>
      <c r="BOO61" s="608"/>
      <c r="BOP61" s="608"/>
      <c r="BOQ61" s="608"/>
      <c r="BOR61" s="608"/>
      <c r="BOS61" s="608"/>
      <c r="BOT61" s="608"/>
      <c r="BOU61" s="608"/>
      <c r="BOV61" s="608"/>
      <c r="BOW61" s="608"/>
      <c r="BOX61" s="608"/>
      <c r="BOY61" s="608"/>
      <c r="BOZ61" s="608"/>
      <c r="BPA61" s="608"/>
      <c r="BPB61" s="608"/>
      <c r="BPC61" s="608"/>
      <c r="BPD61" s="608"/>
      <c r="BPE61" s="608"/>
      <c r="BPF61" s="608"/>
      <c r="BPG61" s="608"/>
      <c r="BPH61" s="608"/>
      <c r="BPI61" s="608"/>
      <c r="BPJ61" s="608"/>
      <c r="BPK61" s="608"/>
      <c r="BPL61" s="608"/>
      <c r="BPM61" s="608"/>
      <c r="BPN61" s="608"/>
      <c r="BPO61" s="608"/>
      <c r="BPP61" s="608"/>
      <c r="BPQ61" s="608"/>
      <c r="BPR61" s="608"/>
      <c r="BPS61" s="608"/>
      <c r="BPT61" s="608"/>
      <c r="BPU61" s="608"/>
      <c r="BPV61" s="608"/>
      <c r="BPW61" s="608"/>
      <c r="BPX61" s="608"/>
      <c r="BPY61" s="608"/>
      <c r="BPZ61" s="608"/>
      <c r="BQA61" s="608"/>
      <c r="BQB61" s="608"/>
      <c r="BQC61" s="608"/>
      <c r="BQD61" s="608"/>
      <c r="BQE61" s="608"/>
      <c r="BQF61" s="608"/>
      <c r="BQG61" s="608"/>
      <c r="BQH61" s="608"/>
      <c r="BQI61" s="608"/>
      <c r="BQJ61" s="608"/>
      <c r="BQK61" s="608"/>
      <c r="BQL61" s="608"/>
      <c r="BQM61" s="608"/>
      <c r="BQN61" s="608"/>
      <c r="BQO61" s="608"/>
      <c r="BQP61" s="608"/>
      <c r="BQQ61" s="608"/>
      <c r="BQR61" s="608"/>
      <c r="BQS61" s="608"/>
      <c r="BQT61" s="608"/>
      <c r="BQU61" s="608"/>
      <c r="BQV61" s="608"/>
      <c r="BQW61" s="608"/>
      <c r="BQX61" s="608"/>
      <c r="BQY61" s="608"/>
      <c r="BQZ61" s="608"/>
      <c r="BRA61" s="608"/>
      <c r="BRB61" s="608"/>
      <c r="BRC61" s="608"/>
      <c r="BRD61" s="608"/>
      <c r="BRE61" s="608"/>
      <c r="BRF61" s="608"/>
      <c r="BRG61" s="608"/>
      <c r="BRH61" s="608"/>
      <c r="BRI61" s="608"/>
      <c r="BRJ61" s="608"/>
      <c r="BRK61" s="608"/>
      <c r="BRL61" s="608"/>
      <c r="BRM61" s="608"/>
      <c r="BRN61" s="608"/>
      <c r="BRO61" s="608"/>
      <c r="BRP61" s="608"/>
      <c r="BRQ61" s="608"/>
      <c r="BRR61" s="608"/>
      <c r="BRS61" s="608"/>
      <c r="BRT61" s="608"/>
      <c r="BRU61" s="608"/>
      <c r="BRV61" s="608"/>
      <c r="BRW61" s="608"/>
      <c r="BRX61" s="608"/>
      <c r="BRY61" s="608"/>
      <c r="BRZ61" s="608"/>
      <c r="BSA61" s="608"/>
      <c r="BSB61" s="608"/>
      <c r="BSC61" s="608"/>
      <c r="BSD61" s="608"/>
      <c r="BSE61" s="608"/>
      <c r="BSF61" s="608"/>
      <c r="BSG61" s="608"/>
      <c r="BSH61" s="608"/>
      <c r="BSI61" s="608"/>
      <c r="BSJ61" s="608"/>
      <c r="BSK61" s="608"/>
      <c r="BSL61" s="608"/>
      <c r="BSM61" s="608"/>
      <c r="BSN61" s="608"/>
      <c r="BSO61" s="608"/>
      <c r="BSP61" s="608"/>
      <c r="BSQ61" s="608"/>
      <c r="BSR61" s="608"/>
      <c r="BSS61" s="608"/>
      <c r="BST61" s="608"/>
      <c r="BSU61" s="608"/>
      <c r="BSV61" s="608"/>
      <c r="BSW61" s="608"/>
      <c r="BSX61" s="608"/>
      <c r="BSY61" s="608"/>
      <c r="BSZ61" s="608"/>
      <c r="BTA61" s="608"/>
      <c r="BTB61" s="608"/>
      <c r="BTC61" s="608"/>
      <c r="BTD61" s="608"/>
      <c r="BTE61" s="608"/>
      <c r="BTF61" s="608"/>
      <c r="BTG61" s="608"/>
      <c r="BTH61" s="608"/>
      <c r="BTI61" s="608"/>
      <c r="BTJ61" s="608"/>
      <c r="BTK61" s="608"/>
      <c r="BTL61" s="608"/>
      <c r="BTM61" s="608"/>
      <c r="BTN61" s="608"/>
      <c r="BTO61" s="608"/>
      <c r="BTP61" s="608"/>
      <c r="BTQ61" s="608"/>
      <c r="BTR61" s="608"/>
      <c r="BTS61" s="608"/>
      <c r="BTT61" s="608"/>
      <c r="BTU61" s="608"/>
      <c r="BTV61" s="608"/>
      <c r="BTW61" s="608"/>
      <c r="BTX61" s="608"/>
      <c r="BTY61" s="608"/>
      <c r="BTZ61" s="608"/>
      <c r="BUA61" s="608"/>
      <c r="BUB61" s="608"/>
      <c r="BUC61" s="608"/>
      <c r="BUD61" s="608"/>
      <c r="BUE61" s="608"/>
      <c r="BUF61" s="608"/>
      <c r="BUG61" s="608"/>
      <c r="BUH61" s="608"/>
      <c r="BUI61" s="608"/>
      <c r="BUJ61" s="608"/>
      <c r="BUK61" s="608"/>
      <c r="BUL61" s="608"/>
      <c r="BUM61" s="608"/>
      <c r="BUN61" s="608"/>
      <c r="BUO61" s="608"/>
      <c r="BUP61" s="608"/>
      <c r="BUQ61" s="608"/>
      <c r="BUR61" s="608"/>
      <c r="BUS61" s="608"/>
      <c r="BUT61" s="608"/>
      <c r="BUU61" s="608"/>
      <c r="BUV61" s="608"/>
      <c r="BUW61" s="608"/>
      <c r="BUX61" s="608"/>
      <c r="BUY61" s="608"/>
      <c r="BUZ61" s="608"/>
      <c r="BVA61" s="608"/>
      <c r="BVB61" s="608"/>
      <c r="BVC61" s="608"/>
      <c r="BVD61" s="608"/>
      <c r="BVE61" s="608"/>
      <c r="BVF61" s="608"/>
      <c r="BVG61" s="608"/>
      <c r="BVH61" s="608"/>
      <c r="BVI61" s="608"/>
      <c r="BVJ61" s="608"/>
      <c r="BVK61" s="608"/>
      <c r="BVL61" s="608"/>
      <c r="BVM61" s="608"/>
      <c r="BVN61" s="608"/>
      <c r="BVO61" s="608"/>
      <c r="BVP61" s="608"/>
      <c r="BVQ61" s="608"/>
      <c r="BVR61" s="608"/>
      <c r="BVS61" s="608"/>
      <c r="BVT61" s="608"/>
      <c r="BVU61" s="608"/>
      <c r="BVV61" s="608"/>
      <c r="BVW61" s="608"/>
      <c r="BVX61" s="608"/>
      <c r="BVY61" s="608"/>
      <c r="BVZ61" s="608"/>
      <c r="BWA61" s="608"/>
      <c r="BWB61" s="608"/>
      <c r="BWC61" s="608"/>
      <c r="BWD61" s="608"/>
      <c r="BWE61" s="608"/>
      <c r="BWF61" s="608"/>
      <c r="BWG61" s="608"/>
      <c r="BWH61" s="608"/>
      <c r="BWI61" s="608"/>
      <c r="BWJ61" s="608"/>
      <c r="BWK61" s="608"/>
      <c r="BWL61" s="608"/>
      <c r="BWM61" s="608"/>
      <c r="BWN61" s="608"/>
      <c r="BWO61" s="608"/>
      <c r="BWP61" s="608"/>
      <c r="BWQ61" s="608"/>
      <c r="BWR61" s="608"/>
      <c r="BWS61" s="608"/>
      <c r="BWT61" s="608"/>
      <c r="BWU61" s="608"/>
      <c r="BWV61" s="608"/>
      <c r="BWW61" s="608"/>
      <c r="BWX61" s="608"/>
      <c r="BWY61" s="608"/>
      <c r="BWZ61" s="608"/>
      <c r="BXA61" s="608"/>
      <c r="BXB61" s="608"/>
      <c r="BXC61" s="608"/>
      <c r="BXD61" s="608"/>
      <c r="BXE61" s="608"/>
      <c r="BXF61" s="608"/>
      <c r="BXG61" s="608"/>
      <c r="BXH61" s="608"/>
      <c r="BXI61" s="608"/>
      <c r="BXJ61" s="608"/>
      <c r="BXK61" s="608"/>
      <c r="BXL61" s="608"/>
      <c r="BXM61" s="608"/>
      <c r="BXN61" s="608"/>
      <c r="BXO61" s="608"/>
      <c r="BXP61" s="608"/>
      <c r="BXQ61" s="608"/>
      <c r="BXR61" s="608"/>
      <c r="BXS61" s="608"/>
      <c r="BXT61" s="608"/>
      <c r="BXU61" s="608"/>
      <c r="BXV61" s="608"/>
      <c r="BXW61" s="608"/>
      <c r="BXX61" s="608"/>
      <c r="BXY61" s="608"/>
      <c r="BXZ61" s="608"/>
      <c r="BYA61" s="608"/>
      <c r="BYB61" s="608"/>
      <c r="BYC61" s="608"/>
      <c r="BYD61" s="608"/>
      <c r="BYE61" s="608"/>
      <c r="BYF61" s="608"/>
      <c r="BYG61" s="608"/>
      <c r="BYH61" s="608"/>
      <c r="BYI61" s="608"/>
      <c r="BYJ61" s="608"/>
      <c r="BYK61" s="608"/>
      <c r="BYL61" s="608"/>
      <c r="BYM61" s="608"/>
      <c r="BYN61" s="608"/>
      <c r="BYO61" s="608"/>
      <c r="BYP61" s="608"/>
      <c r="BYQ61" s="608"/>
      <c r="BYR61" s="608"/>
      <c r="BYS61" s="608"/>
      <c r="BYT61" s="608"/>
      <c r="BYU61" s="608"/>
      <c r="BYV61" s="608"/>
      <c r="BYW61" s="608"/>
      <c r="BYX61" s="608"/>
      <c r="BYY61" s="608"/>
      <c r="BYZ61" s="608"/>
      <c r="BZA61" s="608"/>
      <c r="BZB61" s="608"/>
      <c r="BZC61" s="608"/>
      <c r="BZD61" s="608"/>
      <c r="BZE61" s="608"/>
      <c r="BZF61" s="608"/>
      <c r="BZG61" s="608"/>
      <c r="BZH61" s="608"/>
      <c r="BZI61" s="608"/>
      <c r="BZJ61" s="608"/>
      <c r="BZK61" s="608"/>
      <c r="BZL61" s="608"/>
      <c r="BZM61" s="608"/>
      <c r="BZN61" s="608"/>
      <c r="BZO61" s="608"/>
      <c r="BZP61" s="608"/>
      <c r="BZQ61" s="608"/>
      <c r="BZR61" s="608"/>
      <c r="BZS61" s="608"/>
      <c r="BZT61" s="608"/>
      <c r="BZU61" s="608"/>
      <c r="BZV61" s="608"/>
      <c r="BZW61" s="608"/>
      <c r="BZX61" s="608"/>
      <c r="BZY61" s="608"/>
      <c r="BZZ61" s="608"/>
      <c r="CAA61" s="608"/>
      <c r="CAB61" s="608"/>
      <c r="CAC61" s="608"/>
      <c r="CAD61" s="608"/>
      <c r="CAE61" s="608"/>
      <c r="CAF61" s="608"/>
      <c r="CAG61" s="608"/>
      <c r="CAH61" s="608"/>
      <c r="CAI61" s="608"/>
      <c r="CAJ61" s="608"/>
      <c r="CAK61" s="608"/>
      <c r="CAL61" s="608"/>
      <c r="CAM61" s="608"/>
      <c r="CAN61" s="608"/>
      <c r="CAO61" s="608"/>
      <c r="CAP61" s="608"/>
      <c r="CAQ61" s="608"/>
      <c r="CAR61" s="608"/>
      <c r="CAS61" s="608"/>
      <c r="CAT61" s="608"/>
      <c r="CAU61" s="608"/>
      <c r="CAV61" s="608"/>
      <c r="CAW61" s="608"/>
      <c r="CAX61" s="608"/>
      <c r="CAY61" s="608"/>
      <c r="CAZ61" s="608"/>
      <c r="CBA61" s="608"/>
      <c r="CBB61" s="608"/>
      <c r="CBC61" s="608"/>
      <c r="CBD61" s="608"/>
      <c r="CBE61" s="608"/>
      <c r="CBF61" s="608"/>
      <c r="CBG61" s="608"/>
      <c r="CBH61" s="608"/>
      <c r="CBI61" s="608"/>
      <c r="CBJ61" s="608"/>
      <c r="CBK61" s="608"/>
      <c r="CBL61" s="608"/>
      <c r="CBM61" s="608"/>
      <c r="CBN61" s="608"/>
      <c r="CBO61" s="608"/>
      <c r="CBP61" s="608"/>
      <c r="CBQ61" s="608"/>
      <c r="CBR61" s="608"/>
      <c r="CBS61" s="608"/>
      <c r="CBT61" s="608"/>
      <c r="CBU61" s="608"/>
      <c r="CBV61" s="608"/>
      <c r="CBW61" s="608"/>
      <c r="CBX61" s="608"/>
      <c r="CBY61" s="608"/>
      <c r="CBZ61" s="608"/>
      <c r="CCA61" s="608"/>
      <c r="CCB61" s="608"/>
      <c r="CCC61" s="608"/>
      <c r="CCD61" s="608"/>
      <c r="CCE61" s="608"/>
      <c r="CCF61" s="608"/>
      <c r="CCG61" s="608"/>
      <c r="CCH61" s="608"/>
      <c r="CCI61" s="608"/>
      <c r="CCJ61" s="608"/>
      <c r="CCK61" s="608"/>
      <c r="CCL61" s="608"/>
      <c r="CCM61" s="608"/>
      <c r="CCN61" s="608"/>
      <c r="CCO61" s="608"/>
      <c r="CCP61" s="608"/>
      <c r="CCQ61" s="608"/>
      <c r="CCR61" s="608"/>
      <c r="CCS61" s="608"/>
      <c r="CCT61" s="608"/>
      <c r="CCU61" s="608"/>
      <c r="CCV61" s="608"/>
      <c r="CCW61" s="608"/>
      <c r="CCX61" s="608"/>
      <c r="CCY61" s="608"/>
      <c r="CCZ61" s="608"/>
      <c r="CDA61" s="608"/>
      <c r="CDB61" s="608"/>
      <c r="CDC61" s="608"/>
      <c r="CDD61" s="608"/>
      <c r="CDE61" s="608"/>
      <c r="CDF61" s="608"/>
      <c r="CDG61" s="608"/>
      <c r="CDH61" s="608"/>
      <c r="CDI61" s="608"/>
      <c r="CDJ61" s="608"/>
      <c r="CDK61" s="608"/>
      <c r="CDL61" s="608"/>
      <c r="CDM61" s="608"/>
      <c r="CDN61" s="608"/>
      <c r="CDO61" s="608"/>
      <c r="CDP61" s="608"/>
      <c r="CDQ61" s="608"/>
      <c r="CDR61" s="608"/>
      <c r="CDS61" s="608"/>
      <c r="CDT61" s="608"/>
      <c r="CDU61" s="608"/>
      <c r="CDV61" s="608"/>
      <c r="CDW61" s="608"/>
      <c r="CDX61" s="608"/>
      <c r="CDY61" s="608"/>
      <c r="CDZ61" s="608"/>
      <c r="CEA61" s="608"/>
      <c r="CEB61" s="608"/>
      <c r="CEC61" s="608"/>
      <c r="CED61" s="608"/>
      <c r="CEE61" s="608"/>
      <c r="CEF61" s="608"/>
      <c r="CEG61" s="608"/>
      <c r="CEH61" s="608"/>
      <c r="CEI61" s="608"/>
      <c r="CEJ61" s="608"/>
      <c r="CEK61" s="608"/>
      <c r="CEL61" s="608"/>
      <c r="CEM61" s="608"/>
      <c r="CEN61" s="608"/>
      <c r="CEO61" s="608"/>
      <c r="CEP61" s="608"/>
      <c r="CEQ61" s="608"/>
      <c r="CER61" s="608"/>
      <c r="CES61" s="608"/>
      <c r="CET61" s="608"/>
      <c r="CEU61" s="608"/>
      <c r="CEV61" s="608"/>
      <c r="CEW61" s="608"/>
      <c r="CEX61" s="608"/>
      <c r="CEY61" s="608"/>
      <c r="CEZ61" s="608"/>
      <c r="CFA61" s="608"/>
      <c r="CFB61" s="608"/>
      <c r="CFC61" s="608"/>
      <c r="CFD61" s="608"/>
      <c r="CFE61" s="608"/>
      <c r="CFF61" s="608"/>
      <c r="CFG61" s="608"/>
      <c r="CFH61" s="608"/>
      <c r="CFI61" s="608"/>
      <c r="CFJ61" s="608"/>
      <c r="CFK61" s="608"/>
      <c r="CFL61" s="608"/>
      <c r="CFM61" s="608"/>
      <c r="CFN61" s="608"/>
      <c r="CFO61" s="608"/>
      <c r="CFP61" s="608"/>
      <c r="CFQ61" s="608"/>
      <c r="CFR61" s="608"/>
      <c r="CFS61" s="608"/>
      <c r="CFT61" s="608"/>
      <c r="CFU61" s="608"/>
      <c r="CFV61" s="608"/>
      <c r="CFW61" s="608"/>
      <c r="CFX61" s="608"/>
      <c r="CFY61" s="608"/>
      <c r="CFZ61" s="608"/>
      <c r="CGA61" s="608"/>
      <c r="CGB61" s="608"/>
      <c r="CGC61" s="608"/>
      <c r="CGD61" s="608"/>
      <c r="CGE61" s="608"/>
      <c r="CGF61" s="608"/>
      <c r="CGG61" s="608"/>
      <c r="CGH61" s="608"/>
      <c r="CGI61" s="608"/>
      <c r="CGJ61" s="608"/>
      <c r="CGK61" s="608"/>
      <c r="CGL61" s="608"/>
      <c r="CGM61" s="608"/>
      <c r="CGN61" s="608"/>
      <c r="CGO61" s="608"/>
      <c r="CGP61" s="608"/>
      <c r="CGQ61" s="608"/>
      <c r="CGR61" s="608"/>
      <c r="CGS61" s="608"/>
      <c r="CGT61" s="608"/>
      <c r="CGU61" s="608"/>
      <c r="CGV61" s="608"/>
      <c r="CGW61" s="608"/>
      <c r="CGX61" s="608"/>
      <c r="CGY61" s="608"/>
      <c r="CGZ61" s="608"/>
      <c r="CHA61" s="608"/>
      <c r="CHB61" s="608"/>
      <c r="CHC61" s="608"/>
      <c r="CHD61" s="608"/>
      <c r="CHE61" s="608"/>
      <c r="CHF61" s="608"/>
      <c r="CHG61" s="608"/>
      <c r="CHH61" s="608"/>
      <c r="CHI61" s="608"/>
      <c r="CHJ61" s="608"/>
      <c r="CHK61" s="608"/>
      <c r="CHL61" s="608"/>
      <c r="CHM61" s="608"/>
      <c r="CHN61" s="608"/>
      <c r="CHO61" s="608"/>
      <c r="CHP61" s="608"/>
      <c r="CHQ61" s="608"/>
      <c r="CHR61" s="608"/>
      <c r="CHS61" s="608"/>
      <c r="CHT61" s="608"/>
      <c r="CHU61" s="608"/>
      <c r="CHV61" s="608"/>
      <c r="CHW61" s="608"/>
      <c r="CHX61" s="608"/>
      <c r="CHY61" s="608"/>
      <c r="CHZ61" s="608"/>
      <c r="CIA61" s="608"/>
      <c r="CIB61" s="608"/>
      <c r="CIC61" s="608"/>
      <c r="CID61" s="608"/>
      <c r="CIE61" s="608"/>
      <c r="CIF61" s="608"/>
      <c r="CIG61" s="608"/>
      <c r="CIH61" s="608"/>
      <c r="CII61" s="608"/>
      <c r="CIJ61" s="608"/>
      <c r="CIK61" s="608"/>
      <c r="CIL61" s="608"/>
      <c r="CIM61" s="608"/>
      <c r="CIN61" s="608"/>
      <c r="CIO61" s="608"/>
      <c r="CIP61" s="608"/>
      <c r="CIQ61" s="608"/>
      <c r="CIR61" s="608"/>
      <c r="CIS61" s="608"/>
      <c r="CIT61" s="608"/>
      <c r="CIU61" s="608"/>
      <c r="CIV61" s="608"/>
      <c r="CIW61" s="608"/>
      <c r="CIX61" s="608"/>
      <c r="CIY61" s="608"/>
      <c r="CIZ61" s="608"/>
      <c r="CJA61" s="608"/>
      <c r="CJB61" s="608"/>
      <c r="CJC61" s="608"/>
      <c r="CJD61" s="608"/>
      <c r="CJE61" s="608"/>
      <c r="CJF61" s="608"/>
      <c r="CJG61" s="608"/>
      <c r="CJH61" s="608"/>
      <c r="CJI61" s="608"/>
      <c r="CJJ61" s="608"/>
      <c r="CJK61" s="608"/>
      <c r="CJL61" s="608"/>
      <c r="CJM61" s="608"/>
      <c r="CJN61" s="608"/>
      <c r="CJO61" s="608"/>
      <c r="CJP61" s="608"/>
      <c r="CJQ61" s="608"/>
      <c r="CJR61" s="608"/>
      <c r="CJS61" s="608"/>
      <c r="CJT61" s="608"/>
      <c r="CJU61" s="608"/>
      <c r="CJV61" s="608"/>
      <c r="CJW61" s="608"/>
      <c r="CJX61" s="608"/>
      <c r="CJY61" s="608"/>
      <c r="CJZ61" s="608"/>
      <c r="CKA61" s="608"/>
      <c r="CKB61" s="608"/>
      <c r="CKC61" s="608"/>
      <c r="CKD61" s="608"/>
      <c r="CKE61" s="608"/>
      <c r="CKF61" s="608"/>
      <c r="CKG61" s="608"/>
      <c r="CKH61" s="608"/>
      <c r="CKI61" s="608"/>
      <c r="CKJ61" s="608"/>
      <c r="CKK61" s="608"/>
      <c r="CKL61" s="608"/>
      <c r="CKM61" s="608"/>
      <c r="CKN61" s="608"/>
      <c r="CKO61" s="608"/>
      <c r="CKP61" s="608"/>
      <c r="CKQ61" s="608"/>
      <c r="CKR61" s="608"/>
      <c r="CKS61" s="608"/>
      <c r="CKT61" s="608"/>
      <c r="CKU61" s="608"/>
      <c r="CKV61" s="608"/>
      <c r="CKW61" s="608"/>
      <c r="CKX61" s="608"/>
      <c r="CKY61" s="608"/>
      <c r="CKZ61" s="608"/>
      <c r="CLA61" s="608"/>
      <c r="CLB61" s="608"/>
      <c r="CLC61" s="608"/>
      <c r="CLD61" s="608"/>
      <c r="CLE61" s="608"/>
      <c r="CLF61" s="608"/>
      <c r="CLG61" s="608"/>
      <c r="CLH61" s="608"/>
      <c r="CLI61" s="608"/>
      <c r="CLJ61" s="608"/>
      <c r="CLK61" s="608"/>
      <c r="CLL61" s="608"/>
      <c r="CLM61" s="608"/>
      <c r="CLN61" s="608"/>
      <c r="CLO61" s="608"/>
      <c r="CLP61" s="608"/>
      <c r="CLQ61" s="608"/>
      <c r="CLR61" s="608"/>
      <c r="CLS61" s="608"/>
      <c r="CLT61" s="608"/>
      <c r="CLU61" s="608"/>
      <c r="CLV61" s="608"/>
      <c r="CLW61" s="608"/>
      <c r="CLX61" s="608"/>
      <c r="CLY61" s="608"/>
      <c r="CLZ61" s="608"/>
      <c r="CMA61" s="608"/>
      <c r="CMB61" s="608"/>
      <c r="CMC61" s="608"/>
      <c r="CMD61" s="608"/>
      <c r="CME61" s="608"/>
      <c r="CMF61" s="608"/>
      <c r="CMG61" s="608"/>
      <c r="CMH61" s="608"/>
      <c r="CMI61" s="608"/>
      <c r="CMJ61" s="608"/>
      <c r="CMK61" s="608"/>
      <c r="CML61" s="608"/>
      <c r="CMM61" s="608"/>
      <c r="CMN61" s="608"/>
      <c r="CMO61" s="608"/>
      <c r="CMP61" s="608"/>
      <c r="CMQ61" s="608"/>
      <c r="CMR61" s="608"/>
      <c r="CMS61" s="608"/>
      <c r="CMT61" s="608"/>
      <c r="CMU61" s="608"/>
      <c r="CMV61" s="608"/>
      <c r="CMW61" s="608"/>
      <c r="CMX61" s="608"/>
      <c r="CMY61" s="608"/>
      <c r="CMZ61" s="608"/>
      <c r="CNA61" s="608"/>
      <c r="CNB61" s="608"/>
      <c r="CNC61" s="608"/>
      <c r="CND61" s="608"/>
      <c r="CNE61" s="608"/>
      <c r="CNF61" s="608"/>
      <c r="CNG61" s="608"/>
      <c r="CNH61" s="608"/>
      <c r="CNI61" s="608"/>
      <c r="CNJ61" s="608"/>
      <c r="CNK61" s="608"/>
      <c r="CNL61" s="608"/>
      <c r="CNM61" s="608"/>
      <c r="CNN61" s="608"/>
      <c r="CNO61" s="608"/>
      <c r="CNP61" s="608"/>
      <c r="CNQ61" s="608"/>
      <c r="CNR61" s="608"/>
      <c r="CNS61" s="608"/>
      <c r="CNT61" s="608"/>
      <c r="CNU61" s="608"/>
      <c r="CNV61" s="608"/>
      <c r="CNW61" s="608"/>
      <c r="CNX61" s="608"/>
      <c r="CNY61" s="608"/>
      <c r="CNZ61" s="608"/>
      <c r="COA61" s="608"/>
      <c r="COB61" s="608"/>
      <c r="COC61" s="608"/>
      <c r="COD61" s="608"/>
      <c r="COE61" s="608"/>
      <c r="COF61" s="608"/>
      <c r="COG61" s="608"/>
      <c r="COH61" s="608"/>
      <c r="COI61" s="608"/>
      <c r="COJ61" s="608"/>
      <c r="COK61" s="608"/>
      <c r="COL61" s="608"/>
      <c r="COM61" s="608"/>
      <c r="CON61" s="608"/>
      <c r="COO61" s="608"/>
      <c r="COP61" s="608"/>
      <c r="COQ61" s="608"/>
      <c r="COR61" s="608"/>
      <c r="COS61" s="608"/>
      <c r="COT61" s="608"/>
      <c r="COU61" s="608"/>
      <c r="COV61" s="608"/>
      <c r="COW61" s="608"/>
      <c r="COX61" s="608"/>
      <c r="COY61" s="608"/>
      <c r="COZ61" s="608"/>
      <c r="CPA61" s="608"/>
      <c r="CPB61" s="608"/>
      <c r="CPC61" s="608"/>
      <c r="CPD61" s="608"/>
      <c r="CPE61" s="608"/>
      <c r="CPF61" s="608"/>
      <c r="CPG61" s="608"/>
      <c r="CPH61" s="608"/>
      <c r="CPI61" s="608"/>
      <c r="CPJ61" s="608"/>
      <c r="CPK61" s="608"/>
      <c r="CPL61" s="608"/>
      <c r="CPM61" s="608"/>
      <c r="CPN61" s="608"/>
      <c r="CPO61" s="608"/>
      <c r="CPP61" s="608"/>
      <c r="CPQ61" s="608"/>
      <c r="CPR61" s="608"/>
      <c r="CPS61" s="608"/>
      <c r="CPT61" s="608"/>
      <c r="CPU61" s="608"/>
      <c r="CPV61" s="608"/>
      <c r="CPW61" s="608"/>
      <c r="CPX61" s="608"/>
      <c r="CPY61" s="608"/>
      <c r="CPZ61" s="608"/>
      <c r="CQA61" s="608"/>
      <c r="CQB61" s="608"/>
      <c r="CQC61" s="608"/>
      <c r="CQD61" s="608"/>
      <c r="CQE61" s="608"/>
      <c r="CQF61" s="608"/>
      <c r="CQG61" s="608"/>
      <c r="CQH61" s="608"/>
      <c r="CQI61" s="608"/>
      <c r="CQJ61" s="608"/>
      <c r="CQK61" s="608"/>
      <c r="CQL61" s="608"/>
      <c r="CQM61" s="608"/>
      <c r="CQN61" s="608"/>
      <c r="CQO61" s="608"/>
      <c r="CQP61" s="608"/>
      <c r="CQQ61" s="608"/>
      <c r="CQR61" s="608"/>
      <c r="CQS61" s="608"/>
      <c r="CQT61" s="608"/>
      <c r="CQU61" s="608"/>
      <c r="CQV61" s="608"/>
      <c r="CQW61" s="608"/>
      <c r="CQX61" s="608"/>
      <c r="CQY61" s="608"/>
      <c r="CQZ61" s="608"/>
      <c r="CRA61" s="608"/>
      <c r="CRB61" s="608"/>
      <c r="CRC61" s="608"/>
      <c r="CRD61" s="608"/>
      <c r="CRE61" s="608"/>
      <c r="CRF61" s="608"/>
      <c r="CRG61" s="608"/>
      <c r="CRH61" s="608"/>
      <c r="CRI61" s="608"/>
      <c r="CRJ61" s="608"/>
      <c r="CRK61" s="608"/>
      <c r="CRL61" s="608"/>
      <c r="CRM61" s="608"/>
      <c r="CRN61" s="608"/>
      <c r="CRO61" s="608"/>
      <c r="CRP61" s="608"/>
      <c r="CRQ61" s="608"/>
      <c r="CRR61" s="608"/>
      <c r="CRS61" s="608"/>
      <c r="CRT61" s="608"/>
      <c r="CRU61" s="608"/>
      <c r="CRV61" s="608"/>
      <c r="CRW61" s="608"/>
      <c r="CRX61" s="608"/>
      <c r="CRY61" s="608"/>
      <c r="CRZ61" s="608"/>
      <c r="CSA61" s="608"/>
      <c r="CSB61" s="608"/>
      <c r="CSC61" s="608"/>
      <c r="CSD61" s="608"/>
      <c r="CSE61" s="608"/>
      <c r="CSF61" s="608"/>
      <c r="CSG61" s="608"/>
      <c r="CSH61" s="608"/>
      <c r="CSI61" s="608"/>
      <c r="CSJ61" s="608"/>
      <c r="CSK61" s="608"/>
      <c r="CSL61" s="608"/>
      <c r="CSM61" s="608"/>
      <c r="CSN61" s="608"/>
      <c r="CSO61" s="608"/>
      <c r="CSP61" s="608"/>
      <c r="CSQ61" s="608"/>
      <c r="CSR61" s="608"/>
      <c r="CSS61" s="608"/>
      <c r="CST61" s="608"/>
      <c r="CSU61" s="608"/>
      <c r="CSV61" s="608"/>
      <c r="CSW61" s="608"/>
      <c r="CSX61" s="608"/>
      <c r="CSY61" s="608"/>
      <c r="CSZ61" s="608"/>
      <c r="CTA61" s="608"/>
      <c r="CTB61" s="608"/>
      <c r="CTC61" s="608"/>
      <c r="CTD61" s="608"/>
      <c r="CTE61" s="608"/>
      <c r="CTF61" s="608"/>
      <c r="CTG61" s="608"/>
      <c r="CTH61" s="608"/>
      <c r="CTI61" s="608"/>
      <c r="CTJ61" s="608"/>
      <c r="CTK61" s="608"/>
      <c r="CTL61" s="608"/>
      <c r="CTM61" s="608"/>
      <c r="CTN61" s="608"/>
      <c r="CTO61" s="608"/>
      <c r="CTP61" s="608"/>
      <c r="CTQ61" s="608"/>
      <c r="CTR61" s="608"/>
      <c r="CTS61" s="608"/>
      <c r="CTT61" s="608"/>
      <c r="CTU61" s="608"/>
      <c r="CTV61" s="608"/>
      <c r="CTW61" s="608"/>
      <c r="CTX61" s="608"/>
      <c r="CTY61" s="608"/>
      <c r="CTZ61" s="608"/>
      <c r="CUA61" s="608"/>
      <c r="CUB61" s="608"/>
      <c r="CUC61" s="608"/>
      <c r="CUD61" s="608"/>
      <c r="CUE61" s="608"/>
      <c r="CUF61" s="608"/>
      <c r="CUG61" s="608"/>
      <c r="CUH61" s="608"/>
      <c r="CUI61" s="608"/>
      <c r="CUJ61" s="608"/>
      <c r="CUK61" s="608"/>
      <c r="CUL61" s="608"/>
      <c r="CUM61" s="608"/>
      <c r="CUN61" s="608"/>
      <c r="CUO61" s="608"/>
      <c r="CUP61" s="608"/>
      <c r="CUQ61" s="608"/>
      <c r="CUR61" s="608"/>
      <c r="CUS61" s="608"/>
      <c r="CUT61" s="608"/>
      <c r="CUU61" s="608"/>
      <c r="CUV61" s="608"/>
      <c r="CUW61" s="608"/>
      <c r="CUX61" s="608"/>
      <c r="CUY61" s="608"/>
      <c r="CUZ61" s="608"/>
      <c r="CVA61" s="608"/>
      <c r="CVB61" s="608"/>
      <c r="CVC61" s="608"/>
      <c r="CVD61" s="608"/>
      <c r="CVE61" s="608"/>
      <c r="CVF61" s="608"/>
      <c r="CVG61" s="608"/>
      <c r="CVH61" s="608"/>
      <c r="CVI61" s="608"/>
      <c r="CVJ61" s="608"/>
      <c r="CVK61" s="608"/>
      <c r="CVL61" s="608"/>
      <c r="CVM61" s="608"/>
      <c r="CVN61" s="608"/>
      <c r="CVO61" s="608"/>
      <c r="CVP61" s="608"/>
      <c r="CVQ61" s="608"/>
      <c r="CVR61" s="608"/>
      <c r="CVS61" s="608"/>
      <c r="CVT61" s="608"/>
      <c r="CVU61" s="608"/>
      <c r="CVV61" s="608"/>
      <c r="CVW61" s="608"/>
      <c r="CVX61" s="608"/>
      <c r="CVY61" s="608"/>
      <c r="CVZ61" s="608"/>
      <c r="CWA61" s="608"/>
      <c r="CWB61" s="608"/>
      <c r="CWC61" s="608"/>
      <c r="CWD61" s="608"/>
      <c r="CWE61" s="608"/>
      <c r="CWF61" s="608"/>
      <c r="CWG61" s="608"/>
      <c r="CWH61" s="608"/>
      <c r="CWI61" s="608"/>
      <c r="CWJ61" s="608"/>
      <c r="CWK61" s="608"/>
      <c r="CWL61" s="608"/>
      <c r="CWM61" s="608"/>
      <c r="CWN61" s="608"/>
      <c r="CWO61" s="608"/>
      <c r="CWP61" s="608"/>
      <c r="CWQ61" s="608"/>
      <c r="CWR61" s="608"/>
      <c r="CWS61" s="608"/>
      <c r="CWT61" s="608"/>
      <c r="CWU61" s="608"/>
      <c r="CWV61" s="608"/>
      <c r="CWW61" s="608"/>
      <c r="CWX61" s="608"/>
      <c r="CWY61" s="608"/>
      <c r="CWZ61" s="608"/>
      <c r="CXA61" s="608"/>
      <c r="CXB61" s="608"/>
      <c r="CXC61" s="608"/>
      <c r="CXD61" s="608"/>
      <c r="CXE61" s="608"/>
      <c r="CXF61" s="608"/>
      <c r="CXG61" s="608"/>
      <c r="CXH61" s="608"/>
      <c r="CXI61" s="608"/>
      <c r="CXJ61" s="608"/>
      <c r="CXK61" s="608"/>
      <c r="CXL61" s="608"/>
      <c r="CXM61" s="608"/>
      <c r="CXN61" s="608"/>
      <c r="CXO61" s="608"/>
      <c r="CXP61" s="608"/>
      <c r="CXQ61" s="608"/>
      <c r="CXR61" s="608"/>
      <c r="CXS61" s="608"/>
      <c r="CXT61" s="608"/>
      <c r="CXU61" s="608"/>
      <c r="CXV61" s="608"/>
      <c r="CXW61" s="608"/>
      <c r="CXX61" s="608"/>
      <c r="CXY61" s="608"/>
      <c r="CXZ61" s="608"/>
      <c r="CYA61" s="608"/>
      <c r="CYB61" s="608"/>
      <c r="CYC61" s="608"/>
      <c r="CYD61" s="608"/>
      <c r="CYE61" s="608"/>
      <c r="CYF61" s="608"/>
      <c r="CYG61" s="608"/>
      <c r="CYH61" s="608"/>
      <c r="CYI61" s="608"/>
      <c r="CYJ61" s="608"/>
      <c r="CYK61" s="608"/>
      <c r="CYL61" s="608"/>
      <c r="CYM61" s="608"/>
      <c r="CYN61" s="608"/>
      <c r="CYO61" s="608"/>
      <c r="CYP61" s="608"/>
      <c r="CYQ61" s="608"/>
      <c r="CYR61" s="608"/>
      <c r="CYS61" s="608"/>
      <c r="CYT61" s="608"/>
      <c r="CYU61" s="608"/>
      <c r="CYV61" s="608"/>
      <c r="CYW61" s="608"/>
      <c r="CYX61" s="608"/>
      <c r="CYY61" s="608"/>
      <c r="CYZ61" s="608"/>
      <c r="CZA61" s="608"/>
      <c r="CZB61" s="608"/>
      <c r="CZC61" s="608"/>
      <c r="CZD61" s="608"/>
      <c r="CZE61" s="608"/>
      <c r="CZF61" s="608"/>
      <c r="CZG61" s="608"/>
      <c r="CZH61" s="608"/>
      <c r="CZI61" s="608"/>
      <c r="CZJ61" s="608"/>
      <c r="CZK61" s="608"/>
      <c r="CZL61" s="608"/>
      <c r="CZM61" s="608"/>
      <c r="CZN61" s="608"/>
      <c r="CZO61" s="608"/>
      <c r="CZP61" s="608"/>
      <c r="CZQ61" s="608"/>
      <c r="CZR61" s="608"/>
      <c r="CZS61" s="608"/>
      <c r="CZT61" s="608"/>
      <c r="CZU61" s="608"/>
      <c r="CZV61" s="608"/>
      <c r="CZW61" s="608"/>
      <c r="CZX61" s="608"/>
      <c r="CZY61" s="608"/>
      <c r="CZZ61" s="608"/>
      <c r="DAA61" s="608"/>
      <c r="DAB61" s="608"/>
      <c r="DAC61" s="608"/>
      <c r="DAD61" s="608"/>
      <c r="DAE61" s="608"/>
      <c r="DAF61" s="608"/>
      <c r="DAG61" s="608"/>
      <c r="DAH61" s="608"/>
      <c r="DAI61" s="608"/>
      <c r="DAJ61" s="608"/>
      <c r="DAK61" s="608"/>
      <c r="DAL61" s="608"/>
      <c r="DAM61" s="608"/>
      <c r="DAN61" s="608"/>
      <c r="DAO61" s="608"/>
      <c r="DAP61" s="608"/>
      <c r="DAQ61" s="608"/>
      <c r="DAR61" s="608"/>
      <c r="DAS61" s="608"/>
      <c r="DAT61" s="608"/>
      <c r="DAU61" s="608"/>
      <c r="DAV61" s="608"/>
      <c r="DAW61" s="608"/>
      <c r="DAX61" s="608"/>
      <c r="DAY61" s="608"/>
      <c r="DAZ61" s="608"/>
      <c r="DBA61" s="608"/>
      <c r="DBB61" s="608"/>
      <c r="DBC61" s="608"/>
      <c r="DBD61" s="608"/>
      <c r="DBE61" s="608"/>
      <c r="DBF61" s="608"/>
      <c r="DBG61" s="608"/>
      <c r="DBH61" s="608"/>
      <c r="DBI61" s="608"/>
      <c r="DBJ61" s="608"/>
      <c r="DBK61" s="608"/>
      <c r="DBL61" s="608"/>
      <c r="DBM61" s="608"/>
      <c r="DBN61" s="608"/>
      <c r="DBO61" s="608"/>
      <c r="DBP61" s="608"/>
      <c r="DBQ61" s="608"/>
      <c r="DBR61" s="608"/>
      <c r="DBS61" s="608"/>
      <c r="DBT61" s="608"/>
      <c r="DBU61" s="608"/>
      <c r="DBV61" s="608"/>
      <c r="DBW61" s="608"/>
      <c r="DBX61" s="608"/>
      <c r="DBY61" s="608"/>
      <c r="DBZ61" s="608"/>
      <c r="DCA61" s="608"/>
      <c r="DCB61" s="608"/>
      <c r="DCC61" s="608"/>
      <c r="DCD61" s="608"/>
      <c r="DCE61" s="608"/>
      <c r="DCF61" s="608"/>
      <c r="DCG61" s="608"/>
      <c r="DCH61" s="608"/>
      <c r="DCI61" s="608"/>
      <c r="DCJ61" s="608"/>
      <c r="DCK61" s="608"/>
      <c r="DCL61" s="608"/>
      <c r="DCM61" s="608"/>
      <c r="DCN61" s="608"/>
      <c r="DCO61" s="608"/>
      <c r="DCP61" s="608"/>
      <c r="DCQ61" s="608"/>
      <c r="DCR61" s="608"/>
      <c r="DCS61" s="608"/>
      <c r="DCT61" s="608"/>
      <c r="DCU61" s="608"/>
      <c r="DCV61" s="608"/>
      <c r="DCW61" s="608"/>
      <c r="DCX61" s="608"/>
      <c r="DCY61" s="608"/>
      <c r="DCZ61" s="608"/>
      <c r="DDA61" s="608"/>
      <c r="DDB61" s="608"/>
      <c r="DDC61" s="608"/>
      <c r="DDD61" s="608"/>
      <c r="DDE61" s="608"/>
      <c r="DDF61" s="608"/>
      <c r="DDG61" s="608"/>
      <c r="DDH61" s="608"/>
      <c r="DDI61" s="608"/>
      <c r="DDJ61" s="608"/>
      <c r="DDK61" s="608"/>
      <c r="DDL61" s="608"/>
      <c r="DDM61" s="608"/>
      <c r="DDN61" s="608"/>
      <c r="DDO61" s="608"/>
      <c r="DDP61" s="608"/>
      <c r="DDQ61" s="608"/>
      <c r="DDR61" s="608"/>
      <c r="DDS61" s="608"/>
      <c r="DDT61" s="608"/>
      <c r="DDU61" s="608"/>
      <c r="DDV61" s="608"/>
      <c r="DDW61" s="608"/>
      <c r="DDX61" s="608"/>
      <c r="DDY61" s="608"/>
      <c r="DDZ61" s="608"/>
      <c r="DEA61" s="608"/>
      <c r="DEB61" s="608"/>
      <c r="DEC61" s="608"/>
      <c r="DED61" s="608"/>
      <c r="DEE61" s="608"/>
      <c r="DEF61" s="608"/>
      <c r="DEG61" s="608"/>
      <c r="DEH61" s="608"/>
      <c r="DEI61" s="608"/>
      <c r="DEJ61" s="608"/>
      <c r="DEK61" s="608"/>
      <c r="DEL61" s="608"/>
      <c r="DEM61" s="608"/>
      <c r="DEN61" s="608"/>
      <c r="DEO61" s="608"/>
      <c r="DEP61" s="608"/>
      <c r="DEQ61" s="608"/>
      <c r="DER61" s="608"/>
      <c r="DES61" s="608"/>
      <c r="DET61" s="608"/>
      <c r="DEU61" s="608"/>
      <c r="DEV61" s="608"/>
      <c r="DEW61" s="608"/>
      <c r="DEX61" s="608"/>
      <c r="DEY61" s="608"/>
      <c r="DEZ61" s="608"/>
      <c r="DFA61" s="608"/>
      <c r="DFB61" s="608"/>
      <c r="DFC61" s="608"/>
      <c r="DFD61" s="608"/>
      <c r="DFE61" s="608"/>
      <c r="DFF61" s="608"/>
      <c r="DFG61" s="608"/>
      <c r="DFH61" s="608"/>
      <c r="DFI61" s="608"/>
      <c r="DFJ61" s="608"/>
      <c r="DFK61" s="608"/>
      <c r="DFL61" s="608"/>
      <c r="DFM61" s="608"/>
      <c r="DFN61" s="608"/>
      <c r="DFO61" s="608"/>
      <c r="DFP61" s="608"/>
      <c r="DFQ61" s="608"/>
      <c r="DFR61" s="608"/>
      <c r="DFS61" s="608"/>
      <c r="DFT61" s="608"/>
      <c r="DFU61" s="608"/>
      <c r="DFV61" s="608"/>
      <c r="DFW61" s="608"/>
      <c r="DFX61" s="608"/>
      <c r="DFY61" s="608"/>
      <c r="DFZ61" s="608"/>
      <c r="DGA61" s="608"/>
      <c r="DGB61" s="608"/>
      <c r="DGC61" s="608"/>
      <c r="DGD61" s="608"/>
      <c r="DGE61" s="608"/>
      <c r="DGF61" s="608"/>
      <c r="DGG61" s="608"/>
      <c r="DGH61" s="608"/>
      <c r="DGI61" s="608"/>
      <c r="DGJ61" s="608"/>
      <c r="DGK61" s="608"/>
      <c r="DGL61" s="608"/>
      <c r="DGM61" s="608"/>
      <c r="DGN61" s="608"/>
      <c r="DGO61" s="608"/>
      <c r="DGP61" s="608"/>
      <c r="DGQ61" s="608"/>
      <c r="DGR61" s="608"/>
      <c r="DGS61" s="608"/>
      <c r="DGT61" s="608"/>
      <c r="DGU61" s="608"/>
      <c r="DGV61" s="608"/>
      <c r="DGW61" s="608"/>
      <c r="DGX61" s="608"/>
      <c r="DGY61" s="608"/>
      <c r="DGZ61" s="608"/>
      <c r="DHA61" s="608"/>
      <c r="DHB61" s="608"/>
      <c r="DHC61" s="608"/>
      <c r="DHD61" s="608"/>
      <c r="DHE61" s="608"/>
      <c r="DHF61" s="608"/>
      <c r="DHG61" s="608"/>
      <c r="DHH61" s="608"/>
      <c r="DHI61" s="608"/>
      <c r="DHJ61" s="608"/>
      <c r="DHK61" s="608"/>
      <c r="DHL61" s="608"/>
      <c r="DHM61" s="608"/>
      <c r="DHN61" s="608"/>
      <c r="DHO61" s="608"/>
      <c r="DHP61" s="608"/>
      <c r="DHQ61" s="608"/>
      <c r="DHR61" s="608"/>
      <c r="DHS61" s="608"/>
      <c r="DHT61" s="608"/>
      <c r="DHU61" s="608"/>
      <c r="DHV61" s="608"/>
      <c r="DHW61" s="608"/>
      <c r="DHX61" s="608"/>
      <c r="DHY61" s="608"/>
      <c r="DHZ61" s="608"/>
      <c r="DIA61" s="608"/>
      <c r="DIB61" s="608"/>
      <c r="DIC61" s="608"/>
      <c r="DID61" s="608"/>
      <c r="DIE61" s="608"/>
      <c r="DIF61" s="608"/>
      <c r="DIG61" s="608"/>
      <c r="DIH61" s="608"/>
      <c r="DII61" s="608"/>
      <c r="DIJ61" s="608"/>
      <c r="DIK61" s="608"/>
      <c r="DIL61" s="608"/>
      <c r="DIM61" s="608"/>
      <c r="DIN61" s="608"/>
      <c r="DIO61" s="608"/>
      <c r="DIP61" s="608"/>
      <c r="DIQ61" s="608"/>
      <c r="DIR61" s="608"/>
      <c r="DIS61" s="608"/>
      <c r="DIT61" s="608"/>
      <c r="DIU61" s="608"/>
      <c r="DIV61" s="608"/>
      <c r="DIW61" s="608"/>
      <c r="DIX61" s="608"/>
      <c r="DIY61" s="608"/>
      <c r="DIZ61" s="608"/>
      <c r="DJA61" s="608"/>
      <c r="DJB61" s="608"/>
      <c r="DJC61" s="608"/>
      <c r="DJD61" s="608"/>
      <c r="DJE61" s="608"/>
      <c r="DJF61" s="608"/>
      <c r="DJG61" s="608"/>
      <c r="DJH61" s="608"/>
      <c r="DJI61" s="608"/>
      <c r="DJJ61" s="608"/>
      <c r="DJK61" s="608"/>
      <c r="DJL61" s="608"/>
      <c r="DJM61" s="608"/>
      <c r="DJN61" s="608"/>
      <c r="DJO61" s="608"/>
      <c r="DJP61" s="608"/>
      <c r="DJQ61" s="608"/>
      <c r="DJR61" s="608"/>
      <c r="DJS61" s="608"/>
      <c r="DJT61" s="608"/>
      <c r="DJU61" s="608"/>
      <c r="DJV61" s="608"/>
      <c r="DJW61" s="608"/>
      <c r="DJX61" s="608"/>
      <c r="DJY61" s="608"/>
      <c r="DJZ61" s="608"/>
      <c r="DKA61" s="608"/>
      <c r="DKB61" s="608"/>
      <c r="DKC61" s="608"/>
      <c r="DKD61" s="608"/>
      <c r="DKE61" s="608"/>
      <c r="DKF61" s="608"/>
      <c r="DKG61" s="608"/>
      <c r="DKH61" s="608"/>
      <c r="DKI61" s="608"/>
      <c r="DKJ61" s="608"/>
      <c r="DKK61" s="608"/>
      <c r="DKL61" s="608"/>
      <c r="DKM61" s="608"/>
      <c r="DKN61" s="608"/>
      <c r="DKO61" s="608"/>
      <c r="DKP61" s="608"/>
      <c r="DKQ61" s="608"/>
      <c r="DKR61" s="608"/>
      <c r="DKS61" s="608"/>
      <c r="DKT61" s="608"/>
      <c r="DKU61" s="608"/>
      <c r="DKV61" s="608"/>
      <c r="DKW61" s="608"/>
      <c r="DKX61" s="608"/>
      <c r="DKY61" s="608"/>
      <c r="DKZ61" s="608"/>
      <c r="DLA61" s="608"/>
      <c r="DLB61" s="608"/>
      <c r="DLC61" s="608"/>
      <c r="DLD61" s="608"/>
      <c r="DLE61" s="608"/>
      <c r="DLF61" s="608"/>
      <c r="DLG61" s="608"/>
      <c r="DLH61" s="608"/>
      <c r="DLI61" s="608"/>
      <c r="DLJ61" s="608"/>
      <c r="DLK61" s="608"/>
      <c r="DLL61" s="608"/>
      <c r="DLM61" s="608"/>
      <c r="DLN61" s="608"/>
      <c r="DLO61" s="608"/>
      <c r="DLP61" s="608"/>
      <c r="DLQ61" s="608"/>
      <c r="DLR61" s="608"/>
      <c r="DLS61" s="608"/>
      <c r="DLT61" s="608"/>
      <c r="DLU61" s="608"/>
      <c r="DLV61" s="608"/>
      <c r="DLW61" s="608"/>
      <c r="DLX61" s="608"/>
      <c r="DLY61" s="608"/>
      <c r="DLZ61" s="608"/>
      <c r="DMA61" s="608"/>
      <c r="DMB61" s="608"/>
      <c r="DMC61" s="608"/>
      <c r="DMD61" s="608"/>
      <c r="DME61" s="608"/>
      <c r="DMF61" s="608"/>
      <c r="DMG61" s="608"/>
      <c r="DMH61" s="608"/>
      <c r="DMI61" s="608"/>
      <c r="DMJ61" s="608"/>
      <c r="DMK61" s="608"/>
      <c r="DML61" s="608"/>
      <c r="DMM61" s="608"/>
      <c r="DMN61" s="608"/>
      <c r="DMO61" s="608"/>
      <c r="DMP61" s="608"/>
      <c r="DMQ61" s="608"/>
      <c r="DMR61" s="608"/>
      <c r="DMS61" s="608"/>
      <c r="DMT61" s="608"/>
      <c r="DMU61" s="608"/>
      <c r="DMV61" s="608"/>
      <c r="DMW61" s="608"/>
      <c r="DMX61" s="608"/>
      <c r="DMY61" s="608"/>
      <c r="DMZ61" s="608"/>
      <c r="DNA61" s="608"/>
      <c r="DNB61" s="608"/>
      <c r="DNC61" s="608"/>
      <c r="DND61" s="608"/>
      <c r="DNE61" s="608"/>
      <c r="DNF61" s="608"/>
      <c r="DNG61" s="608"/>
      <c r="DNH61" s="608"/>
      <c r="DNI61" s="608"/>
      <c r="DNJ61" s="608"/>
      <c r="DNK61" s="608"/>
      <c r="DNL61" s="608"/>
      <c r="DNM61" s="608"/>
      <c r="DNN61" s="608"/>
      <c r="DNO61" s="608"/>
      <c r="DNP61" s="608"/>
      <c r="DNQ61" s="608"/>
      <c r="DNR61" s="608"/>
      <c r="DNS61" s="608"/>
      <c r="DNT61" s="608"/>
      <c r="DNU61" s="608"/>
      <c r="DNV61" s="608"/>
      <c r="DNW61" s="608"/>
      <c r="DNX61" s="608"/>
      <c r="DNY61" s="608"/>
      <c r="DNZ61" s="608"/>
      <c r="DOA61" s="608"/>
      <c r="DOB61" s="608"/>
      <c r="DOC61" s="608"/>
      <c r="DOD61" s="608"/>
      <c r="DOE61" s="608"/>
      <c r="DOF61" s="608"/>
      <c r="DOG61" s="608"/>
      <c r="DOH61" s="608"/>
      <c r="DOI61" s="608"/>
      <c r="DOJ61" s="608"/>
      <c r="DOK61" s="608"/>
      <c r="DOL61" s="608"/>
      <c r="DOM61" s="608"/>
      <c r="DON61" s="608"/>
      <c r="DOO61" s="608"/>
      <c r="DOP61" s="608"/>
      <c r="DOQ61" s="608"/>
      <c r="DOR61" s="608"/>
      <c r="DOS61" s="608"/>
      <c r="DOT61" s="608"/>
      <c r="DOU61" s="608"/>
      <c r="DOV61" s="608"/>
      <c r="DOW61" s="608"/>
      <c r="DOX61" s="608"/>
      <c r="DOY61" s="608"/>
      <c r="DOZ61" s="608"/>
      <c r="DPA61" s="608"/>
      <c r="DPB61" s="608"/>
      <c r="DPC61" s="608"/>
      <c r="DPD61" s="608"/>
      <c r="DPE61" s="608"/>
      <c r="DPF61" s="608"/>
      <c r="DPG61" s="608"/>
      <c r="DPH61" s="608"/>
      <c r="DPI61" s="608"/>
      <c r="DPJ61" s="608"/>
      <c r="DPK61" s="608"/>
      <c r="DPL61" s="608"/>
      <c r="DPM61" s="608"/>
      <c r="DPN61" s="608"/>
      <c r="DPO61" s="608"/>
      <c r="DPP61" s="608"/>
      <c r="DPQ61" s="608"/>
      <c r="DPR61" s="608"/>
      <c r="DPS61" s="608"/>
      <c r="DPT61" s="608"/>
      <c r="DPU61" s="608"/>
      <c r="DPV61" s="608"/>
      <c r="DPW61" s="608"/>
      <c r="DPX61" s="608"/>
      <c r="DPY61" s="608"/>
      <c r="DPZ61" s="608"/>
      <c r="DQA61" s="608"/>
      <c r="DQB61" s="608"/>
      <c r="DQC61" s="608"/>
      <c r="DQD61" s="608"/>
      <c r="DQE61" s="608"/>
      <c r="DQF61" s="608"/>
      <c r="DQG61" s="608"/>
      <c r="DQH61" s="608"/>
      <c r="DQI61" s="608"/>
      <c r="DQJ61" s="608"/>
      <c r="DQK61" s="608"/>
      <c r="DQL61" s="608"/>
      <c r="DQM61" s="608"/>
      <c r="DQN61" s="608"/>
      <c r="DQO61" s="608"/>
      <c r="DQP61" s="608"/>
      <c r="DQQ61" s="608"/>
      <c r="DQR61" s="608"/>
      <c r="DQS61" s="608"/>
      <c r="DQT61" s="608"/>
      <c r="DQU61" s="608"/>
      <c r="DQV61" s="608"/>
      <c r="DQW61" s="608"/>
      <c r="DQX61" s="608"/>
      <c r="DQY61" s="608"/>
      <c r="DQZ61" s="608"/>
      <c r="DRA61" s="608"/>
      <c r="DRB61" s="608"/>
      <c r="DRC61" s="608"/>
      <c r="DRD61" s="608"/>
      <c r="DRE61" s="608"/>
      <c r="DRF61" s="608"/>
      <c r="DRG61" s="608"/>
      <c r="DRH61" s="608"/>
      <c r="DRI61" s="608"/>
      <c r="DRJ61" s="608"/>
      <c r="DRK61" s="608"/>
      <c r="DRL61" s="608"/>
      <c r="DRM61" s="608"/>
      <c r="DRN61" s="608"/>
      <c r="DRO61" s="608"/>
      <c r="DRP61" s="608"/>
      <c r="DRQ61" s="608"/>
      <c r="DRR61" s="608"/>
      <c r="DRS61" s="608"/>
      <c r="DRT61" s="608"/>
      <c r="DRU61" s="608"/>
      <c r="DRV61" s="608"/>
      <c r="DRW61" s="608"/>
      <c r="DRX61" s="608"/>
      <c r="DRY61" s="608"/>
      <c r="DRZ61" s="608"/>
      <c r="DSA61" s="608"/>
      <c r="DSB61" s="608"/>
      <c r="DSC61" s="608"/>
      <c r="DSD61" s="608"/>
      <c r="DSE61" s="608"/>
      <c r="DSF61" s="608"/>
      <c r="DSG61" s="608"/>
      <c r="DSH61" s="608"/>
      <c r="DSI61" s="608"/>
      <c r="DSJ61" s="608"/>
      <c r="DSK61" s="608"/>
      <c r="DSL61" s="608"/>
      <c r="DSM61" s="608"/>
      <c r="DSN61" s="608"/>
      <c r="DSO61" s="608"/>
      <c r="DSP61" s="608"/>
      <c r="DSQ61" s="608"/>
      <c r="DSR61" s="608"/>
      <c r="DSS61" s="608"/>
      <c r="DST61" s="608"/>
      <c r="DSU61" s="608"/>
      <c r="DSV61" s="608"/>
      <c r="DSW61" s="608"/>
      <c r="DSX61" s="608"/>
      <c r="DSY61" s="608"/>
      <c r="DSZ61" s="608"/>
      <c r="DTA61" s="608"/>
      <c r="DTB61" s="608"/>
      <c r="DTC61" s="608"/>
      <c r="DTD61" s="608"/>
      <c r="DTE61" s="608"/>
      <c r="DTF61" s="608"/>
      <c r="DTG61" s="608"/>
      <c r="DTH61" s="608"/>
      <c r="DTI61" s="608"/>
      <c r="DTJ61" s="608"/>
      <c r="DTK61" s="608"/>
      <c r="DTL61" s="608"/>
      <c r="DTM61" s="608"/>
      <c r="DTN61" s="608"/>
      <c r="DTO61" s="608"/>
      <c r="DTP61" s="608"/>
      <c r="DTQ61" s="608"/>
      <c r="DTR61" s="608"/>
      <c r="DTS61" s="608"/>
      <c r="DTT61" s="608"/>
      <c r="DTU61" s="608"/>
      <c r="DTV61" s="608"/>
      <c r="DTW61" s="608"/>
      <c r="DTX61" s="608"/>
      <c r="DTY61" s="608"/>
      <c r="DTZ61" s="608"/>
      <c r="DUA61" s="608"/>
      <c r="DUB61" s="608"/>
      <c r="DUC61" s="608"/>
      <c r="DUD61" s="608"/>
      <c r="DUE61" s="608"/>
      <c r="DUF61" s="608"/>
      <c r="DUG61" s="608"/>
      <c r="DUH61" s="608"/>
      <c r="DUI61" s="608"/>
      <c r="DUJ61" s="608"/>
      <c r="DUK61" s="608"/>
      <c r="DUL61" s="608"/>
      <c r="DUM61" s="608"/>
      <c r="DUN61" s="608"/>
      <c r="DUO61" s="608"/>
      <c r="DUP61" s="608"/>
      <c r="DUQ61" s="608"/>
      <c r="DUR61" s="608"/>
      <c r="DUS61" s="608"/>
      <c r="DUT61" s="608"/>
      <c r="DUU61" s="608"/>
      <c r="DUV61" s="608"/>
      <c r="DUW61" s="608"/>
      <c r="DUX61" s="608"/>
      <c r="DUY61" s="608"/>
      <c r="DUZ61" s="608"/>
      <c r="DVA61" s="608"/>
      <c r="DVB61" s="608"/>
      <c r="DVC61" s="608"/>
      <c r="DVD61" s="608"/>
      <c r="DVE61" s="608"/>
      <c r="DVF61" s="608"/>
      <c r="DVG61" s="608"/>
      <c r="DVH61" s="608"/>
      <c r="DVI61" s="608"/>
      <c r="DVJ61" s="608"/>
      <c r="DVK61" s="608"/>
      <c r="DVL61" s="608"/>
      <c r="DVM61" s="608"/>
      <c r="DVN61" s="608"/>
      <c r="DVO61" s="608"/>
      <c r="DVP61" s="608"/>
      <c r="DVQ61" s="608"/>
      <c r="DVR61" s="608"/>
      <c r="DVS61" s="608"/>
      <c r="DVT61" s="608"/>
      <c r="DVU61" s="608"/>
      <c r="DVV61" s="608"/>
      <c r="DVW61" s="608"/>
      <c r="DVX61" s="608"/>
      <c r="DVY61" s="608"/>
      <c r="DVZ61" s="608"/>
      <c r="DWA61" s="608"/>
      <c r="DWB61" s="608"/>
      <c r="DWC61" s="608"/>
      <c r="DWD61" s="608"/>
      <c r="DWE61" s="608"/>
      <c r="DWF61" s="608"/>
      <c r="DWG61" s="608"/>
      <c r="DWH61" s="608"/>
      <c r="DWI61" s="608"/>
      <c r="DWJ61" s="608"/>
      <c r="DWK61" s="608"/>
      <c r="DWL61" s="608"/>
      <c r="DWM61" s="608"/>
      <c r="DWN61" s="608"/>
      <c r="DWO61" s="608"/>
      <c r="DWP61" s="608"/>
      <c r="DWQ61" s="608"/>
      <c r="DWR61" s="608"/>
      <c r="DWS61" s="608"/>
      <c r="DWT61" s="608"/>
      <c r="DWU61" s="608"/>
      <c r="DWV61" s="608"/>
      <c r="DWW61" s="608"/>
      <c r="DWX61" s="608"/>
      <c r="DWY61" s="608"/>
      <c r="DWZ61" s="608"/>
      <c r="DXA61" s="608"/>
      <c r="DXB61" s="608"/>
      <c r="DXC61" s="608"/>
      <c r="DXD61" s="608"/>
      <c r="DXE61" s="608"/>
      <c r="DXF61" s="608"/>
      <c r="DXG61" s="608"/>
      <c r="DXH61" s="608"/>
      <c r="DXI61" s="608"/>
      <c r="DXJ61" s="608"/>
      <c r="DXK61" s="608"/>
      <c r="DXL61" s="608"/>
      <c r="DXM61" s="608"/>
      <c r="DXN61" s="608"/>
      <c r="DXO61" s="608"/>
      <c r="DXP61" s="608"/>
      <c r="DXQ61" s="608"/>
      <c r="DXR61" s="608"/>
      <c r="DXS61" s="608"/>
      <c r="DXT61" s="608"/>
      <c r="DXU61" s="608"/>
      <c r="DXV61" s="608"/>
      <c r="DXW61" s="608"/>
      <c r="DXX61" s="608"/>
      <c r="DXY61" s="608"/>
      <c r="DXZ61" s="608"/>
      <c r="DYA61" s="608"/>
      <c r="DYB61" s="608"/>
      <c r="DYC61" s="608"/>
      <c r="DYD61" s="608"/>
      <c r="DYE61" s="608"/>
      <c r="DYF61" s="608"/>
      <c r="DYG61" s="608"/>
      <c r="DYH61" s="608"/>
      <c r="DYI61" s="608"/>
      <c r="DYJ61" s="608"/>
      <c r="DYK61" s="608"/>
      <c r="DYL61" s="608"/>
      <c r="DYM61" s="608"/>
      <c r="DYN61" s="608"/>
      <c r="DYO61" s="608"/>
      <c r="DYP61" s="608"/>
      <c r="DYQ61" s="608"/>
      <c r="DYR61" s="608"/>
      <c r="DYS61" s="608"/>
      <c r="DYT61" s="608"/>
      <c r="DYU61" s="608"/>
      <c r="DYV61" s="608"/>
      <c r="DYW61" s="608"/>
      <c r="DYX61" s="608"/>
      <c r="DYY61" s="608"/>
      <c r="DYZ61" s="608"/>
      <c r="DZA61" s="608"/>
      <c r="DZB61" s="608"/>
      <c r="DZC61" s="608"/>
      <c r="DZD61" s="608"/>
      <c r="DZE61" s="608"/>
      <c r="DZF61" s="608"/>
      <c r="DZG61" s="608"/>
      <c r="DZH61" s="608"/>
      <c r="DZI61" s="608"/>
      <c r="DZJ61" s="608"/>
      <c r="DZK61" s="608"/>
      <c r="DZL61" s="608"/>
      <c r="DZM61" s="608"/>
      <c r="DZN61" s="608"/>
      <c r="DZO61" s="608"/>
      <c r="DZP61" s="608"/>
      <c r="DZQ61" s="608"/>
      <c r="DZR61" s="608"/>
      <c r="DZS61" s="608"/>
      <c r="DZT61" s="608"/>
      <c r="DZU61" s="608"/>
      <c r="DZV61" s="608"/>
      <c r="DZW61" s="608"/>
      <c r="DZX61" s="608"/>
      <c r="DZY61" s="608"/>
      <c r="DZZ61" s="608"/>
      <c r="EAA61" s="608"/>
      <c r="EAB61" s="608"/>
      <c r="EAC61" s="608"/>
      <c r="EAD61" s="608"/>
      <c r="EAE61" s="608"/>
      <c r="EAF61" s="608"/>
      <c r="EAG61" s="608"/>
      <c r="EAH61" s="608"/>
      <c r="EAI61" s="608"/>
      <c r="EAJ61" s="608"/>
      <c r="EAK61" s="608"/>
      <c r="EAL61" s="608"/>
      <c r="EAM61" s="608"/>
      <c r="EAN61" s="608"/>
      <c r="EAO61" s="608"/>
      <c r="EAP61" s="608"/>
      <c r="EAQ61" s="608"/>
      <c r="EAR61" s="608"/>
      <c r="EAS61" s="608"/>
      <c r="EAT61" s="608"/>
      <c r="EAU61" s="608"/>
      <c r="EAV61" s="608"/>
      <c r="EAW61" s="608"/>
      <c r="EAX61" s="608"/>
      <c r="EAY61" s="608"/>
      <c r="EAZ61" s="608"/>
      <c r="EBA61" s="608"/>
      <c r="EBB61" s="608"/>
      <c r="EBC61" s="608"/>
      <c r="EBD61" s="608"/>
      <c r="EBE61" s="608"/>
      <c r="EBF61" s="608"/>
      <c r="EBG61" s="608"/>
      <c r="EBH61" s="608"/>
      <c r="EBI61" s="608"/>
      <c r="EBJ61" s="608"/>
      <c r="EBK61" s="608"/>
      <c r="EBL61" s="608"/>
      <c r="EBM61" s="608"/>
      <c r="EBN61" s="608"/>
      <c r="EBO61" s="608"/>
      <c r="EBP61" s="608"/>
      <c r="EBQ61" s="608"/>
      <c r="EBR61" s="608"/>
      <c r="EBS61" s="608"/>
      <c r="EBT61" s="608"/>
      <c r="EBU61" s="608"/>
      <c r="EBV61" s="608"/>
      <c r="EBW61" s="608"/>
      <c r="EBX61" s="608"/>
      <c r="EBY61" s="608"/>
      <c r="EBZ61" s="608"/>
      <c r="ECA61" s="608"/>
      <c r="ECB61" s="608"/>
      <c r="ECC61" s="608"/>
      <c r="ECD61" s="608"/>
      <c r="ECE61" s="608"/>
      <c r="ECF61" s="608"/>
      <c r="ECG61" s="608"/>
      <c r="ECH61" s="608"/>
      <c r="ECI61" s="608"/>
      <c r="ECJ61" s="608"/>
      <c r="ECK61" s="608"/>
      <c r="ECL61" s="608"/>
      <c r="ECM61" s="608"/>
      <c r="ECN61" s="608"/>
      <c r="ECO61" s="608"/>
      <c r="ECP61" s="608"/>
      <c r="ECQ61" s="608"/>
      <c r="ECR61" s="608"/>
      <c r="ECS61" s="608"/>
      <c r="ECT61" s="608"/>
      <c r="ECU61" s="608"/>
      <c r="ECV61" s="608"/>
      <c r="ECW61" s="608"/>
      <c r="ECX61" s="608"/>
      <c r="ECY61" s="608"/>
      <c r="ECZ61" s="608"/>
      <c r="EDA61" s="608"/>
      <c r="EDB61" s="608"/>
      <c r="EDC61" s="608"/>
      <c r="EDD61" s="608"/>
      <c r="EDE61" s="608"/>
      <c r="EDF61" s="608"/>
      <c r="EDG61" s="608"/>
      <c r="EDH61" s="608"/>
      <c r="EDI61" s="608"/>
      <c r="EDJ61" s="608"/>
      <c r="EDK61" s="608"/>
      <c r="EDL61" s="608"/>
      <c r="EDM61" s="608"/>
      <c r="EDN61" s="608"/>
      <c r="EDO61" s="608"/>
      <c r="EDP61" s="608"/>
      <c r="EDQ61" s="608"/>
      <c r="EDR61" s="608"/>
      <c r="EDS61" s="608"/>
      <c r="EDT61" s="608"/>
      <c r="EDU61" s="608"/>
      <c r="EDV61" s="608"/>
      <c r="EDW61" s="608"/>
      <c r="EDX61" s="608"/>
      <c r="EDY61" s="608"/>
      <c r="EDZ61" s="608"/>
      <c r="EEA61" s="608"/>
      <c r="EEB61" s="608"/>
      <c r="EEC61" s="608"/>
      <c r="EED61" s="608"/>
      <c r="EEE61" s="608"/>
      <c r="EEF61" s="608"/>
      <c r="EEG61" s="608"/>
      <c r="EEH61" s="608"/>
      <c r="EEI61" s="608"/>
      <c r="EEJ61" s="608"/>
      <c r="EEK61" s="608"/>
      <c r="EEL61" s="608"/>
      <c r="EEM61" s="608"/>
      <c r="EEN61" s="608"/>
      <c r="EEO61" s="608"/>
      <c r="EEP61" s="608"/>
      <c r="EEQ61" s="608"/>
      <c r="EER61" s="608"/>
      <c r="EES61" s="608"/>
      <c r="EET61" s="608"/>
      <c r="EEU61" s="608"/>
      <c r="EEV61" s="608"/>
      <c r="EEW61" s="608"/>
      <c r="EEX61" s="608"/>
      <c r="EEY61" s="608"/>
      <c r="EEZ61" s="608"/>
      <c r="EFA61" s="608"/>
      <c r="EFB61" s="608"/>
      <c r="EFC61" s="608"/>
      <c r="EFD61" s="608"/>
      <c r="EFE61" s="608"/>
      <c r="EFF61" s="608"/>
      <c r="EFG61" s="608"/>
      <c r="EFH61" s="608"/>
      <c r="EFI61" s="608"/>
      <c r="EFJ61" s="608"/>
      <c r="EFK61" s="608"/>
      <c r="EFL61" s="608"/>
      <c r="EFM61" s="608"/>
      <c r="EFN61" s="608"/>
      <c r="EFO61" s="608"/>
      <c r="EFP61" s="608"/>
      <c r="EFQ61" s="608"/>
      <c r="EFR61" s="608"/>
      <c r="EFS61" s="608"/>
      <c r="EFT61" s="608"/>
      <c r="EFU61" s="608"/>
      <c r="EFV61" s="608"/>
      <c r="EFW61" s="608"/>
      <c r="EFX61" s="608"/>
      <c r="EFY61" s="608"/>
      <c r="EFZ61" s="608"/>
      <c r="EGA61" s="608"/>
      <c r="EGB61" s="608"/>
      <c r="EGC61" s="608"/>
      <c r="EGD61" s="608"/>
      <c r="EGE61" s="608"/>
      <c r="EGF61" s="608"/>
      <c r="EGG61" s="608"/>
      <c r="EGH61" s="608"/>
      <c r="EGI61" s="608"/>
      <c r="EGJ61" s="608"/>
      <c r="EGK61" s="608"/>
      <c r="EGL61" s="608"/>
      <c r="EGM61" s="608"/>
      <c r="EGN61" s="608"/>
      <c r="EGO61" s="608"/>
      <c r="EGP61" s="608"/>
      <c r="EGQ61" s="608"/>
      <c r="EGR61" s="608"/>
      <c r="EGS61" s="608"/>
      <c r="EGT61" s="608"/>
      <c r="EGU61" s="608"/>
      <c r="EGV61" s="608"/>
      <c r="EGW61" s="608"/>
      <c r="EGX61" s="608"/>
      <c r="EGY61" s="608"/>
      <c r="EGZ61" s="608"/>
      <c r="EHA61" s="608"/>
      <c r="EHB61" s="608"/>
      <c r="EHC61" s="608"/>
      <c r="EHD61" s="608"/>
      <c r="EHE61" s="608"/>
      <c r="EHF61" s="608"/>
      <c r="EHG61" s="608"/>
      <c r="EHH61" s="608"/>
      <c r="EHI61" s="608"/>
      <c r="EHJ61" s="608"/>
      <c r="EHK61" s="608"/>
      <c r="EHL61" s="608"/>
      <c r="EHM61" s="608"/>
      <c r="EHN61" s="608"/>
      <c r="EHO61" s="608"/>
      <c r="EHP61" s="608"/>
      <c r="EHQ61" s="608"/>
      <c r="EHR61" s="608"/>
      <c r="EHS61" s="608"/>
      <c r="EHT61" s="608"/>
      <c r="EHU61" s="608"/>
      <c r="EHV61" s="608"/>
      <c r="EHW61" s="608"/>
      <c r="EHX61" s="608"/>
      <c r="EHY61" s="608"/>
      <c r="EHZ61" s="608"/>
      <c r="EIA61" s="608"/>
      <c r="EIB61" s="608"/>
      <c r="EIC61" s="608"/>
      <c r="EID61" s="608"/>
      <c r="EIE61" s="608"/>
      <c r="EIF61" s="608"/>
      <c r="EIG61" s="608"/>
      <c r="EIH61" s="608"/>
      <c r="EII61" s="608"/>
      <c r="EIJ61" s="608"/>
      <c r="EIK61" s="608"/>
      <c r="EIL61" s="608"/>
      <c r="EIM61" s="608"/>
      <c r="EIN61" s="608"/>
      <c r="EIO61" s="608"/>
      <c r="EIP61" s="608"/>
      <c r="EIQ61" s="608"/>
      <c r="EIR61" s="608"/>
      <c r="EIS61" s="608"/>
      <c r="EIT61" s="608"/>
      <c r="EIU61" s="608"/>
      <c r="EIV61" s="608"/>
      <c r="EIW61" s="608"/>
      <c r="EIX61" s="608"/>
      <c r="EIY61" s="608"/>
      <c r="EIZ61" s="608"/>
      <c r="EJA61" s="608"/>
      <c r="EJB61" s="608"/>
      <c r="EJC61" s="608"/>
      <c r="EJD61" s="608"/>
      <c r="EJE61" s="608"/>
      <c r="EJF61" s="608"/>
      <c r="EJG61" s="608"/>
      <c r="EJH61" s="608"/>
      <c r="EJI61" s="608"/>
      <c r="EJJ61" s="608"/>
      <c r="EJK61" s="608"/>
      <c r="EJL61" s="608"/>
      <c r="EJM61" s="608"/>
      <c r="EJN61" s="608"/>
      <c r="EJO61" s="608"/>
      <c r="EJP61" s="608"/>
      <c r="EJQ61" s="608"/>
      <c r="EJR61" s="608"/>
      <c r="EJS61" s="608"/>
      <c r="EJT61" s="608"/>
      <c r="EJU61" s="608"/>
      <c r="EJV61" s="608"/>
      <c r="EJW61" s="608"/>
      <c r="EJX61" s="608"/>
      <c r="EJY61" s="608"/>
      <c r="EJZ61" s="608"/>
      <c r="EKA61" s="608"/>
      <c r="EKB61" s="608"/>
      <c r="EKC61" s="608"/>
      <c r="EKD61" s="608"/>
      <c r="EKE61" s="608"/>
      <c r="EKF61" s="608"/>
      <c r="EKG61" s="608"/>
      <c r="EKH61" s="608"/>
      <c r="EKI61" s="608"/>
      <c r="EKJ61" s="608"/>
      <c r="EKK61" s="608"/>
      <c r="EKL61" s="608"/>
      <c r="EKM61" s="608"/>
      <c r="EKN61" s="608"/>
      <c r="EKO61" s="608"/>
      <c r="EKP61" s="608"/>
      <c r="EKQ61" s="608"/>
      <c r="EKR61" s="608"/>
      <c r="EKS61" s="608"/>
      <c r="EKT61" s="608"/>
      <c r="EKU61" s="608"/>
      <c r="EKV61" s="608"/>
      <c r="EKW61" s="608"/>
      <c r="EKX61" s="608"/>
      <c r="EKY61" s="608"/>
      <c r="EKZ61" s="608"/>
      <c r="ELA61" s="608"/>
      <c r="ELB61" s="608"/>
      <c r="ELC61" s="608"/>
      <c r="ELD61" s="608"/>
      <c r="ELE61" s="608"/>
      <c r="ELF61" s="608"/>
      <c r="ELG61" s="608"/>
      <c r="ELH61" s="608"/>
      <c r="ELI61" s="608"/>
      <c r="ELJ61" s="608"/>
      <c r="ELK61" s="608"/>
      <c r="ELL61" s="608"/>
      <c r="ELM61" s="608"/>
      <c r="ELN61" s="608"/>
      <c r="ELO61" s="608"/>
      <c r="ELP61" s="608"/>
      <c r="ELQ61" s="608"/>
      <c r="ELR61" s="608"/>
      <c r="ELS61" s="608"/>
      <c r="ELT61" s="608"/>
      <c r="ELU61" s="608"/>
      <c r="ELV61" s="608"/>
      <c r="ELW61" s="608"/>
      <c r="ELX61" s="608"/>
      <c r="ELY61" s="608"/>
      <c r="ELZ61" s="608"/>
      <c r="EMA61" s="608"/>
      <c r="EMB61" s="608"/>
      <c r="EMC61" s="608"/>
      <c r="EMD61" s="608"/>
      <c r="EME61" s="608"/>
      <c r="EMF61" s="608"/>
      <c r="EMG61" s="608"/>
      <c r="EMH61" s="608"/>
      <c r="EMI61" s="608"/>
      <c r="EMJ61" s="608"/>
      <c r="EMK61" s="608"/>
      <c r="EML61" s="608"/>
      <c r="EMM61" s="608"/>
      <c r="EMN61" s="608"/>
      <c r="EMO61" s="608"/>
      <c r="EMP61" s="608"/>
      <c r="EMQ61" s="608"/>
      <c r="EMR61" s="608"/>
      <c r="EMS61" s="608"/>
      <c r="EMT61" s="608"/>
      <c r="EMU61" s="608"/>
      <c r="EMV61" s="608"/>
      <c r="EMW61" s="608"/>
      <c r="EMX61" s="608"/>
      <c r="EMY61" s="608"/>
      <c r="EMZ61" s="608"/>
      <c r="ENA61" s="608"/>
      <c r="ENB61" s="608"/>
      <c r="ENC61" s="608"/>
      <c r="END61" s="608"/>
      <c r="ENE61" s="608"/>
      <c r="ENF61" s="608"/>
      <c r="ENG61" s="608"/>
      <c r="ENH61" s="608"/>
      <c r="ENI61" s="608"/>
      <c r="ENJ61" s="608"/>
      <c r="ENK61" s="608"/>
      <c r="ENL61" s="608"/>
      <c r="ENM61" s="608"/>
      <c r="ENN61" s="608"/>
      <c r="ENO61" s="608"/>
      <c r="ENP61" s="608"/>
      <c r="ENQ61" s="608"/>
      <c r="ENR61" s="608"/>
      <c r="ENS61" s="608"/>
      <c r="ENT61" s="608"/>
      <c r="ENU61" s="608"/>
      <c r="ENV61" s="608"/>
      <c r="ENW61" s="608"/>
      <c r="ENX61" s="608"/>
      <c r="ENY61" s="608"/>
      <c r="ENZ61" s="608"/>
      <c r="EOA61" s="608"/>
      <c r="EOB61" s="608"/>
      <c r="EOC61" s="608"/>
      <c r="EOD61" s="608"/>
      <c r="EOE61" s="608"/>
      <c r="EOF61" s="608"/>
      <c r="EOG61" s="608"/>
      <c r="EOH61" s="608"/>
      <c r="EOI61" s="608"/>
      <c r="EOJ61" s="608"/>
      <c r="EOK61" s="608"/>
      <c r="EOL61" s="608"/>
      <c r="EOM61" s="608"/>
      <c r="EON61" s="608"/>
      <c r="EOO61" s="608"/>
      <c r="EOP61" s="608"/>
      <c r="EOQ61" s="608"/>
      <c r="EOR61" s="608"/>
      <c r="EOS61" s="608"/>
      <c r="EOT61" s="608"/>
      <c r="EOU61" s="608"/>
      <c r="EOV61" s="608"/>
      <c r="EOW61" s="608"/>
      <c r="EOX61" s="608"/>
      <c r="EOY61" s="608"/>
      <c r="EOZ61" s="608"/>
      <c r="EPA61" s="608"/>
      <c r="EPB61" s="608"/>
      <c r="EPC61" s="608"/>
      <c r="EPD61" s="608"/>
      <c r="EPE61" s="608"/>
      <c r="EPF61" s="608"/>
      <c r="EPG61" s="608"/>
      <c r="EPH61" s="608"/>
      <c r="EPI61" s="608"/>
      <c r="EPJ61" s="608"/>
      <c r="EPK61" s="608"/>
      <c r="EPL61" s="608"/>
      <c r="EPM61" s="608"/>
      <c r="EPN61" s="608"/>
      <c r="EPO61" s="608"/>
      <c r="EPP61" s="608"/>
      <c r="EPQ61" s="608"/>
      <c r="EPR61" s="608"/>
      <c r="EPS61" s="608"/>
      <c r="EPT61" s="608"/>
      <c r="EPU61" s="608"/>
      <c r="EPV61" s="608"/>
      <c r="EPW61" s="608"/>
      <c r="EPX61" s="608"/>
      <c r="EPY61" s="608"/>
      <c r="EPZ61" s="608"/>
      <c r="EQA61" s="608"/>
      <c r="EQB61" s="608"/>
      <c r="EQC61" s="608"/>
      <c r="EQD61" s="608"/>
      <c r="EQE61" s="608"/>
      <c r="EQF61" s="608"/>
      <c r="EQG61" s="608"/>
      <c r="EQH61" s="608"/>
      <c r="EQI61" s="608"/>
      <c r="EQJ61" s="608"/>
      <c r="EQK61" s="608"/>
      <c r="EQL61" s="608"/>
      <c r="EQM61" s="608"/>
      <c r="EQN61" s="608"/>
      <c r="EQO61" s="608"/>
      <c r="EQP61" s="608"/>
      <c r="EQQ61" s="608"/>
      <c r="EQR61" s="608"/>
      <c r="EQS61" s="608"/>
      <c r="EQT61" s="608"/>
      <c r="EQU61" s="608"/>
      <c r="EQV61" s="608"/>
      <c r="EQW61" s="608"/>
      <c r="EQX61" s="608"/>
      <c r="EQY61" s="608"/>
      <c r="EQZ61" s="608"/>
      <c r="ERA61" s="608"/>
      <c r="ERB61" s="608"/>
      <c r="ERC61" s="608"/>
      <c r="ERD61" s="608"/>
      <c r="ERE61" s="608"/>
      <c r="ERF61" s="608"/>
      <c r="ERG61" s="608"/>
      <c r="ERH61" s="608"/>
      <c r="ERI61" s="608"/>
      <c r="ERJ61" s="608"/>
      <c r="ERK61" s="608"/>
      <c r="ERL61" s="608"/>
      <c r="ERM61" s="608"/>
      <c r="ERN61" s="608"/>
      <c r="ERO61" s="608"/>
      <c r="ERP61" s="608"/>
      <c r="ERQ61" s="608"/>
      <c r="ERR61" s="608"/>
      <c r="ERS61" s="608"/>
      <c r="ERT61" s="608"/>
      <c r="ERU61" s="608"/>
      <c r="ERV61" s="608"/>
      <c r="ERW61" s="608"/>
      <c r="ERX61" s="608"/>
      <c r="ERY61" s="608"/>
      <c r="ERZ61" s="608"/>
      <c r="ESA61" s="608"/>
      <c r="ESB61" s="608"/>
      <c r="ESC61" s="608"/>
      <c r="ESD61" s="608"/>
      <c r="ESE61" s="608"/>
      <c r="ESF61" s="608"/>
      <c r="ESG61" s="608"/>
      <c r="ESH61" s="608"/>
      <c r="ESI61" s="608"/>
      <c r="ESJ61" s="608"/>
      <c r="ESK61" s="608"/>
      <c r="ESL61" s="608"/>
      <c r="ESM61" s="608"/>
      <c r="ESN61" s="608"/>
      <c r="ESO61" s="608"/>
      <c r="ESP61" s="608"/>
      <c r="ESQ61" s="608"/>
      <c r="ESR61" s="608"/>
      <c r="ESS61" s="608"/>
      <c r="EST61" s="608"/>
      <c r="ESU61" s="608"/>
      <c r="ESV61" s="608"/>
      <c r="ESW61" s="608"/>
      <c r="ESX61" s="608"/>
      <c r="ESY61" s="608"/>
      <c r="ESZ61" s="608"/>
      <c r="ETA61" s="608"/>
      <c r="ETB61" s="608"/>
      <c r="ETC61" s="608"/>
      <c r="ETD61" s="608"/>
      <c r="ETE61" s="608"/>
      <c r="ETF61" s="608"/>
      <c r="ETG61" s="608"/>
      <c r="ETH61" s="608"/>
      <c r="ETI61" s="608"/>
      <c r="ETJ61" s="608"/>
      <c r="ETK61" s="608"/>
      <c r="ETL61" s="608"/>
      <c r="ETM61" s="608"/>
      <c r="ETN61" s="608"/>
      <c r="ETO61" s="608"/>
      <c r="ETP61" s="608"/>
      <c r="ETQ61" s="608"/>
      <c r="ETR61" s="608"/>
      <c r="ETS61" s="608"/>
      <c r="ETT61" s="608"/>
      <c r="ETU61" s="608"/>
      <c r="ETV61" s="608"/>
      <c r="ETW61" s="608"/>
      <c r="ETX61" s="608"/>
      <c r="ETY61" s="608"/>
      <c r="ETZ61" s="608"/>
      <c r="EUA61" s="608"/>
      <c r="EUB61" s="608"/>
      <c r="EUC61" s="608"/>
      <c r="EUD61" s="608"/>
      <c r="EUE61" s="608"/>
      <c r="EUF61" s="608"/>
      <c r="EUG61" s="608"/>
      <c r="EUH61" s="608"/>
      <c r="EUI61" s="608"/>
      <c r="EUJ61" s="608"/>
      <c r="EUK61" s="608"/>
      <c r="EUL61" s="608"/>
      <c r="EUM61" s="608"/>
      <c r="EUN61" s="608"/>
      <c r="EUO61" s="608"/>
      <c r="EUP61" s="608"/>
      <c r="EUQ61" s="608"/>
      <c r="EUR61" s="608"/>
      <c r="EUS61" s="608"/>
      <c r="EUT61" s="608"/>
      <c r="EUU61" s="608"/>
      <c r="EUV61" s="608"/>
      <c r="EUW61" s="608"/>
      <c r="EUX61" s="608"/>
      <c r="EUY61" s="608"/>
      <c r="EUZ61" s="608"/>
      <c r="EVA61" s="608"/>
      <c r="EVB61" s="608"/>
      <c r="EVC61" s="608"/>
      <c r="EVD61" s="608"/>
      <c r="EVE61" s="608"/>
      <c r="EVF61" s="608"/>
      <c r="EVG61" s="608"/>
      <c r="EVH61" s="608"/>
      <c r="EVI61" s="608"/>
      <c r="EVJ61" s="608"/>
      <c r="EVK61" s="608"/>
      <c r="EVL61" s="608"/>
      <c r="EVM61" s="608"/>
      <c r="EVN61" s="608"/>
      <c r="EVO61" s="608"/>
      <c r="EVP61" s="608"/>
      <c r="EVQ61" s="608"/>
      <c r="EVR61" s="608"/>
      <c r="EVS61" s="608"/>
      <c r="EVT61" s="608"/>
      <c r="EVU61" s="608"/>
      <c r="EVV61" s="608"/>
      <c r="EVW61" s="608"/>
      <c r="EVX61" s="608"/>
      <c r="EVY61" s="608"/>
      <c r="EVZ61" s="608"/>
      <c r="EWA61" s="608"/>
      <c r="EWB61" s="608"/>
      <c r="EWC61" s="608"/>
      <c r="EWD61" s="608"/>
      <c r="EWE61" s="608"/>
      <c r="EWF61" s="608"/>
      <c r="EWG61" s="608"/>
      <c r="EWH61" s="608"/>
      <c r="EWI61" s="608"/>
      <c r="EWJ61" s="608"/>
      <c r="EWK61" s="608"/>
      <c r="EWL61" s="608"/>
      <c r="EWM61" s="608"/>
      <c r="EWN61" s="608"/>
      <c r="EWO61" s="608"/>
      <c r="EWP61" s="608"/>
      <c r="EWQ61" s="608"/>
      <c r="EWR61" s="608"/>
      <c r="EWS61" s="608"/>
      <c r="EWT61" s="608"/>
      <c r="EWU61" s="608"/>
      <c r="EWV61" s="608"/>
      <c r="EWW61" s="608"/>
      <c r="EWX61" s="608"/>
      <c r="EWY61" s="608"/>
      <c r="EWZ61" s="608"/>
      <c r="EXA61" s="608"/>
      <c r="EXB61" s="608"/>
      <c r="EXC61" s="608"/>
      <c r="EXD61" s="608"/>
      <c r="EXE61" s="608"/>
      <c r="EXF61" s="608"/>
      <c r="EXG61" s="608"/>
      <c r="EXH61" s="608"/>
      <c r="EXI61" s="608"/>
      <c r="EXJ61" s="608"/>
      <c r="EXK61" s="608"/>
      <c r="EXL61" s="608"/>
      <c r="EXM61" s="608"/>
      <c r="EXN61" s="608"/>
      <c r="EXO61" s="608"/>
      <c r="EXP61" s="608"/>
      <c r="EXQ61" s="608"/>
      <c r="EXR61" s="608"/>
      <c r="EXS61" s="608"/>
      <c r="EXT61" s="608"/>
      <c r="EXU61" s="608"/>
      <c r="EXV61" s="608"/>
      <c r="EXW61" s="608"/>
      <c r="EXX61" s="608"/>
      <c r="EXY61" s="608"/>
      <c r="EXZ61" s="608"/>
      <c r="EYA61" s="608"/>
      <c r="EYB61" s="608"/>
      <c r="EYC61" s="608"/>
      <c r="EYD61" s="608"/>
      <c r="EYE61" s="608"/>
      <c r="EYF61" s="608"/>
      <c r="EYG61" s="608"/>
      <c r="EYH61" s="608"/>
      <c r="EYI61" s="608"/>
      <c r="EYJ61" s="608"/>
      <c r="EYK61" s="608"/>
      <c r="EYL61" s="608"/>
      <c r="EYM61" s="608"/>
      <c r="EYN61" s="608"/>
      <c r="EYO61" s="608"/>
      <c r="EYP61" s="608"/>
      <c r="EYQ61" s="608"/>
      <c r="EYR61" s="608"/>
      <c r="EYS61" s="608"/>
      <c r="EYT61" s="608"/>
      <c r="EYU61" s="608"/>
      <c r="EYV61" s="608"/>
      <c r="EYW61" s="608"/>
      <c r="EYX61" s="608"/>
      <c r="EYY61" s="608"/>
      <c r="EYZ61" s="608"/>
      <c r="EZA61" s="608"/>
      <c r="EZB61" s="608"/>
      <c r="EZC61" s="608"/>
      <c r="EZD61" s="608"/>
      <c r="EZE61" s="608"/>
      <c r="EZF61" s="608"/>
      <c r="EZG61" s="608"/>
      <c r="EZH61" s="608"/>
      <c r="EZI61" s="608"/>
      <c r="EZJ61" s="608"/>
      <c r="EZK61" s="608"/>
      <c r="EZL61" s="608"/>
      <c r="EZM61" s="608"/>
      <c r="EZN61" s="608"/>
      <c r="EZO61" s="608"/>
      <c r="EZP61" s="608"/>
      <c r="EZQ61" s="608"/>
      <c r="EZR61" s="608"/>
      <c r="EZS61" s="608"/>
      <c r="EZT61" s="608"/>
      <c r="EZU61" s="608"/>
      <c r="EZV61" s="608"/>
      <c r="EZW61" s="608"/>
      <c r="EZX61" s="608"/>
      <c r="EZY61" s="608"/>
      <c r="EZZ61" s="608"/>
      <c r="FAA61" s="608"/>
      <c r="FAB61" s="608"/>
      <c r="FAC61" s="608"/>
      <c r="FAD61" s="608"/>
      <c r="FAE61" s="608"/>
      <c r="FAF61" s="608"/>
      <c r="FAG61" s="608"/>
      <c r="FAH61" s="608"/>
      <c r="FAI61" s="608"/>
      <c r="FAJ61" s="608"/>
      <c r="FAK61" s="608"/>
      <c r="FAL61" s="608"/>
      <c r="FAM61" s="608"/>
      <c r="FAN61" s="608"/>
      <c r="FAO61" s="608"/>
      <c r="FAP61" s="608"/>
      <c r="FAQ61" s="608"/>
      <c r="FAR61" s="608"/>
      <c r="FAS61" s="608"/>
      <c r="FAT61" s="608"/>
      <c r="FAU61" s="608"/>
      <c r="FAV61" s="608"/>
      <c r="FAW61" s="608"/>
      <c r="FAX61" s="608"/>
      <c r="FAY61" s="608"/>
      <c r="FAZ61" s="608"/>
      <c r="FBA61" s="608"/>
      <c r="FBB61" s="608"/>
      <c r="FBC61" s="608"/>
      <c r="FBD61" s="608"/>
      <c r="FBE61" s="608"/>
      <c r="FBF61" s="608"/>
      <c r="FBG61" s="608"/>
      <c r="FBH61" s="608"/>
      <c r="FBI61" s="608"/>
      <c r="FBJ61" s="608"/>
      <c r="FBK61" s="608"/>
      <c r="FBL61" s="608"/>
      <c r="FBM61" s="608"/>
      <c r="FBN61" s="608"/>
      <c r="FBO61" s="608"/>
      <c r="FBP61" s="608"/>
      <c r="FBQ61" s="608"/>
      <c r="FBR61" s="608"/>
      <c r="FBS61" s="608"/>
      <c r="FBT61" s="608"/>
      <c r="FBU61" s="608"/>
      <c r="FBV61" s="608"/>
      <c r="FBW61" s="608"/>
      <c r="FBX61" s="608"/>
      <c r="FBY61" s="608"/>
      <c r="FBZ61" s="608"/>
      <c r="FCA61" s="608"/>
      <c r="FCB61" s="608"/>
      <c r="FCC61" s="608"/>
      <c r="FCD61" s="608"/>
      <c r="FCE61" s="608"/>
      <c r="FCF61" s="608"/>
      <c r="FCG61" s="608"/>
      <c r="FCH61" s="608"/>
      <c r="FCI61" s="608"/>
      <c r="FCJ61" s="608"/>
      <c r="FCK61" s="608"/>
      <c r="FCL61" s="608"/>
      <c r="FCM61" s="608"/>
      <c r="FCN61" s="608"/>
      <c r="FCO61" s="608"/>
      <c r="FCP61" s="608"/>
      <c r="FCQ61" s="608"/>
      <c r="FCR61" s="608"/>
      <c r="FCS61" s="608"/>
      <c r="FCT61" s="608"/>
      <c r="FCU61" s="608"/>
      <c r="FCV61" s="608"/>
      <c r="FCW61" s="608"/>
      <c r="FCX61" s="608"/>
      <c r="FCY61" s="608"/>
      <c r="FCZ61" s="608"/>
      <c r="FDA61" s="608"/>
      <c r="FDB61" s="608"/>
      <c r="FDC61" s="608"/>
      <c r="FDD61" s="608"/>
      <c r="FDE61" s="608"/>
      <c r="FDF61" s="608"/>
      <c r="FDG61" s="608"/>
      <c r="FDH61" s="608"/>
      <c r="FDI61" s="608"/>
      <c r="FDJ61" s="608"/>
      <c r="FDK61" s="608"/>
      <c r="FDL61" s="608"/>
      <c r="FDM61" s="608"/>
      <c r="FDN61" s="608"/>
      <c r="FDO61" s="608"/>
      <c r="FDP61" s="608"/>
      <c r="FDQ61" s="608"/>
      <c r="FDR61" s="608"/>
      <c r="FDS61" s="608"/>
      <c r="FDT61" s="608"/>
      <c r="FDU61" s="608"/>
      <c r="FDV61" s="608"/>
      <c r="FDW61" s="608"/>
      <c r="FDX61" s="608"/>
      <c r="FDY61" s="608"/>
      <c r="FDZ61" s="608"/>
      <c r="FEA61" s="608"/>
      <c r="FEB61" s="608"/>
      <c r="FEC61" s="608"/>
      <c r="FED61" s="608"/>
      <c r="FEE61" s="608"/>
      <c r="FEF61" s="608"/>
      <c r="FEG61" s="608"/>
      <c r="FEH61" s="608"/>
      <c r="FEI61" s="608"/>
      <c r="FEJ61" s="608"/>
      <c r="FEK61" s="608"/>
      <c r="FEL61" s="608"/>
      <c r="FEM61" s="608"/>
      <c r="FEN61" s="608"/>
      <c r="FEO61" s="608"/>
      <c r="FEP61" s="608"/>
      <c r="FEQ61" s="608"/>
      <c r="FER61" s="608"/>
      <c r="FES61" s="608"/>
      <c r="FET61" s="608"/>
      <c r="FEU61" s="608"/>
      <c r="FEV61" s="608"/>
      <c r="FEW61" s="608"/>
      <c r="FEX61" s="608"/>
      <c r="FEY61" s="608"/>
      <c r="FEZ61" s="608"/>
      <c r="FFA61" s="608"/>
      <c r="FFB61" s="608"/>
      <c r="FFC61" s="608"/>
      <c r="FFD61" s="608"/>
      <c r="FFE61" s="608"/>
      <c r="FFF61" s="608"/>
      <c r="FFG61" s="608"/>
      <c r="FFH61" s="608"/>
      <c r="FFI61" s="608"/>
      <c r="FFJ61" s="608"/>
      <c r="FFK61" s="608"/>
      <c r="FFL61" s="608"/>
      <c r="FFM61" s="608"/>
      <c r="FFN61" s="608"/>
      <c r="FFO61" s="608"/>
      <c r="FFP61" s="608"/>
      <c r="FFQ61" s="608"/>
      <c r="FFR61" s="608"/>
      <c r="FFS61" s="608"/>
      <c r="FFT61" s="608"/>
      <c r="FFU61" s="608"/>
      <c r="FFV61" s="608"/>
      <c r="FFW61" s="608"/>
      <c r="FFX61" s="608"/>
      <c r="FFY61" s="608"/>
      <c r="FFZ61" s="608"/>
      <c r="FGA61" s="608"/>
      <c r="FGB61" s="608"/>
      <c r="FGC61" s="608"/>
      <c r="FGD61" s="608"/>
      <c r="FGE61" s="608"/>
      <c r="FGF61" s="608"/>
      <c r="FGG61" s="608"/>
      <c r="FGH61" s="608"/>
      <c r="FGI61" s="608"/>
      <c r="FGJ61" s="608"/>
      <c r="FGK61" s="608"/>
      <c r="FGL61" s="608"/>
      <c r="FGM61" s="608"/>
      <c r="FGN61" s="608"/>
      <c r="FGO61" s="608"/>
      <c r="FGP61" s="608"/>
      <c r="FGQ61" s="608"/>
      <c r="FGR61" s="608"/>
      <c r="FGS61" s="608"/>
      <c r="FGT61" s="608"/>
      <c r="FGU61" s="608"/>
      <c r="FGV61" s="608"/>
      <c r="FGW61" s="608"/>
      <c r="FGX61" s="608"/>
      <c r="FGY61" s="608"/>
      <c r="FGZ61" s="608"/>
      <c r="FHA61" s="608"/>
      <c r="FHB61" s="608"/>
      <c r="FHC61" s="608"/>
      <c r="FHD61" s="608"/>
      <c r="FHE61" s="608"/>
      <c r="FHF61" s="608"/>
      <c r="FHG61" s="608"/>
      <c r="FHH61" s="608"/>
      <c r="FHI61" s="608"/>
      <c r="FHJ61" s="608"/>
      <c r="FHK61" s="608"/>
      <c r="FHL61" s="608"/>
      <c r="FHM61" s="608"/>
      <c r="FHN61" s="608"/>
      <c r="FHO61" s="608"/>
      <c r="FHP61" s="608"/>
      <c r="FHQ61" s="608"/>
      <c r="FHR61" s="608"/>
      <c r="FHS61" s="608"/>
      <c r="FHT61" s="608"/>
      <c r="FHU61" s="608"/>
      <c r="FHV61" s="608"/>
      <c r="FHW61" s="608"/>
      <c r="FHX61" s="608"/>
      <c r="FHY61" s="608"/>
      <c r="FHZ61" s="608"/>
      <c r="FIA61" s="608"/>
      <c r="FIB61" s="608"/>
      <c r="FIC61" s="608"/>
      <c r="FID61" s="608"/>
      <c r="FIE61" s="608"/>
      <c r="FIF61" s="608"/>
      <c r="FIG61" s="608"/>
      <c r="FIH61" s="608"/>
      <c r="FII61" s="608"/>
      <c r="FIJ61" s="608"/>
      <c r="FIK61" s="608"/>
      <c r="FIL61" s="608"/>
      <c r="FIM61" s="608"/>
      <c r="FIN61" s="608"/>
      <c r="FIO61" s="608"/>
      <c r="FIP61" s="608"/>
      <c r="FIQ61" s="608"/>
      <c r="FIR61" s="608"/>
      <c r="FIS61" s="608"/>
      <c r="FIT61" s="608"/>
      <c r="FIU61" s="608"/>
      <c r="FIV61" s="608"/>
      <c r="FIW61" s="608"/>
      <c r="FIX61" s="608"/>
      <c r="FIY61" s="608"/>
      <c r="FIZ61" s="608"/>
      <c r="FJA61" s="608"/>
      <c r="FJB61" s="608"/>
      <c r="FJC61" s="608"/>
      <c r="FJD61" s="608"/>
      <c r="FJE61" s="608"/>
      <c r="FJF61" s="608"/>
      <c r="FJG61" s="608"/>
      <c r="FJH61" s="608"/>
      <c r="FJI61" s="608"/>
      <c r="FJJ61" s="608"/>
      <c r="FJK61" s="608"/>
      <c r="FJL61" s="608"/>
      <c r="FJM61" s="608"/>
      <c r="FJN61" s="608"/>
      <c r="FJO61" s="608"/>
      <c r="FJP61" s="608"/>
      <c r="FJQ61" s="608"/>
      <c r="FJR61" s="608"/>
      <c r="FJS61" s="608"/>
      <c r="FJT61" s="608"/>
      <c r="FJU61" s="608"/>
      <c r="FJV61" s="608"/>
      <c r="FJW61" s="608"/>
      <c r="FJX61" s="608"/>
      <c r="FJY61" s="608"/>
      <c r="FJZ61" s="608"/>
      <c r="FKA61" s="608"/>
      <c r="FKB61" s="608"/>
      <c r="FKC61" s="608"/>
      <c r="FKD61" s="608"/>
      <c r="FKE61" s="608"/>
      <c r="FKF61" s="608"/>
      <c r="FKG61" s="608"/>
      <c r="FKH61" s="608"/>
      <c r="FKI61" s="608"/>
      <c r="FKJ61" s="608"/>
      <c r="FKK61" s="608"/>
      <c r="FKL61" s="608"/>
      <c r="FKM61" s="608"/>
      <c r="FKN61" s="608"/>
      <c r="FKO61" s="608"/>
      <c r="FKP61" s="608"/>
      <c r="FKQ61" s="608"/>
      <c r="FKR61" s="608"/>
      <c r="FKS61" s="608"/>
      <c r="FKT61" s="608"/>
      <c r="FKU61" s="608"/>
      <c r="FKV61" s="608"/>
      <c r="FKW61" s="608"/>
      <c r="FKX61" s="608"/>
      <c r="FKY61" s="608"/>
      <c r="FKZ61" s="608"/>
      <c r="FLA61" s="608"/>
      <c r="FLB61" s="608"/>
      <c r="FLC61" s="608"/>
      <c r="FLD61" s="608"/>
      <c r="FLE61" s="608"/>
      <c r="FLF61" s="608"/>
      <c r="FLG61" s="608"/>
      <c r="FLH61" s="608"/>
      <c r="FLI61" s="608"/>
      <c r="FLJ61" s="608"/>
      <c r="FLK61" s="608"/>
      <c r="FLL61" s="608"/>
      <c r="FLM61" s="608"/>
      <c r="FLN61" s="608"/>
      <c r="FLO61" s="608"/>
      <c r="FLP61" s="608"/>
      <c r="FLQ61" s="608"/>
      <c r="FLR61" s="608"/>
      <c r="FLS61" s="608"/>
      <c r="FLT61" s="608"/>
      <c r="FLU61" s="608"/>
      <c r="FLV61" s="608"/>
      <c r="FLW61" s="608"/>
      <c r="FLX61" s="608"/>
      <c r="FLY61" s="608"/>
      <c r="FLZ61" s="608"/>
      <c r="FMA61" s="608"/>
      <c r="FMB61" s="608"/>
      <c r="FMC61" s="608"/>
      <c r="FMD61" s="608"/>
      <c r="FME61" s="608"/>
      <c r="FMF61" s="608"/>
      <c r="FMG61" s="608"/>
      <c r="FMH61" s="608"/>
      <c r="FMI61" s="608"/>
      <c r="FMJ61" s="608"/>
      <c r="FMK61" s="608"/>
      <c r="FML61" s="608"/>
      <c r="FMM61" s="608"/>
      <c r="FMN61" s="608"/>
      <c r="FMO61" s="608"/>
      <c r="FMP61" s="608"/>
      <c r="FMQ61" s="608"/>
      <c r="FMR61" s="608"/>
      <c r="FMS61" s="608"/>
      <c r="FMT61" s="608"/>
      <c r="FMU61" s="608"/>
      <c r="FMV61" s="608"/>
      <c r="FMW61" s="608"/>
      <c r="FMX61" s="608"/>
      <c r="FMY61" s="608"/>
      <c r="FMZ61" s="608"/>
      <c r="FNA61" s="608"/>
      <c r="FNB61" s="608"/>
      <c r="FNC61" s="608"/>
      <c r="FND61" s="608"/>
      <c r="FNE61" s="608"/>
      <c r="FNF61" s="608"/>
      <c r="FNG61" s="608"/>
      <c r="FNH61" s="608"/>
      <c r="FNI61" s="608"/>
      <c r="FNJ61" s="608"/>
      <c r="FNK61" s="608"/>
      <c r="FNL61" s="608"/>
      <c r="FNM61" s="608"/>
      <c r="FNN61" s="608"/>
      <c r="FNO61" s="608"/>
      <c r="FNP61" s="608"/>
      <c r="FNQ61" s="608"/>
      <c r="FNR61" s="608"/>
      <c r="FNS61" s="608"/>
      <c r="FNT61" s="608"/>
      <c r="FNU61" s="608"/>
      <c r="FNV61" s="608"/>
      <c r="FNW61" s="608"/>
      <c r="FNX61" s="608"/>
      <c r="FNY61" s="608"/>
      <c r="FNZ61" s="608"/>
      <c r="FOA61" s="608"/>
      <c r="FOB61" s="608"/>
      <c r="FOC61" s="608"/>
      <c r="FOD61" s="608"/>
      <c r="FOE61" s="608"/>
      <c r="FOF61" s="608"/>
      <c r="FOG61" s="608"/>
      <c r="FOH61" s="608"/>
      <c r="FOI61" s="608"/>
      <c r="FOJ61" s="608"/>
      <c r="FOK61" s="608"/>
      <c r="FOL61" s="608"/>
      <c r="FOM61" s="608"/>
      <c r="FON61" s="608"/>
      <c r="FOO61" s="608"/>
      <c r="FOP61" s="608"/>
      <c r="FOQ61" s="608"/>
      <c r="FOR61" s="608"/>
      <c r="FOS61" s="608"/>
      <c r="FOT61" s="608"/>
      <c r="FOU61" s="608"/>
      <c r="FOV61" s="608"/>
      <c r="FOW61" s="608"/>
      <c r="FOX61" s="608"/>
      <c r="FOY61" s="608"/>
      <c r="FOZ61" s="608"/>
      <c r="FPA61" s="608"/>
      <c r="FPB61" s="608"/>
      <c r="FPC61" s="608"/>
      <c r="FPD61" s="608"/>
      <c r="FPE61" s="608"/>
      <c r="FPF61" s="608"/>
      <c r="FPG61" s="608"/>
      <c r="FPH61" s="608"/>
      <c r="FPI61" s="608"/>
      <c r="FPJ61" s="608"/>
      <c r="FPK61" s="608"/>
      <c r="FPL61" s="608"/>
      <c r="FPM61" s="608"/>
      <c r="FPN61" s="608"/>
      <c r="FPO61" s="608"/>
      <c r="FPP61" s="608"/>
      <c r="FPQ61" s="608"/>
      <c r="FPR61" s="608"/>
      <c r="FPS61" s="608"/>
      <c r="FPT61" s="608"/>
      <c r="FPU61" s="608"/>
      <c r="FPV61" s="608"/>
      <c r="FPW61" s="608"/>
      <c r="FPX61" s="608"/>
      <c r="FPY61" s="608"/>
      <c r="FPZ61" s="608"/>
      <c r="FQA61" s="608"/>
      <c r="FQB61" s="608"/>
      <c r="FQC61" s="608"/>
      <c r="FQD61" s="608"/>
      <c r="FQE61" s="608"/>
      <c r="FQF61" s="608"/>
      <c r="FQG61" s="608"/>
      <c r="FQH61" s="608"/>
      <c r="FQI61" s="608"/>
      <c r="FQJ61" s="608"/>
      <c r="FQK61" s="608"/>
      <c r="FQL61" s="608"/>
      <c r="FQM61" s="608"/>
      <c r="FQN61" s="608"/>
      <c r="FQO61" s="608"/>
      <c r="FQP61" s="608"/>
      <c r="FQQ61" s="608"/>
      <c r="FQR61" s="608"/>
      <c r="FQS61" s="608"/>
      <c r="FQT61" s="608"/>
      <c r="FQU61" s="608"/>
      <c r="FQV61" s="608"/>
      <c r="FQW61" s="608"/>
      <c r="FQX61" s="608"/>
      <c r="FQY61" s="608"/>
      <c r="FQZ61" s="608"/>
      <c r="FRA61" s="608"/>
      <c r="FRB61" s="608"/>
      <c r="FRC61" s="608"/>
      <c r="FRD61" s="608"/>
      <c r="FRE61" s="608"/>
      <c r="FRF61" s="608"/>
      <c r="FRG61" s="608"/>
      <c r="FRH61" s="608"/>
      <c r="FRI61" s="608"/>
      <c r="FRJ61" s="608"/>
      <c r="FRK61" s="608"/>
      <c r="FRL61" s="608"/>
      <c r="FRM61" s="608"/>
      <c r="FRN61" s="608"/>
      <c r="FRO61" s="608"/>
      <c r="FRP61" s="608"/>
      <c r="FRQ61" s="608"/>
      <c r="FRR61" s="608"/>
      <c r="FRS61" s="608"/>
      <c r="FRT61" s="608"/>
      <c r="FRU61" s="608"/>
      <c r="FRV61" s="608"/>
      <c r="FRW61" s="608"/>
      <c r="FRX61" s="608"/>
      <c r="FRY61" s="608"/>
      <c r="FRZ61" s="608"/>
      <c r="FSA61" s="608"/>
      <c r="FSB61" s="608"/>
      <c r="FSC61" s="608"/>
      <c r="FSD61" s="608"/>
      <c r="FSE61" s="608"/>
      <c r="FSF61" s="608"/>
      <c r="FSG61" s="608"/>
      <c r="FSH61" s="608"/>
      <c r="FSI61" s="608"/>
      <c r="FSJ61" s="608"/>
      <c r="FSK61" s="608"/>
      <c r="FSL61" s="608"/>
      <c r="FSM61" s="608"/>
      <c r="FSN61" s="608"/>
      <c r="FSO61" s="608"/>
      <c r="FSP61" s="608"/>
      <c r="FSQ61" s="608"/>
      <c r="FSR61" s="608"/>
      <c r="FSS61" s="608"/>
      <c r="FST61" s="608"/>
      <c r="FSU61" s="608"/>
      <c r="FSV61" s="608"/>
      <c r="FSW61" s="608"/>
      <c r="FSX61" s="608"/>
      <c r="FSY61" s="608"/>
      <c r="FSZ61" s="608"/>
      <c r="FTA61" s="608"/>
      <c r="FTB61" s="608"/>
      <c r="FTC61" s="608"/>
      <c r="FTD61" s="608"/>
      <c r="FTE61" s="608"/>
      <c r="FTF61" s="608"/>
      <c r="FTG61" s="608"/>
      <c r="FTH61" s="608"/>
      <c r="FTI61" s="608"/>
      <c r="FTJ61" s="608"/>
      <c r="FTK61" s="608"/>
      <c r="FTL61" s="608"/>
      <c r="FTM61" s="608"/>
      <c r="FTN61" s="608"/>
      <c r="FTO61" s="608"/>
      <c r="FTP61" s="608"/>
      <c r="FTQ61" s="608"/>
      <c r="FTR61" s="608"/>
      <c r="FTS61" s="608"/>
      <c r="FTT61" s="608"/>
      <c r="FTU61" s="608"/>
      <c r="FTV61" s="608"/>
      <c r="FTW61" s="608"/>
      <c r="FTX61" s="608"/>
      <c r="FTY61" s="608"/>
      <c r="FTZ61" s="608"/>
      <c r="FUA61" s="608"/>
      <c r="FUB61" s="608"/>
      <c r="FUC61" s="608"/>
      <c r="FUD61" s="608"/>
      <c r="FUE61" s="608"/>
      <c r="FUF61" s="608"/>
      <c r="FUG61" s="608"/>
      <c r="FUH61" s="608"/>
      <c r="FUI61" s="608"/>
      <c r="FUJ61" s="608"/>
      <c r="FUK61" s="608"/>
      <c r="FUL61" s="608"/>
      <c r="FUM61" s="608"/>
      <c r="FUN61" s="608"/>
      <c r="FUO61" s="608"/>
      <c r="FUP61" s="608"/>
      <c r="FUQ61" s="608"/>
      <c r="FUR61" s="608"/>
      <c r="FUS61" s="608"/>
      <c r="FUT61" s="608"/>
      <c r="FUU61" s="608"/>
      <c r="FUV61" s="608"/>
      <c r="FUW61" s="608"/>
      <c r="FUX61" s="608"/>
      <c r="FUY61" s="608"/>
      <c r="FUZ61" s="608"/>
      <c r="FVA61" s="608"/>
      <c r="FVB61" s="608"/>
      <c r="FVC61" s="608"/>
      <c r="FVD61" s="608"/>
      <c r="FVE61" s="608"/>
      <c r="FVF61" s="608"/>
      <c r="FVG61" s="608"/>
      <c r="FVH61" s="608"/>
      <c r="FVI61" s="608"/>
      <c r="FVJ61" s="608"/>
      <c r="FVK61" s="608"/>
      <c r="FVL61" s="608"/>
      <c r="FVM61" s="608"/>
      <c r="FVN61" s="608"/>
      <c r="FVO61" s="608"/>
      <c r="FVP61" s="608"/>
      <c r="FVQ61" s="608"/>
      <c r="FVR61" s="608"/>
      <c r="FVS61" s="608"/>
      <c r="FVT61" s="608"/>
      <c r="FVU61" s="608"/>
      <c r="FVV61" s="608"/>
      <c r="FVW61" s="608"/>
      <c r="FVX61" s="608"/>
      <c r="FVY61" s="608"/>
      <c r="FVZ61" s="608"/>
      <c r="FWA61" s="608"/>
      <c r="FWB61" s="608"/>
      <c r="FWC61" s="608"/>
      <c r="FWD61" s="608"/>
      <c r="FWE61" s="608"/>
      <c r="FWF61" s="608"/>
      <c r="FWG61" s="608"/>
      <c r="FWH61" s="608"/>
      <c r="FWI61" s="608"/>
      <c r="FWJ61" s="608"/>
      <c r="FWK61" s="608"/>
      <c r="FWL61" s="608"/>
      <c r="FWM61" s="608"/>
      <c r="FWN61" s="608"/>
      <c r="FWO61" s="608"/>
      <c r="FWP61" s="608"/>
      <c r="FWQ61" s="608"/>
      <c r="FWR61" s="608"/>
      <c r="FWS61" s="608"/>
      <c r="FWT61" s="608"/>
      <c r="FWU61" s="608"/>
      <c r="FWV61" s="608"/>
      <c r="FWW61" s="608"/>
      <c r="FWX61" s="608"/>
      <c r="FWY61" s="608"/>
      <c r="FWZ61" s="608"/>
      <c r="FXA61" s="608"/>
      <c r="FXB61" s="608"/>
      <c r="FXC61" s="608"/>
      <c r="FXD61" s="608"/>
      <c r="FXE61" s="608"/>
      <c r="FXF61" s="608"/>
      <c r="FXG61" s="608"/>
      <c r="FXH61" s="608"/>
      <c r="FXI61" s="608"/>
      <c r="FXJ61" s="608"/>
      <c r="FXK61" s="608"/>
      <c r="FXL61" s="608"/>
      <c r="FXM61" s="608"/>
      <c r="FXN61" s="608"/>
      <c r="FXO61" s="608"/>
      <c r="FXP61" s="608"/>
      <c r="FXQ61" s="608"/>
      <c r="FXR61" s="608"/>
      <c r="FXS61" s="608"/>
      <c r="FXT61" s="608"/>
      <c r="FXU61" s="608"/>
      <c r="FXV61" s="608"/>
      <c r="FXW61" s="608"/>
      <c r="FXX61" s="608"/>
      <c r="FXY61" s="608"/>
      <c r="FXZ61" s="608"/>
      <c r="FYA61" s="608"/>
      <c r="FYB61" s="608"/>
      <c r="FYC61" s="608"/>
      <c r="FYD61" s="608"/>
      <c r="FYE61" s="608"/>
      <c r="FYF61" s="608"/>
      <c r="FYG61" s="608"/>
      <c r="FYH61" s="608"/>
      <c r="FYI61" s="608"/>
      <c r="FYJ61" s="608"/>
      <c r="FYK61" s="608"/>
      <c r="FYL61" s="608"/>
      <c r="FYM61" s="608"/>
      <c r="FYN61" s="608"/>
      <c r="FYO61" s="608"/>
      <c r="FYP61" s="608"/>
      <c r="FYQ61" s="608"/>
      <c r="FYR61" s="608"/>
      <c r="FYS61" s="608"/>
      <c r="FYT61" s="608"/>
      <c r="FYU61" s="608"/>
      <c r="FYV61" s="608"/>
      <c r="FYW61" s="608"/>
      <c r="FYX61" s="608"/>
      <c r="FYY61" s="608"/>
      <c r="FYZ61" s="608"/>
      <c r="FZA61" s="608"/>
      <c r="FZB61" s="608"/>
      <c r="FZC61" s="608"/>
      <c r="FZD61" s="608"/>
      <c r="FZE61" s="608"/>
      <c r="FZF61" s="608"/>
      <c r="FZG61" s="608"/>
      <c r="FZH61" s="608"/>
      <c r="FZI61" s="608"/>
      <c r="FZJ61" s="608"/>
      <c r="FZK61" s="608"/>
      <c r="FZL61" s="608"/>
      <c r="FZM61" s="608"/>
      <c r="FZN61" s="608"/>
      <c r="FZO61" s="608"/>
      <c r="FZP61" s="608"/>
      <c r="FZQ61" s="608"/>
      <c r="FZR61" s="608"/>
      <c r="FZS61" s="608"/>
      <c r="FZT61" s="608"/>
      <c r="FZU61" s="608"/>
      <c r="FZV61" s="608"/>
      <c r="FZW61" s="608"/>
      <c r="FZX61" s="608"/>
      <c r="FZY61" s="608"/>
      <c r="FZZ61" s="608"/>
      <c r="GAA61" s="608"/>
      <c r="GAB61" s="608"/>
      <c r="GAC61" s="608"/>
      <c r="GAD61" s="608"/>
      <c r="GAE61" s="608"/>
      <c r="GAF61" s="608"/>
      <c r="GAG61" s="608"/>
      <c r="GAH61" s="608"/>
      <c r="GAI61" s="608"/>
      <c r="GAJ61" s="608"/>
      <c r="GAK61" s="608"/>
      <c r="GAL61" s="608"/>
      <c r="GAM61" s="608"/>
      <c r="GAN61" s="608"/>
      <c r="GAO61" s="608"/>
      <c r="GAP61" s="608"/>
      <c r="GAQ61" s="608"/>
      <c r="GAR61" s="608"/>
      <c r="GAS61" s="608"/>
      <c r="GAT61" s="608"/>
      <c r="GAU61" s="608"/>
      <c r="GAV61" s="608"/>
      <c r="GAW61" s="608"/>
      <c r="GAX61" s="608"/>
      <c r="GAY61" s="608"/>
      <c r="GAZ61" s="608"/>
      <c r="GBA61" s="608"/>
      <c r="GBB61" s="608"/>
      <c r="GBC61" s="608"/>
      <c r="GBD61" s="608"/>
      <c r="GBE61" s="608"/>
      <c r="GBF61" s="608"/>
      <c r="GBG61" s="608"/>
      <c r="GBH61" s="608"/>
      <c r="GBI61" s="608"/>
      <c r="GBJ61" s="608"/>
      <c r="GBK61" s="608"/>
      <c r="GBL61" s="608"/>
      <c r="GBM61" s="608"/>
      <c r="GBN61" s="608"/>
      <c r="GBO61" s="608"/>
      <c r="GBP61" s="608"/>
      <c r="GBQ61" s="608"/>
      <c r="GBR61" s="608"/>
      <c r="GBS61" s="608"/>
      <c r="GBT61" s="608"/>
      <c r="GBU61" s="608"/>
      <c r="GBV61" s="608"/>
      <c r="GBW61" s="608"/>
      <c r="GBX61" s="608"/>
      <c r="GBY61" s="608"/>
      <c r="GBZ61" s="608"/>
      <c r="GCA61" s="608"/>
      <c r="GCB61" s="608"/>
      <c r="GCC61" s="608"/>
      <c r="GCD61" s="608"/>
      <c r="GCE61" s="608"/>
      <c r="GCF61" s="608"/>
      <c r="GCG61" s="608"/>
      <c r="GCH61" s="608"/>
      <c r="GCI61" s="608"/>
      <c r="GCJ61" s="608"/>
      <c r="GCK61" s="608"/>
      <c r="GCL61" s="608"/>
      <c r="GCM61" s="608"/>
      <c r="GCN61" s="608"/>
      <c r="GCO61" s="608"/>
      <c r="GCP61" s="608"/>
      <c r="GCQ61" s="608"/>
      <c r="GCR61" s="608"/>
      <c r="GCS61" s="608"/>
      <c r="GCT61" s="608"/>
      <c r="GCU61" s="608"/>
      <c r="GCV61" s="608"/>
      <c r="GCW61" s="608"/>
      <c r="GCX61" s="608"/>
      <c r="GCY61" s="608"/>
      <c r="GCZ61" s="608"/>
      <c r="GDA61" s="608"/>
      <c r="GDB61" s="608"/>
      <c r="GDC61" s="608"/>
      <c r="GDD61" s="608"/>
      <c r="GDE61" s="608"/>
      <c r="GDF61" s="608"/>
      <c r="GDG61" s="608"/>
      <c r="GDH61" s="608"/>
      <c r="GDI61" s="608"/>
      <c r="GDJ61" s="608"/>
      <c r="GDK61" s="608"/>
      <c r="GDL61" s="608"/>
      <c r="GDM61" s="608"/>
      <c r="GDN61" s="608"/>
      <c r="GDO61" s="608"/>
      <c r="GDP61" s="608"/>
      <c r="GDQ61" s="608"/>
      <c r="GDR61" s="608"/>
      <c r="GDS61" s="608"/>
      <c r="GDT61" s="608"/>
      <c r="GDU61" s="608"/>
      <c r="GDV61" s="608"/>
      <c r="GDW61" s="608"/>
      <c r="GDX61" s="608"/>
      <c r="GDY61" s="608"/>
      <c r="GDZ61" s="608"/>
      <c r="GEA61" s="608"/>
      <c r="GEB61" s="608"/>
      <c r="GEC61" s="608"/>
      <c r="GED61" s="608"/>
      <c r="GEE61" s="608"/>
      <c r="GEF61" s="608"/>
      <c r="GEG61" s="608"/>
      <c r="GEH61" s="608"/>
      <c r="GEI61" s="608"/>
      <c r="GEJ61" s="608"/>
      <c r="GEK61" s="608"/>
      <c r="GEL61" s="608"/>
      <c r="GEM61" s="608"/>
      <c r="GEN61" s="608"/>
      <c r="GEO61" s="608"/>
      <c r="GEP61" s="608"/>
      <c r="GEQ61" s="608"/>
      <c r="GER61" s="608"/>
      <c r="GES61" s="608"/>
      <c r="GET61" s="608"/>
      <c r="GEU61" s="608"/>
      <c r="GEV61" s="608"/>
      <c r="GEW61" s="608"/>
      <c r="GEX61" s="608"/>
      <c r="GEY61" s="608"/>
      <c r="GEZ61" s="608"/>
      <c r="GFA61" s="608"/>
      <c r="GFB61" s="608"/>
      <c r="GFC61" s="608"/>
      <c r="GFD61" s="608"/>
      <c r="GFE61" s="608"/>
      <c r="GFF61" s="608"/>
      <c r="GFG61" s="608"/>
      <c r="GFH61" s="608"/>
      <c r="GFI61" s="608"/>
      <c r="GFJ61" s="608"/>
      <c r="GFK61" s="608"/>
      <c r="GFL61" s="608"/>
      <c r="GFM61" s="608"/>
      <c r="GFN61" s="608"/>
      <c r="GFO61" s="608"/>
      <c r="GFP61" s="608"/>
      <c r="GFQ61" s="608"/>
      <c r="GFR61" s="608"/>
      <c r="GFS61" s="608"/>
      <c r="GFT61" s="608"/>
      <c r="GFU61" s="608"/>
      <c r="GFV61" s="608"/>
      <c r="GFW61" s="608"/>
      <c r="GFX61" s="608"/>
      <c r="GFY61" s="608"/>
      <c r="GFZ61" s="608"/>
      <c r="GGA61" s="608"/>
      <c r="GGB61" s="608"/>
      <c r="GGC61" s="608"/>
      <c r="GGD61" s="608"/>
      <c r="GGE61" s="608"/>
      <c r="GGF61" s="608"/>
      <c r="GGG61" s="608"/>
      <c r="GGH61" s="608"/>
      <c r="GGI61" s="608"/>
      <c r="GGJ61" s="608"/>
      <c r="GGK61" s="608"/>
      <c r="GGL61" s="608"/>
      <c r="GGM61" s="608"/>
      <c r="GGN61" s="608"/>
      <c r="GGO61" s="608"/>
      <c r="GGP61" s="608"/>
      <c r="GGQ61" s="608"/>
      <c r="GGR61" s="608"/>
      <c r="GGS61" s="608"/>
      <c r="GGT61" s="608"/>
      <c r="GGU61" s="608"/>
      <c r="GGV61" s="608"/>
      <c r="GGW61" s="608"/>
      <c r="GGX61" s="608"/>
      <c r="GGY61" s="608"/>
      <c r="GGZ61" s="608"/>
      <c r="GHA61" s="608"/>
      <c r="GHB61" s="608"/>
      <c r="GHC61" s="608"/>
      <c r="GHD61" s="608"/>
      <c r="GHE61" s="608"/>
      <c r="GHF61" s="608"/>
      <c r="GHG61" s="608"/>
      <c r="GHH61" s="608"/>
      <c r="GHI61" s="608"/>
      <c r="GHJ61" s="608"/>
      <c r="GHK61" s="608"/>
      <c r="GHL61" s="608"/>
      <c r="GHM61" s="608"/>
      <c r="GHN61" s="608"/>
      <c r="GHO61" s="608"/>
      <c r="GHP61" s="608"/>
      <c r="GHQ61" s="608"/>
      <c r="GHR61" s="608"/>
      <c r="GHS61" s="608"/>
      <c r="GHT61" s="608"/>
      <c r="GHU61" s="608"/>
      <c r="GHV61" s="608"/>
      <c r="GHW61" s="608"/>
      <c r="GHX61" s="608"/>
      <c r="GHY61" s="608"/>
      <c r="GHZ61" s="608"/>
      <c r="GIA61" s="608"/>
      <c r="GIB61" s="608"/>
      <c r="GIC61" s="608"/>
      <c r="GID61" s="608"/>
      <c r="GIE61" s="608"/>
      <c r="GIF61" s="608"/>
      <c r="GIG61" s="608"/>
      <c r="GIH61" s="608"/>
      <c r="GII61" s="608"/>
      <c r="GIJ61" s="608"/>
      <c r="GIK61" s="608"/>
      <c r="GIL61" s="608"/>
      <c r="GIM61" s="608"/>
      <c r="GIN61" s="608"/>
      <c r="GIO61" s="608"/>
      <c r="GIP61" s="608"/>
      <c r="GIQ61" s="608"/>
      <c r="GIR61" s="608"/>
      <c r="GIS61" s="608"/>
      <c r="GIT61" s="608"/>
      <c r="GIU61" s="608"/>
      <c r="GIV61" s="608"/>
      <c r="GIW61" s="608"/>
      <c r="GIX61" s="608"/>
      <c r="GIY61" s="608"/>
      <c r="GIZ61" s="608"/>
      <c r="GJA61" s="608"/>
      <c r="GJB61" s="608"/>
      <c r="GJC61" s="608"/>
      <c r="GJD61" s="608"/>
      <c r="GJE61" s="608"/>
      <c r="GJF61" s="608"/>
      <c r="GJG61" s="608"/>
      <c r="GJH61" s="608"/>
      <c r="GJI61" s="608"/>
      <c r="GJJ61" s="608"/>
      <c r="GJK61" s="608"/>
      <c r="GJL61" s="608"/>
      <c r="GJM61" s="608"/>
      <c r="GJN61" s="608"/>
      <c r="GJO61" s="608"/>
      <c r="GJP61" s="608"/>
      <c r="GJQ61" s="608"/>
      <c r="GJR61" s="608"/>
      <c r="GJS61" s="608"/>
      <c r="GJT61" s="608"/>
      <c r="GJU61" s="608"/>
      <c r="GJV61" s="608"/>
      <c r="GJW61" s="608"/>
      <c r="GJX61" s="608"/>
      <c r="GJY61" s="608"/>
      <c r="GJZ61" s="608"/>
      <c r="GKA61" s="608"/>
      <c r="GKB61" s="608"/>
      <c r="GKC61" s="608"/>
      <c r="GKD61" s="608"/>
      <c r="GKE61" s="608"/>
      <c r="GKF61" s="608"/>
      <c r="GKG61" s="608"/>
      <c r="GKH61" s="608"/>
      <c r="GKI61" s="608"/>
      <c r="GKJ61" s="608"/>
      <c r="GKK61" s="608"/>
      <c r="GKL61" s="608"/>
      <c r="GKM61" s="608"/>
      <c r="GKN61" s="608"/>
      <c r="GKO61" s="608"/>
      <c r="GKP61" s="608"/>
      <c r="GKQ61" s="608"/>
      <c r="GKR61" s="608"/>
      <c r="GKS61" s="608"/>
      <c r="GKT61" s="608"/>
      <c r="GKU61" s="608"/>
      <c r="GKV61" s="608"/>
      <c r="GKW61" s="608"/>
      <c r="GKX61" s="608"/>
      <c r="GKY61" s="608"/>
      <c r="GKZ61" s="608"/>
      <c r="GLA61" s="608"/>
      <c r="GLB61" s="608"/>
      <c r="GLC61" s="608"/>
      <c r="GLD61" s="608"/>
      <c r="GLE61" s="608"/>
      <c r="GLF61" s="608"/>
      <c r="GLG61" s="608"/>
      <c r="GLH61" s="608"/>
      <c r="GLI61" s="608"/>
      <c r="GLJ61" s="608"/>
      <c r="GLK61" s="608"/>
      <c r="GLL61" s="608"/>
      <c r="GLM61" s="608"/>
      <c r="GLN61" s="608"/>
      <c r="GLO61" s="608"/>
      <c r="GLP61" s="608"/>
      <c r="GLQ61" s="608"/>
      <c r="GLR61" s="608"/>
      <c r="GLS61" s="608"/>
      <c r="GLT61" s="608"/>
      <c r="GLU61" s="608"/>
      <c r="GLV61" s="608"/>
      <c r="GLW61" s="608"/>
      <c r="GLX61" s="608"/>
      <c r="GLY61" s="608"/>
      <c r="GLZ61" s="608"/>
      <c r="GMA61" s="608"/>
      <c r="GMB61" s="608"/>
      <c r="GMC61" s="608"/>
      <c r="GMD61" s="608"/>
      <c r="GME61" s="608"/>
      <c r="GMF61" s="608"/>
      <c r="GMG61" s="608"/>
      <c r="GMH61" s="608"/>
      <c r="GMI61" s="608"/>
      <c r="GMJ61" s="608"/>
      <c r="GMK61" s="608"/>
      <c r="GML61" s="608"/>
      <c r="GMM61" s="608"/>
      <c r="GMN61" s="608"/>
      <c r="GMO61" s="608"/>
      <c r="GMP61" s="608"/>
      <c r="GMQ61" s="608"/>
      <c r="GMR61" s="608"/>
      <c r="GMS61" s="608"/>
      <c r="GMT61" s="608"/>
      <c r="GMU61" s="608"/>
      <c r="GMV61" s="608"/>
      <c r="GMW61" s="608"/>
      <c r="GMX61" s="608"/>
      <c r="GMY61" s="608"/>
      <c r="GMZ61" s="608"/>
      <c r="GNA61" s="608"/>
      <c r="GNB61" s="608"/>
      <c r="GNC61" s="608"/>
      <c r="GND61" s="608"/>
      <c r="GNE61" s="608"/>
      <c r="GNF61" s="608"/>
      <c r="GNG61" s="608"/>
      <c r="GNH61" s="608"/>
      <c r="GNI61" s="608"/>
      <c r="GNJ61" s="608"/>
      <c r="GNK61" s="608"/>
      <c r="GNL61" s="608"/>
      <c r="GNM61" s="608"/>
      <c r="GNN61" s="608"/>
      <c r="GNO61" s="608"/>
      <c r="GNP61" s="608"/>
      <c r="GNQ61" s="608"/>
      <c r="GNR61" s="608"/>
      <c r="GNS61" s="608"/>
      <c r="GNT61" s="608"/>
      <c r="GNU61" s="608"/>
      <c r="GNV61" s="608"/>
      <c r="GNW61" s="608"/>
      <c r="GNX61" s="608"/>
      <c r="GNY61" s="608"/>
      <c r="GNZ61" s="608"/>
      <c r="GOA61" s="608"/>
      <c r="GOB61" s="608"/>
      <c r="GOC61" s="608"/>
      <c r="GOD61" s="608"/>
      <c r="GOE61" s="608"/>
      <c r="GOF61" s="608"/>
      <c r="GOG61" s="608"/>
      <c r="GOH61" s="608"/>
      <c r="GOI61" s="608"/>
      <c r="GOJ61" s="608"/>
      <c r="GOK61" s="608"/>
      <c r="GOL61" s="608"/>
      <c r="GOM61" s="608"/>
      <c r="GON61" s="608"/>
      <c r="GOO61" s="608"/>
      <c r="GOP61" s="608"/>
      <c r="GOQ61" s="608"/>
      <c r="GOR61" s="608"/>
      <c r="GOS61" s="608"/>
      <c r="GOT61" s="608"/>
      <c r="GOU61" s="608"/>
      <c r="GOV61" s="608"/>
      <c r="GOW61" s="608"/>
      <c r="GOX61" s="608"/>
      <c r="GOY61" s="608"/>
      <c r="GOZ61" s="608"/>
      <c r="GPA61" s="608"/>
      <c r="GPB61" s="608"/>
      <c r="GPC61" s="608"/>
      <c r="GPD61" s="608"/>
      <c r="GPE61" s="608"/>
      <c r="GPF61" s="608"/>
      <c r="GPG61" s="608"/>
      <c r="GPH61" s="608"/>
      <c r="GPI61" s="608"/>
      <c r="GPJ61" s="608"/>
      <c r="GPK61" s="608"/>
      <c r="GPL61" s="608"/>
      <c r="GPM61" s="608"/>
      <c r="GPN61" s="608"/>
      <c r="GPO61" s="608"/>
      <c r="GPP61" s="608"/>
      <c r="GPQ61" s="608"/>
      <c r="GPR61" s="608"/>
      <c r="GPS61" s="608"/>
      <c r="GPT61" s="608"/>
      <c r="GPU61" s="608"/>
      <c r="GPV61" s="608"/>
      <c r="GPW61" s="608"/>
      <c r="GPX61" s="608"/>
      <c r="GPY61" s="608"/>
      <c r="GPZ61" s="608"/>
      <c r="GQA61" s="608"/>
      <c r="GQB61" s="608"/>
      <c r="GQC61" s="608"/>
      <c r="GQD61" s="608"/>
      <c r="GQE61" s="608"/>
      <c r="GQF61" s="608"/>
      <c r="GQG61" s="608"/>
      <c r="GQH61" s="608"/>
      <c r="GQI61" s="608"/>
      <c r="GQJ61" s="608"/>
      <c r="GQK61" s="608"/>
      <c r="GQL61" s="608"/>
      <c r="GQM61" s="608"/>
      <c r="GQN61" s="608"/>
      <c r="GQO61" s="608"/>
      <c r="GQP61" s="608"/>
      <c r="GQQ61" s="608"/>
      <c r="GQR61" s="608"/>
      <c r="GQS61" s="608"/>
      <c r="GQT61" s="608"/>
      <c r="GQU61" s="608"/>
      <c r="GQV61" s="608"/>
      <c r="GQW61" s="608"/>
      <c r="GQX61" s="608"/>
      <c r="GQY61" s="608"/>
      <c r="GQZ61" s="608"/>
      <c r="GRA61" s="608"/>
      <c r="GRB61" s="608"/>
      <c r="GRC61" s="608"/>
      <c r="GRD61" s="608"/>
      <c r="GRE61" s="608"/>
      <c r="GRF61" s="608"/>
      <c r="GRG61" s="608"/>
      <c r="GRH61" s="608"/>
      <c r="GRI61" s="608"/>
      <c r="GRJ61" s="608"/>
      <c r="GRK61" s="608"/>
      <c r="GRL61" s="608"/>
      <c r="GRM61" s="608"/>
      <c r="GRN61" s="608"/>
      <c r="GRO61" s="608"/>
      <c r="GRP61" s="608"/>
      <c r="GRQ61" s="608"/>
      <c r="GRR61" s="608"/>
      <c r="GRS61" s="608"/>
      <c r="GRT61" s="608"/>
      <c r="GRU61" s="608"/>
      <c r="GRV61" s="608"/>
      <c r="GRW61" s="608"/>
      <c r="GRX61" s="608"/>
      <c r="GRY61" s="608"/>
      <c r="GRZ61" s="608"/>
      <c r="GSA61" s="608"/>
      <c r="GSB61" s="608"/>
      <c r="GSC61" s="608"/>
      <c r="GSD61" s="608"/>
      <c r="GSE61" s="608"/>
      <c r="GSF61" s="608"/>
      <c r="GSG61" s="608"/>
      <c r="GSH61" s="608"/>
      <c r="GSI61" s="608"/>
      <c r="GSJ61" s="608"/>
      <c r="GSK61" s="608"/>
      <c r="GSL61" s="608"/>
      <c r="GSM61" s="608"/>
      <c r="GSN61" s="608"/>
      <c r="GSO61" s="608"/>
      <c r="GSP61" s="608"/>
      <c r="GSQ61" s="608"/>
      <c r="GSR61" s="608"/>
      <c r="GSS61" s="608"/>
      <c r="GST61" s="608"/>
      <c r="GSU61" s="608"/>
      <c r="GSV61" s="608"/>
      <c r="GSW61" s="608"/>
      <c r="GSX61" s="608"/>
      <c r="GSY61" s="608"/>
      <c r="GSZ61" s="608"/>
      <c r="GTA61" s="608"/>
      <c r="GTB61" s="608"/>
      <c r="GTC61" s="608"/>
      <c r="GTD61" s="608"/>
      <c r="GTE61" s="608"/>
      <c r="GTF61" s="608"/>
      <c r="GTG61" s="608"/>
      <c r="GTH61" s="608"/>
      <c r="GTI61" s="608"/>
      <c r="GTJ61" s="608"/>
      <c r="GTK61" s="608"/>
      <c r="GTL61" s="608"/>
      <c r="GTM61" s="608"/>
      <c r="GTN61" s="608"/>
      <c r="GTO61" s="608"/>
      <c r="GTP61" s="608"/>
      <c r="GTQ61" s="608"/>
      <c r="GTR61" s="608"/>
      <c r="GTS61" s="608"/>
      <c r="GTT61" s="608"/>
      <c r="GTU61" s="608"/>
      <c r="GTV61" s="608"/>
      <c r="GTW61" s="608"/>
      <c r="GTX61" s="608"/>
      <c r="GTY61" s="608"/>
      <c r="GTZ61" s="608"/>
      <c r="GUA61" s="608"/>
      <c r="GUB61" s="608"/>
      <c r="GUC61" s="608"/>
      <c r="GUD61" s="608"/>
      <c r="GUE61" s="608"/>
      <c r="GUF61" s="608"/>
      <c r="GUG61" s="608"/>
      <c r="GUH61" s="608"/>
      <c r="GUI61" s="608"/>
      <c r="GUJ61" s="608"/>
      <c r="GUK61" s="608"/>
      <c r="GUL61" s="608"/>
      <c r="GUM61" s="608"/>
      <c r="GUN61" s="608"/>
      <c r="GUO61" s="608"/>
      <c r="GUP61" s="608"/>
      <c r="GUQ61" s="608"/>
      <c r="GUR61" s="608"/>
      <c r="GUS61" s="608"/>
      <c r="GUT61" s="608"/>
      <c r="GUU61" s="608"/>
      <c r="GUV61" s="608"/>
      <c r="GUW61" s="608"/>
      <c r="GUX61" s="608"/>
      <c r="GUY61" s="608"/>
      <c r="GUZ61" s="608"/>
      <c r="GVA61" s="608"/>
      <c r="GVB61" s="608"/>
      <c r="GVC61" s="608"/>
      <c r="GVD61" s="608"/>
      <c r="GVE61" s="608"/>
      <c r="GVF61" s="608"/>
      <c r="GVG61" s="608"/>
      <c r="GVH61" s="608"/>
      <c r="GVI61" s="608"/>
      <c r="GVJ61" s="608"/>
      <c r="GVK61" s="608"/>
      <c r="GVL61" s="608"/>
      <c r="GVM61" s="608"/>
      <c r="GVN61" s="608"/>
      <c r="GVO61" s="608"/>
      <c r="GVP61" s="608"/>
      <c r="GVQ61" s="608"/>
      <c r="GVR61" s="608"/>
      <c r="GVS61" s="608"/>
      <c r="GVT61" s="608"/>
      <c r="GVU61" s="608"/>
      <c r="GVV61" s="608"/>
      <c r="GVW61" s="608"/>
      <c r="GVX61" s="608"/>
      <c r="GVY61" s="608"/>
      <c r="GVZ61" s="608"/>
      <c r="GWA61" s="608"/>
      <c r="GWB61" s="608"/>
      <c r="GWC61" s="608"/>
      <c r="GWD61" s="608"/>
      <c r="GWE61" s="608"/>
      <c r="GWF61" s="608"/>
      <c r="GWG61" s="608"/>
      <c r="GWH61" s="608"/>
      <c r="GWI61" s="608"/>
      <c r="GWJ61" s="608"/>
      <c r="GWK61" s="608"/>
      <c r="GWL61" s="608"/>
      <c r="GWM61" s="608"/>
      <c r="GWN61" s="608"/>
      <c r="GWO61" s="608"/>
      <c r="GWP61" s="608"/>
      <c r="GWQ61" s="608"/>
      <c r="GWR61" s="608"/>
      <c r="GWS61" s="608"/>
      <c r="GWT61" s="608"/>
      <c r="GWU61" s="608"/>
      <c r="GWV61" s="608"/>
      <c r="GWW61" s="608"/>
      <c r="GWX61" s="608"/>
      <c r="GWY61" s="608"/>
      <c r="GWZ61" s="608"/>
      <c r="GXA61" s="608"/>
      <c r="GXB61" s="608"/>
      <c r="GXC61" s="608"/>
      <c r="GXD61" s="608"/>
      <c r="GXE61" s="608"/>
      <c r="GXF61" s="608"/>
      <c r="GXG61" s="608"/>
      <c r="GXH61" s="608"/>
      <c r="GXI61" s="608"/>
      <c r="GXJ61" s="608"/>
      <c r="GXK61" s="608"/>
      <c r="GXL61" s="608"/>
      <c r="GXM61" s="608"/>
      <c r="GXN61" s="608"/>
      <c r="GXO61" s="608"/>
      <c r="GXP61" s="608"/>
      <c r="GXQ61" s="608"/>
      <c r="GXR61" s="608"/>
      <c r="GXS61" s="608"/>
      <c r="GXT61" s="608"/>
      <c r="GXU61" s="608"/>
      <c r="GXV61" s="608"/>
      <c r="GXW61" s="608"/>
      <c r="GXX61" s="608"/>
      <c r="GXY61" s="608"/>
      <c r="GXZ61" s="608"/>
      <c r="GYA61" s="608"/>
      <c r="GYB61" s="608"/>
      <c r="GYC61" s="608"/>
      <c r="GYD61" s="608"/>
      <c r="GYE61" s="608"/>
      <c r="GYF61" s="608"/>
      <c r="GYG61" s="608"/>
      <c r="GYH61" s="608"/>
      <c r="GYI61" s="608"/>
      <c r="GYJ61" s="608"/>
      <c r="GYK61" s="608"/>
      <c r="GYL61" s="608"/>
      <c r="GYM61" s="608"/>
      <c r="GYN61" s="608"/>
      <c r="GYO61" s="608"/>
      <c r="GYP61" s="608"/>
      <c r="GYQ61" s="608"/>
      <c r="GYR61" s="608"/>
      <c r="GYS61" s="608"/>
      <c r="GYT61" s="608"/>
      <c r="GYU61" s="608"/>
      <c r="GYV61" s="608"/>
      <c r="GYW61" s="608"/>
      <c r="GYX61" s="608"/>
      <c r="GYY61" s="608"/>
      <c r="GYZ61" s="608"/>
      <c r="GZA61" s="608"/>
      <c r="GZB61" s="608"/>
      <c r="GZC61" s="608"/>
      <c r="GZD61" s="608"/>
      <c r="GZE61" s="608"/>
      <c r="GZF61" s="608"/>
      <c r="GZG61" s="608"/>
      <c r="GZH61" s="608"/>
      <c r="GZI61" s="608"/>
      <c r="GZJ61" s="608"/>
      <c r="GZK61" s="608"/>
      <c r="GZL61" s="608"/>
      <c r="GZM61" s="608"/>
      <c r="GZN61" s="608"/>
      <c r="GZO61" s="608"/>
      <c r="GZP61" s="608"/>
      <c r="GZQ61" s="608"/>
      <c r="GZR61" s="608"/>
      <c r="GZS61" s="608"/>
      <c r="GZT61" s="608"/>
      <c r="GZU61" s="608"/>
      <c r="GZV61" s="608"/>
      <c r="GZW61" s="608"/>
      <c r="GZX61" s="608"/>
      <c r="GZY61" s="608"/>
      <c r="GZZ61" s="608"/>
      <c r="HAA61" s="608"/>
      <c r="HAB61" s="608"/>
      <c r="HAC61" s="608"/>
      <c r="HAD61" s="608"/>
      <c r="HAE61" s="608"/>
      <c r="HAF61" s="608"/>
      <c r="HAG61" s="608"/>
      <c r="HAH61" s="608"/>
      <c r="HAI61" s="608"/>
      <c r="HAJ61" s="608"/>
      <c r="HAK61" s="608"/>
      <c r="HAL61" s="608"/>
      <c r="HAM61" s="608"/>
      <c r="HAN61" s="608"/>
      <c r="HAO61" s="608"/>
      <c r="HAP61" s="608"/>
      <c r="HAQ61" s="608"/>
      <c r="HAR61" s="608"/>
      <c r="HAS61" s="608"/>
      <c r="HAT61" s="608"/>
      <c r="HAU61" s="608"/>
      <c r="HAV61" s="608"/>
      <c r="HAW61" s="608"/>
      <c r="HAX61" s="608"/>
      <c r="HAY61" s="608"/>
      <c r="HAZ61" s="608"/>
      <c r="HBA61" s="608"/>
      <c r="HBB61" s="608"/>
      <c r="HBC61" s="608"/>
      <c r="HBD61" s="608"/>
      <c r="HBE61" s="608"/>
      <c r="HBF61" s="608"/>
      <c r="HBG61" s="608"/>
      <c r="HBH61" s="608"/>
      <c r="HBI61" s="608"/>
      <c r="HBJ61" s="608"/>
      <c r="HBK61" s="608"/>
      <c r="HBL61" s="608"/>
      <c r="HBM61" s="608"/>
      <c r="HBN61" s="608"/>
      <c r="HBO61" s="608"/>
      <c r="HBP61" s="608"/>
      <c r="HBQ61" s="608"/>
      <c r="HBR61" s="608"/>
      <c r="HBS61" s="608"/>
      <c r="HBT61" s="608"/>
      <c r="HBU61" s="608"/>
      <c r="HBV61" s="608"/>
      <c r="HBW61" s="608"/>
      <c r="HBX61" s="608"/>
      <c r="HBY61" s="608"/>
      <c r="HBZ61" s="608"/>
      <c r="HCA61" s="608"/>
      <c r="HCB61" s="608"/>
      <c r="HCC61" s="608"/>
      <c r="HCD61" s="608"/>
      <c r="HCE61" s="608"/>
      <c r="HCF61" s="608"/>
      <c r="HCG61" s="608"/>
      <c r="HCH61" s="608"/>
      <c r="HCI61" s="608"/>
      <c r="HCJ61" s="608"/>
      <c r="HCK61" s="608"/>
      <c r="HCL61" s="608"/>
      <c r="HCM61" s="608"/>
      <c r="HCN61" s="608"/>
      <c r="HCO61" s="608"/>
      <c r="HCP61" s="608"/>
      <c r="HCQ61" s="608"/>
      <c r="HCR61" s="608"/>
      <c r="HCS61" s="608"/>
      <c r="HCT61" s="608"/>
      <c r="HCU61" s="608"/>
      <c r="HCV61" s="608"/>
      <c r="HCW61" s="608"/>
      <c r="HCX61" s="608"/>
      <c r="HCY61" s="608"/>
      <c r="HCZ61" s="608"/>
      <c r="HDA61" s="608"/>
      <c r="HDB61" s="608"/>
      <c r="HDC61" s="608"/>
      <c r="HDD61" s="608"/>
      <c r="HDE61" s="608"/>
      <c r="HDF61" s="608"/>
      <c r="HDG61" s="608"/>
      <c r="HDH61" s="608"/>
      <c r="HDI61" s="608"/>
      <c r="HDJ61" s="608"/>
      <c r="HDK61" s="608"/>
      <c r="HDL61" s="608"/>
      <c r="HDM61" s="608"/>
      <c r="HDN61" s="608"/>
      <c r="HDO61" s="608"/>
      <c r="HDP61" s="608"/>
      <c r="HDQ61" s="608"/>
      <c r="HDR61" s="608"/>
      <c r="HDS61" s="608"/>
      <c r="HDT61" s="608"/>
      <c r="HDU61" s="608"/>
      <c r="HDV61" s="608"/>
      <c r="HDW61" s="608"/>
      <c r="HDX61" s="608"/>
      <c r="HDY61" s="608"/>
      <c r="HDZ61" s="608"/>
      <c r="HEA61" s="608"/>
      <c r="HEB61" s="608"/>
      <c r="HEC61" s="608"/>
      <c r="HED61" s="608"/>
      <c r="HEE61" s="608"/>
      <c r="HEF61" s="608"/>
      <c r="HEG61" s="608"/>
      <c r="HEH61" s="608"/>
      <c r="HEI61" s="608"/>
      <c r="HEJ61" s="608"/>
      <c r="HEK61" s="608"/>
      <c r="HEL61" s="608"/>
      <c r="HEM61" s="608"/>
      <c r="HEN61" s="608"/>
      <c r="HEO61" s="608"/>
      <c r="HEP61" s="608"/>
      <c r="HEQ61" s="608"/>
      <c r="HER61" s="608"/>
      <c r="HES61" s="608"/>
      <c r="HET61" s="608"/>
      <c r="HEU61" s="608"/>
      <c r="HEV61" s="608"/>
      <c r="HEW61" s="608"/>
      <c r="HEX61" s="608"/>
      <c r="HEY61" s="608"/>
      <c r="HEZ61" s="608"/>
      <c r="HFA61" s="608"/>
      <c r="HFB61" s="608"/>
      <c r="HFC61" s="608"/>
      <c r="HFD61" s="608"/>
      <c r="HFE61" s="608"/>
      <c r="HFF61" s="608"/>
      <c r="HFG61" s="608"/>
      <c r="HFH61" s="608"/>
      <c r="HFI61" s="608"/>
      <c r="HFJ61" s="608"/>
      <c r="HFK61" s="608"/>
      <c r="HFL61" s="608"/>
      <c r="HFM61" s="608"/>
      <c r="HFN61" s="608"/>
      <c r="HFO61" s="608"/>
      <c r="HFP61" s="608"/>
      <c r="HFQ61" s="608"/>
      <c r="HFR61" s="608"/>
      <c r="HFS61" s="608"/>
      <c r="HFT61" s="608"/>
      <c r="HFU61" s="608"/>
      <c r="HFV61" s="608"/>
      <c r="HFW61" s="608"/>
      <c r="HFX61" s="608"/>
      <c r="HFY61" s="608"/>
      <c r="HFZ61" s="608"/>
      <c r="HGA61" s="608"/>
      <c r="HGB61" s="608"/>
      <c r="HGC61" s="608"/>
      <c r="HGD61" s="608"/>
      <c r="HGE61" s="608"/>
      <c r="HGF61" s="608"/>
      <c r="HGG61" s="608"/>
      <c r="HGH61" s="608"/>
      <c r="HGI61" s="608"/>
      <c r="HGJ61" s="608"/>
      <c r="HGK61" s="608"/>
      <c r="HGL61" s="608"/>
      <c r="HGM61" s="608"/>
      <c r="HGN61" s="608"/>
      <c r="HGO61" s="608"/>
      <c r="HGP61" s="608"/>
      <c r="HGQ61" s="608"/>
      <c r="HGR61" s="608"/>
      <c r="HGS61" s="608"/>
      <c r="HGT61" s="608"/>
      <c r="HGU61" s="608"/>
      <c r="HGV61" s="608"/>
      <c r="HGW61" s="608"/>
      <c r="HGX61" s="608"/>
      <c r="HGY61" s="608"/>
      <c r="HGZ61" s="608"/>
      <c r="HHA61" s="608"/>
      <c r="HHB61" s="608"/>
      <c r="HHC61" s="608"/>
      <c r="HHD61" s="608"/>
      <c r="HHE61" s="608"/>
      <c r="HHF61" s="608"/>
      <c r="HHG61" s="608"/>
      <c r="HHH61" s="608"/>
      <c r="HHI61" s="608"/>
      <c r="HHJ61" s="608"/>
      <c r="HHK61" s="608"/>
      <c r="HHL61" s="608"/>
      <c r="HHM61" s="608"/>
      <c r="HHN61" s="608"/>
      <c r="HHO61" s="608"/>
      <c r="HHP61" s="608"/>
      <c r="HHQ61" s="608"/>
      <c r="HHR61" s="608"/>
      <c r="HHS61" s="608"/>
      <c r="HHT61" s="608"/>
      <c r="HHU61" s="608"/>
      <c r="HHV61" s="608"/>
      <c r="HHW61" s="608"/>
      <c r="HHX61" s="608"/>
      <c r="HHY61" s="608"/>
      <c r="HHZ61" s="608"/>
      <c r="HIA61" s="608"/>
      <c r="HIB61" s="608"/>
      <c r="HIC61" s="608"/>
      <c r="HID61" s="608"/>
      <c r="HIE61" s="608"/>
      <c r="HIF61" s="608"/>
      <c r="HIG61" s="608"/>
      <c r="HIH61" s="608"/>
      <c r="HII61" s="608"/>
      <c r="HIJ61" s="608"/>
      <c r="HIK61" s="608"/>
      <c r="HIL61" s="608"/>
      <c r="HIM61" s="608"/>
      <c r="HIN61" s="608"/>
      <c r="HIO61" s="608"/>
      <c r="HIP61" s="608"/>
      <c r="HIQ61" s="608"/>
      <c r="HIR61" s="608"/>
      <c r="HIS61" s="608"/>
      <c r="HIT61" s="608"/>
      <c r="HIU61" s="608"/>
      <c r="HIV61" s="608"/>
      <c r="HIW61" s="608"/>
      <c r="HIX61" s="608"/>
      <c r="HIY61" s="608"/>
      <c r="HIZ61" s="608"/>
      <c r="HJA61" s="608"/>
      <c r="HJB61" s="608"/>
      <c r="HJC61" s="608"/>
      <c r="HJD61" s="608"/>
      <c r="HJE61" s="608"/>
      <c r="HJF61" s="608"/>
      <c r="HJG61" s="608"/>
      <c r="HJH61" s="608"/>
      <c r="HJI61" s="608"/>
      <c r="HJJ61" s="608"/>
      <c r="HJK61" s="608"/>
      <c r="HJL61" s="608"/>
      <c r="HJM61" s="608"/>
      <c r="HJN61" s="608"/>
      <c r="HJO61" s="608"/>
      <c r="HJP61" s="608"/>
      <c r="HJQ61" s="608"/>
      <c r="HJR61" s="608"/>
      <c r="HJS61" s="608"/>
      <c r="HJT61" s="608"/>
      <c r="HJU61" s="608"/>
      <c r="HJV61" s="608"/>
      <c r="HJW61" s="608"/>
      <c r="HJX61" s="608"/>
      <c r="HJY61" s="608"/>
      <c r="HJZ61" s="608"/>
      <c r="HKA61" s="608"/>
      <c r="HKB61" s="608"/>
      <c r="HKC61" s="608"/>
      <c r="HKD61" s="608"/>
      <c r="HKE61" s="608"/>
      <c r="HKF61" s="608"/>
      <c r="HKG61" s="608"/>
      <c r="HKH61" s="608"/>
      <c r="HKI61" s="608"/>
      <c r="HKJ61" s="608"/>
      <c r="HKK61" s="608"/>
      <c r="HKL61" s="608"/>
      <c r="HKM61" s="608"/>
      <c r="HKN61" s="608"/>
      <c r="HKO61" s="608"/>
      <c r="HKP61" s="608"/>
      <c r="HKQ61" s="608"/>
      <c r="HKR61" s="608"/>
      <c r="HKS61" s="608"/>
      <c r="HKT61" s="608"/>
      <c r="HKU61" s="608"/>
      <c r="HKV61" s="608"/>
      <c r="HKW61" s="608"/>
      <c r="HKX61" s="608"/>
      <c r="HKY61" s="608"/>
      <c r="HKZ61" s="608"/>
      <c r="HLA61" s="608"/>
      <c r="HLB61" s="608"/>
      <c r="HLC61" s="608"/>
      <c r="HLD61" s="608"/>
      <c r="HLE61" s="608"/>
      <c r="HLF61" s="608"/>
      <c r="HLG61" s="608"/>
      <c r="HLH61" s="608"/>
      <c r="HLI61" s="608"/>
      <c r="HLJ61" s="608"/>
      <c r="HLK61" s="608"/>
      <c r="HLL61" s="608"/>
      <c r="HLM61" s="608"/>
      <c r="HLN61" s="608"/>
      <c r="HLO61" s="608"/>
      <c r="HLP61" s="608"/>
      <c r="HLQ61" s="608"/>
      <c r="HLR61" s="608"/>
      <c r="HLS61" s="608"/>
      <c r="HLT61" s="608"/>
      <c r="HLU61" s="608"/>
      <c r="HLV61" s="608"/>
      <c r="HLW61" s="608"/>
      <c r="HLX61" s="608"/>
      <c r="HLY61" s="608"/>
      <c r="HLZ61" s="608"/>
      <c r="HMA61" s="608"/>
      <c r="HMB61" s="608"/>
      <c r="HMC61" s="608"/>
      <c r="HMD61" s="608"/>
      <c r="HME61" s="608"/>
      <c r="HMF61" s="608"/>
      <c r="HMG61" s="608"/>
      <c r="HMH61" s="608"/>
      <c r="HMI61" s="608"/>
      <c r="HMJ61" s="608"/>
      <c r="HMK61" s="608"/>
      <c r="HML61" s="608"/>
      <c r="HMM61" s="608"/>
      <c r="HMN61" s="608"/>
      <c r="HMO61" s="608"/>
      <c r="HMP61" s="608"/>
      <c r="HMQ61" s="608"/>
      <c r="HMR61" s="608"/>
      <c r="HMS61" s="608"/>
      <c r="HMT61" s="608"/>
      <c r="HMU61" s="608"/>
      <c r="HMV61" s="608"/>
      <c r="HMW61" s="608"/>
      <c r="HMX61" s="608"/>
      <c r="HMY61" s="608"/>
      <c r="HMZ61" s="608"/>
      <c r="HNA61" s="608"/>
      <c r="HNB61" s="608"/>
      <c r="HNC61" s="608"/>
      <c r="HND61" s="608"/>
      <c r="HNE61" s="608"/>
      <c r="HNF61" s="608"/>
      <c r="HNG61" s="608"/>
      <c r="HNH61" s="608"/>
      <c r="HNI61" s="608"/>
      <c r="HNJ61" s="608"/>
      <c r="HNK61" s="608"/>
      <c r="HNL61" s="608"/>
      <c r="HNM61" s="608"/>
      <c r="HNN61" s="608"/>
      <c r="HNO61" s="608"/>
      <c r="HNP61" s="608"/>
      <c r="HNQ61" s="608"/>
      <c r="HNR61" s="608"/>
      <c r="HNS61" s="608"/>
      <c r="HNT61" s="608"/>
      <c r="HNU61" s="608"/>
      <c r="HNV61" s="608"/>
      <c r="HNW61" s="608"/>
      <c r="HNX61" s="608"/>
      <c r="HNY61" s="608"/>
      <c r="HNZ61" s="608"/>
      <c r="HOA61" s="608"/>
      <c r="HOB61" s="608"/>
      <c r="HOC61" s="608"/>
      <c r="HOD61" s="608"/>
      <c r="HOE61" s="608"/>
      <c r="HOF61" s="608"/>
      <c r="HOG61" s="608"/>
      <c r="HOH61" s="608"/>
      <c r="HOI61" s="608"/>
      <c r="HOJ61" s="608"/>
      <c r="HOK61" s="608"/>
      <c r="HOL61" s="608"/>
      <c r="HOM61" s="608"/>
      <c r="HON61" s="608"/>
      <c r="HOO61" s="608"/>
      <c r="HOP61" s="608"/>
      <c r="HOQ61" s="608"/>
      <c r="HOR61" s="608"/>
      <c r="HOS61" s="608"/>
      <c r="HOT61" s="608"/>
      <c r="HOU61" s="608"/>
      <c r="HOV61" s="608"/>
      <c r="HOW61" s="608"/>
      <c r="HOX61" s="608"/>
      <c r="HOY61" s="608"/>
      <c r="HOZ61" s="608"/>
      <c r="HPA61" s="608"/>
      <c r="HPB61" s="608"/>
      <c r="HPC61" s="608"/>
      <c r="HPD61" s="608"/>
      <c r="HPE61" s="608"/>
      <c r="HPF61" s="608"/>
      <c r="HPG61" s="608"/>
      <c r="HPH61" s="608"/>
      <c r="HPI61" s="608"/>
      <c r="HPJ61" s="608"/>
      <c r="HPK61" s="608"/>
      <c r="HPL61" s="608"/>
      <c r="HPM61" s="608"/>
      <c r="HPN61" s="608"/>
      <c r="HPO61" s="608"/>
      <c r="HPP61" s="608"/>
      <c r="HPQ61" s="608"/>
      <c r="HPR61" s="608"/>
      <c r="HPS61" s="608"/>
      <c r="HPT61" s="608"/>
      <c r="HPU61" s="608"/>
      <c r="HPV61" s="608"/>
      <c r="HPW61" s="608"/>
      <c r="HPX61" s="608"/>
      <c r="HPY61" s="608"/>
      <c r="HPZ61" s="608"/>
      <c r="HQA61" s="608"/>
      <c r="HQB61" s="608"/>
      <c r="HQC61" s="608"/>
      <c r="HQD61" s="608"/>
      <c r="HQE61" s="608"/>
      <c r="HQF61" s="608"/>
      <c r="HQG61" s="608"/>
      <c r="HQH61" s="608"/>
      <c r="HQI61" s="608"/>
      <c r="HQJ61" s="608"/>
      <c r="HQK61" s="608"/>
      <c r="HQL61" s="608"/>
      <c r="HQM61" s="608"/>
      <c r="HQN61" s="608"/>
      <c r="HQO61" s="608"/>
      <c r="HQP61" s="608"/>
      <c r="HQQ61" s="608"/>
      <c r="HQR61" s="608"/>
      <c r="HQS61" s="608"/>
      <c r="HQT61" s="608"/>
      <c r="HQU61" s="608"/>
      <c r="HQV61" s="608"/>
      <c r="HQW61" s="608"/>
      <c r="HQX61" s="608"/>
      <c r="HQY61" s="608"/>
      <c r="HQZ61" s="608"/>
      <c r="HRA61" s="608"/>
      <c r="HRB61" s="608"/>
      <c r="HRC61" s="608"/>
      <c r="HRD61" s="608"/>
      <c r="HRE61" s="608"/>
      <c r="HRF61" s="608"/>
      <c r="HRG61" s="608"/>
      <c r="HRH61" s="608"/>
      <c r="HRI61" s="608"/>
      <c r="HRJ61" s="608"/>
      <c r="HRK61" s="608"/>
      <c r="HRL61" s="608"/>
      <c r="HRM61" s="608"/>
      <c r="HRN61" s="608"/>
      <c r="HRO61" s="608"/>
      <c r="HRP61" s="608"/>
      <c r="HRQ61" s="608"/>
      <c r="HRR61" s="608"/>
      <c r="HRS61" s="608"/>
      <c r="HRT61" s="608"/>
      <c r="HRU61" s="608"/>
      <c r="HRV61" s="608"/>
      <c r="HRW61" s="608"/>
      <c r="HRX61" s="608"/>
      <c r="HRY61" s="608"/>
      <c r="HRZ61" s="608"/>
      <c r="HSA61" s="608"/>
      <c r="HSB61" s="608"/>
      <c r="HSC61" s="608"/>
      <c r="HSD61" s="608"/>
      <c r="HSE61" s="608"/>
      <c r="HSF61" s="608"/>
      <c r="HSG61" s="608"/>
      <c r="HSH61" s="608"/>
      <c r="HSI61" s="608"/>
      <c r="HSJ61" s="608"/>
      <c r="HSK61" s="608"/>
      <c r="HSL61" s="608"/>
      <c r="HSM61" s="608"/>
      <c r="HSN61" s="608"/>
      <c r="HSO61" s="608"/>
      <c r="HSP61" s="608"/>
      <c r="HSQ61" s="608"/>
      <c r="HSR61" s="608"/>
      <c r="HSS61" s="608"/>
      <c r="HST61" s="608"/>
      <c r="HSU61" s="608"/>
      <c r="HSV61" s="608"/>
      <c r="HSW61" s="608"/>
      <c r="HSX61" s="608"/>
      <c r="HSY61" s="608"/>
      <c r="HSZ61" s="608"/>
      <c r="HTA61" s="608"/>
      <c r="HTB61" s="608"/>
      <c r="HTC61" s="608"/>
      <c r="HTD61" s="608"/>
      <c r="HTE61" s="608"/>
      <c r="HTF61" s="608"/>
      <c r="HTG61" s="608"/>
      <c r="HTH61" s="608"/>
      <c r="HTI61" s="608"/>
      <c r="HTJ61" s="608"/>
      <c r="HTK61" s="608"/>
      <c r="HTL61" s="608"/>
      <c r="HTM61" s="608"/>
      <c r="HTN61" s="608"/>
      <c r="HTO61" s="608"/>
      <c r="HTP61" s="608"/>
      <c r="HTQ61" s="608"/>
      <c r="HTR61" s="608"/>
      <c r="HTS61" s="608"/>
      <c r="HTT61" s="608"/>
      <c r="HTU61" s="608"/>
      <c r="HTV61" s="608"/>
      <c r="HTW61" s="608"/>
      <c r="HTX61" s="608"/>
      <c r="HTY61" s="608"/>
      <c r="HTZ61" s="608"/>
      <c r="HUA61" s="608"/>
      <c r="HUB61" s="608"/>
      <c r="HUC61" s="608"/>
      <c r="HUD61" s="608"/>
      <c r="HUE61" s="608"/>
      <c r="HUF61" s="608"/>
      <c r="HUG61" s="608"/>
      <c r="HUH61" s="608"/>
      <c r="HUI61" s="608"/>
      <c r="HUJ61" s="608"/>
      <c r="HUK61" s="608"/>
      <c r="HUL61" s="608"/>
      <c r="HUM61" s="608"/>
      <c r="HUN61" s="608"/>
      <c r="HUO61" s="608"/>
      <c r="HUP61" s="608"/>
      <c r="HUQ61" s="608"/>
      <c r="HUR61" s="608"/>
      <c r="HUS61" s="608"/>
      <c r="HUT61" s="608"/>
      <c r="HUU61" s="608"/>
      <c r="HUV61" s="608"/>
      <c r="HUW61" s="608"/>
      <c r="HUX61" s="608"/>
      <c r="HUY61" s="608"/>
      <c r="HUZ61" s="608"/>
      <c r="HVA61" s="608"/>
      <c r="HVB61" s="608"/>
      <c r="HVC61" s="608"/>
      <c r="HVD61" s="608"/>
      <c r="HVE61" s="608"/>
      <c r="HVF61" s="608"/>
      <c r="HVG61" s="608"/>
      <c r="HVH61" s="608"/>
      <c r="HVI61" s="608"/>
      <c r="HVJ61" s="608"/>
      <c r="HVK61" s="608"/>
      <c r="HVL61" s="608"/>
      <c r="HVM61" s="608"/>
      <c r="HVN61" s="608"/>
      <c r="HVO61" s="608"/>
      <c r="HVP61" s="608"/>
      <c r="HVQ61" s="608"/>
      <c r="HVR61" s="608"/>
      <c r="HVS61" s="608"/>
      <c r="HVT61" s="608"/>
      <c r="HVU61" s="608"/>
      <c r="HVV61" s="608"/>
      <c r="HVW61" s="608"/>
      <c r="HVX61" s="608"/>
      <c r="HVY61" s="608"/>
      <c r="HVZ61" s="608"/>
      <c r="HWA61" s="608"/>
      <c r="HWB61" s="608"/>
      <c r="HWC61" s="608"/>
      <c r="HWD61" s="608"/>
      <c r="HWE61" s="608"/>
      <c r="HWF61" s="608"/>
      <c r="HWG61" s="608"/>
      <c r="HWH61" s="608"/>
      <c r="HWI61" s="608"/>
      <c r="HWJ61" s="608"/>
      <c r="HWK61" s="608"/>
      <c r="HWL61" s="608"/>
      <c r="HWM61" s="608"/>
      <c r="HWN61" s="608"/>
      <c r="HWO61" s="608"/>
      <c r="HWP61" s="608"/>
      <c r="HWQ61" s="608"/>
      <c r="HWR61" s="608"/>
      <c r="HWS61" s="608"/>
      <c r="HWT61" s="608"/>
      <c r="HWU61" s="608"/>
      <c r="HWV61" s="608"/>
      <c r="HWW61" s="608"/>
      <c r="HWX61" s="608"/>
      <c r="HWY61" s="608"/>
      <c r="HWZ61" s="608"/>
      <c r="HXA61" s="608"/>
      <c r="HXB61" s="608"/>
      <c r="HXC61" s="608"/>
      <c r="HXD61" s="608"/>
      <c r="HXE61" s="608"/>
      <c r="HXF61" s="608"/>
      <c r="HXG61" s="608"/>
      <c r="HXH61" s="608"/>
      <c r="HXI61" s="608"/>
      <c r="HXJ61" s="608"/>
      <c r="HXK61" s="608"/>
      <c r="HXL61" s="608"/>
      <c r="HXM61" s="608"/>
      <c r="HXN61" s="608"/>
      <c r="HXO61" s="608"/>
      <c r="HXP61" s="608"/>
      <c r="HXQ61" s="608"/>
      <c r="HXR61" s="608"/>
      <c r="HXS61" s="608"/>
      <c r="HXT61" s="608"/>
      <c r="HXU61" s="608"/>
      <c r="HXV61" s="608"/>
      <c r="HXW61" s="608"/>
      <c r="HXX61" s="608"/>
      <c r="HXY61" s="608"/>
      <c r="HXZ61" s="608"/>
      <c r="HYA61" s="608"/>
      <c r="HYB61" s="608"/>
      <c r="HYC61" s="608"/>
      <c r="HYD61" s="608"/>
      <c r="HYE61" s="608"/>
      <c r="HYF61" s="608"/>
      <c r="HYG61" s="608"/>
      <c r="HYH61" s="608"/>
      <c r="HYI61" s="608"/>
      <c r="HYJ61" s="608"/>
      <c r="HYK61" s="608"/>
      <c r="HYL61" s="608"/>
      <c r="HYM61" s="608"/>
      <c r="HYN61" s="608"/>
      <c r="HYO61" s="608"/>
      <c r="HYP61" s="608"/>
      <c r="HYQ61" s="608"/>
      <c r="HYR61" s="608"/>
      <c r="HYS61" s="608"/>
      <c r="HYT61" s="608"/>
      <c r="HYU61" s="608"/>
      <c r="HYV61" s="608"/>
      <c r="HYW61" s="608"/>
      <c r="HYX61" s="608"/>
      <c r="HYY61" s="608"/>
      <c r="HYZ61" s="608"/>
      <c r="HZA61" s="608"/>
      <c r="HZB61" s="608"/>
      <c r="HZC61" s="608"/>
      <c r="HZD61" s="608"/>
      <c r="HZE61" s="608"/>
      <c r="HZF61" s="608"/>
      <c r="HZG61" s="608"/>
      <c r="HZH61" s="608"/>
      <c r="HZI61" s="608"/>
      <c r="HZJ61" s="608"/>
      <c r="HZK61" s="608"/>
      <c r="HZL61" s="608"/>
      <c r="HZM61" s="608"/>
      <c r="HZN61" s="608"/>
      <c r="HZO61" s="608"/>
      <c r="HZP61" s="608"/>
      <c r="HZQ61" s="608"/>
      <c r="HZR61" s="608"/>
      <c r="HZS61" s="608"/>
      <c r="HZT61" s="608"/>
      <c r="HZU61" s="608"/>
      <c r="HZV61" s="608"/>
      <c r="HZW61" s="608"/>
      <c r="HZX61" s="608"/>
      <c r="HZY61" s="608"/>
      <c r="HZZ61" s="608"/>
      <c r="IAA61" s="608"/>
      <c r="IAB61" s="608"/>
      <c r="IAC61" s="608"/>
      <c r="IAD61" s="608"/>
      <c r="IAE61" s="608"/>
      <c r="IAF61" s="608"/>
      <c r="IAG61" s="608"/>
      <c r="IAH61" s="608"/>
      <c r="IAI61" s="608"/>
      <c r="IAJ61" s="608"/>
      <c r="IAK61" s="608"/>
      <c r="IAL61" s="608"/>
      <c r="IAM61" s="608"/>
      <c r="IAN61" s="608"/>
      <c r="IAO61" s="608"/>
      <c r="IAP61" s="608"/>
      <c r="IAQ61" s="608"/>
      <c r="IAR61" s="608"/>
      <c r="IAS61" s="608"/>
      <c r="IAT61" s="608"/>
      <c r="IAU61" s="608"/>
      <c r="IAV61" s="608"/>
      <c r="IAW61" s="608"/>
      <c r="IAX61" s="608"/>
      <c r="IAY61" s="608"/>
      <c r="IAZ61" s="608"/>
      <c r="IBA61" s="608"/>
      <c r="IBB61" s="608"/>
      <c r="IBC61" s="608"/>
      <c r="IBD61" s="608"/>
      <c r="IBE61" s="608"/>
      <c r="IBF61" s="608"/>
      <c r="IBG61" s="608"/>
      <c r="IBH61" s="608"/>
      <c r="IBI61" s="608"/>
      <c r="IBJ61" s="608"/>
      <c r="IBK61" s="608"/>
      <c r="IBL61" s="608"/>
      <c r="IBM61" s="608"/>
      <c r="IBN61" s="608"/>
      <c r="IBO61" s="608"/>
      <c r="IBP61" s="608"/>
      <c r="IBQ61" s="608"/>
      <c r="IBR61" s="608"/>
      <c r="IBS61" s="608"/>
      <c r="IBT61" s="608"/>
      <c r="IBU61" s="608"/>
      <c r="IBV61" s="608"/>
      <c r="IBW61" s="608"/>
      <c r="IBX61" s="608"/>
      <c r="IBY61" s="608"/>
      <c r="IBZ61" s="608"/>
      <c r="ICA61" s="608"/>
      <c r="ICB61" s="608"/>
      <c r="ICC61" s="608"/>
      <c r="ICD61" s="608"/>
      <c r="ICE61" s="608"/>
      <c r="ICF61" s="608"/>
      <c r="ICG61" s="608"/>
      <c r="ICH61" s="608"/>
      <c r="ICI61" s="608"/>
      <c r="ICJ61" s="608"/>
      <c r="ICK61" s="608"/>
      <c r="ICL61" s="608"/>
      <c r="ICM61" s="608"/>
      <c r="ICN61" s="608"/>
      <c r="ICO61" s="608"/>
      <c r="ICP61" s="608"/>
      <c r="ICQ61" s="608"/>
      <c r="ICR61" s="608"/>
      <c r="ICS61" s="608"/>
      <c r="ICT61" s="608"/>
      <c r="ICU61" s="608"/>
      <c r="ICV61" s="608"/>
      <c r="ICW61" s="608"/>
      <c r="ICX61" s="608"/>
      <c r="ICY61" s="608"/>
      <c r="ICZ61" s="608"/>
      <c r="IDA61" s="608"/>
      <c r="IDB61" s="608"/>
      <c r="IDC61" s="608"/>
      <c r="IDD61" s="608"/>
      <c r="IDE61" s="608"/>
      <c r="IDF61" s="608"/>
      <c r="IDG61" s="608"/>
      <c r="IDH61" s="608"/>
      <c r="IDI61" s="608"/>
      <c r="IDJ61" s="608"/>
      <c r="IDK61" s="608"/>
      <c r="IDL61" s="608"/>
      <c r="IDM61" s="608"/>
      <c r="IDN61" s="608"/>
      <c r="IDO61" s="608"/>
      <c r="IDP61" s="608"/>
      <c r="IDQ61" s="608"/>
      <c r="IDR61" s="608"/>
      <c r="IDS61" s="608"/>
      <c r="IDT61" s="608"/>
      <c r="IDU61" s="608"/>
      <c r="IDV61" s="608"/>
      <c r="IDW61" s="608"/>
      <c r="IDX61" s="608"/>
      <c r="IDY61" s="608"/>
      <c r="IDZ61" s="608"/>
      <c r="IEA61" s="608"/>
      <c r="IEB61" s="608"/>
      <c r="IEC61" s="608"/>
      <c r="IED61" s="608"/>
      <c r="IEE61" s="608"/>
      <c r="IEF61" s="608"/>
      <c r="IEG61" s="608"/>
      <c r="IEH61" s="608"/>
      <c r="IEI61" s="608"/>
      <c r="IEJ61" s="608"/>
      <c r="IEK61" s="608"/>
      <c r="IEL61" s="608"/>
      <c r="IEM61" s="608"/>
      <c r="IEN61" s="608"/>
      <c r="IEO61" s="608"/>
      <c r="IEP61" s="608"/>
      <c r="IEQ61" s="608"/>
      <c r="IER61" s="608"/>
      <c r="IES61" s="608"/>
      <c r="IET61" s="608"/>
      <c r="IEU61" s="608"/>
      <c r="IEV61" s="608"/>
      <c r="IEW61" s="608"/>
      <c r="IEX61" s="608"/>
      <c r="IEY61" s="608"/>
      <c r="IEZ61" s="608"/>
      <c r="IFA61" s="608"/>
      <c r="IFB61" s="608"/>
      <c r="IFC61" s="608"/>
      <c r="IFD61" s="608"/>
      <c r="IFE61" s="608"/>
      <c r="IFF61" s="608"/>
      <c r="IFG61" s="608"/>
      <c r="IFH61" s="608"/>
      <c r="IFI61" s="608"/>
      <c r="IFJ61" s="608"/>
      <c r="IFK61" s="608"/>
      <c r="IFL61" s="608"/>
      <c r="IFM61" s="608"/>
      <c r="IFN61" s="608"/>
      <c r="IFO61" s="608"/>
      <c r="IFP61" s="608"/>
      <c r="IFQ61" s="608"/>
      <c r="IFR61" s="608"/>
      <c r="IFS61" s="608"/>
      <c r="IFT61" s="608"/>
      <c r="IFU61" s="608"/>
      <c r="IFV61" s="608"/>
      <c r="IFW61" s="608"/>
      <c r="IFX61" s="608"/>
      <c r="IFY61" s="608"/>
      <c r="IFZ61" s="608"/>
      <c r="IGA61" s="608"/>
      <c r="IGB61" s="608"/>
      <c r="IGC61" s="608"/>
      <c r="IGD61" s="608"/>
      <c r="IGE61" s="608"/>
      <c r="IGF61" s="608"/>
      <c r="IGG61" s="608"/>
      <c r="IGH61" s="608"/>
      <c r="IGI61" s="608"/>
      <c r="IGJ61" s="608"/>
      <c r="IGK61" s="608"/>
      <c r="IGL61" s="608"/>
      <c r="IGM61" s="608"/>
      <c r="IGN61" s="608"/>
      <c r="IGO61" s="608"/>
      <c r="IGP61" s="608"/>
      <c r="IGQ61" s="608"/>
      <c r="IGR61" s="608"/>
      <c r="IGS61" s="608"/>
      <c r="IGT61" s="608"/>
      <c r="IGU61" s="608"/>
      <c r="IGV61" s="608"/>
      <c r="IGW61" s="608"/>
      <c r="IGX61" s="608"/>
      <c r="IGY61" s="608"/>
      <c r="IGZ61" s="608"/>
      <c r="IHA61" s="608"/>
      <c r="IHB61" s="608"/>
      <c r="IHC61" s="608"/>
      <c r="IHD61" s="608"/>
      <c r="IHE61" s="608"/>
      <c r="IHF61" s="608"/>
      <c r="IHG61" s="608"/>
      <c r="IHH61" s="608"/>
      <c r="IHI61" s="608"/>
      <c r="IHJ61" s="608"/>
      <c r="IHK61" s="608"/>
      <c r="IHL61" s="608"/>
      <c r="IHM61" s="608"/>
      <c r="IHN61" s="608"/>
      <c r="IHO61" s="608"/>
      <c r="IHP61" s="608"/>
      <c r="IHQ61" s="608"/>
      <c r="IHR61" s="608"/>
      <c r="IHS61" s="608"/>
      <c r="IHT61" s="608"/>
      <c r="IHU61" s="608"/>
      <c r="IHV61" s="608"/>
      <c r="IHW61" s="608"/>
      <c r="IHX61" s="608"/>
      <c r="IHY61" s="608"/>
      <c r="IHZ61" s="608"/>
      <c r="IIA61" s="608"/>
      <c r="IIB61" s="608"/>
      <c r="IIC61" s="608"/>
      <c r="IID61" s="608"/>
      <c r="IIE61" s="608"/>
      <c r="IIF61" s="608"/>
      <c r="IIG61" s="608"/>
      <c r="IIH61" s="608"/>
      <c r="III61" s="608"/>
      <c r="IIJ61" s="608"/>
      <c r="IIK61" s="608"/>
      <c r="IIL61" s="608"/>
      <c r="IIM61" s="608"/>
      <c r="IIN61" s="608"/>
      <c r="IIO61" s="608"/>
      <c r="IIP61" s="608"/>
      <c r="IIQ61" s="608"/>
      <c r="IIR61" s="608"/>
      <c r="IIS61" s="608"/>
      <c r="IIT61" s="608"/>
      <c r="IIU61" s="608"/>
      <c r="IIV61" s="608"/>
      <c r="IIW61" s="608"/>
      <c r="IIX61" s="608"/>
      <c r="IIY61" s="608"/>
      <c r="IIZ61" s="608"/>
      <c r="IJA61" s="608"/>
      <c r="IJB61" s="608"/>
      <c r="IJC61" s="608"/>
      <c r="IJD61" s="608"/>
      <c r="IJE61" s="608"/>
      <c r="IJF61" s="608"/>
      <c r="IJG61" s="608"/>
      <c r="IJH61" s="608"/>
      <c r="IJI61" s="608"/>
      <c r="IJJ61" s="608"/>
      <c r="IJK61" s="608"/>
      <c r="IJL61" s="608"/>
      <c r="IJM61" s="608"/>
      <c r="IJN61" s="608"/>
      <c r="IJO61" s="608"/>
      <c r="IJP61" s="608"/>
      <c r="IJQ61" s="608"/>
      <c r="IJR61" s="608"/>
      <c r="IJS61" s="608"/>
      <c r="IJT61" s="608"/>
      <c r="IJU61" s="608"/>
      <c r="IJV61" s="608"/>
      <c r="IJW61" s="608"/>
      <c r="IJX61" s="608"/>
      <c r="IJY61" s="608"/>
      <c r="IJZ61" s="608"/>
      <c r="IKA61" s="608"/>
      <c r="IKB61" s="608"/>
      <c r="IKC61" s="608"/>
      <c r="IKD61" s="608"/>
      <c r="IKE61" s="608"/>
      <c r="IKF61" s="608"/>
      <c r="IKG61" s="608"/>
      <c r="IKH61" s="608"/>
      <c r="IKI61" s="608"/>
      <c r="IKJ61" s="608"/>
      <c r="IKK61" s="608"/>
      <c r="IKL61" s="608"/>
      <c r="IKM61" s="608"/>
      <c r="IKN61" s="608"/>
      <c r="IKO61" s="608"/>
      <c r="IKP61" s="608"/>
      <c r="IKQ61" s="608"/>
      <c r="IKR61" s="608"/>
      <c r="IKS61" s="608"/>
      <c r="IKT61" s="608"/>
      <c r="IKU61" s="608"/>
      <c r="IKV61" s="608"/>
      <c r="IKW61" s="608"/>
      <c r="IKX61" s="608"/>
      <c r="IKY61" s="608"/>
      <c r="IKZ61" s="608"/>
      <c r="ILA61" s="608"/>
      <c r="ILB61" s="608"/>
      <c r="ILC61" s="608"/>
      <c r="ILD61" s="608"/>
      <c r="ILE61" s="608"/>
      <c r="ILF61" s="608"/>
      <c r="ILG61" s="608"/>
      <c r="ILH61" s="608"/>
      <c r="ILI61" s="608"/>
      <c r="ILJ61" s="608"/>
      <c r="ILK61" s="608"/>
      <c r="ILL61" s="608"/>
      <c r="ILM61" s="608"/>
      <c r="ILN61" s="608"/>
      <c r="ILO61" s="608"/>
      <c r="ILP61" s="608"/>
      <c r="ILQ61" s="608"/>
      <c r="ILR61" s="608"/>
      <c r="ILS61" s="608"/>
      <c r="ILT61" s="608"/>
      <c r="ILU61" s="608"/>
      <c r="ILV61" s="608"/>
      <c r="ILW61" s="608"/>
      <c r="ILX61" s="608"/>
      <c r="ILY61" s="608"/>
      <c r="ILZ61" s="608"/>
      <c r="IMA61" s="608"/>
      <c r="IMB61" s="608"/>
      <c r="IMC61" s="608"/>
      <c r="IMD61" s="608"/>
      <c r="IME61" s="608"/>
      <c r="IMF61" s="608"/>
      <c r="IMG61" s="608"/>
      <c r="IMH61" s="608"/>
      <c r="IMI61" s="608"/>
      <c r="IMJ61" s="608"/>
      <c r="IMK61" s="608"/>
      <c r="IML61" s="608"/>
      <c r="IMM61" s="608"/>
      <c r="IMN61" s="608"/>
      <c r="IMO61" s="608"/>
      <c r="IMP61" s="608"/>
      <c r="IMQ61" s="608"/>
      <c r="IMR61" s="608"/>
      <c r="IMS61" s="608"/>
      <c r="IMT61" s="608"/>
      <c r="IMU61" s="608"/>
      <c r="IMV61" s="608"/>
      <c r="IMW61" s="608"/>
      <c r="IMX61" s="608"/>
      <c r="IMY61" s="608"/>
      <c r="IMZ61" s="608"/>
      <c r="INA61" s="608"/>
      <c r="INB61" s="608"/>
      <c r="INC61" s="608"/>
      <c r="IND61" s="608"/>
      <c r="INE61" s="608"/>
      <c r="INF61" s="608"/>
      <c r="ING61" s="608"/>
      <c r="INH61" s="608"/>
      <c r="INI61" s="608"/>
      <c r="INJ61" s="608"/>
      <c r="INK61" s="608"/>
      <c r="INL61" s="608"/>
      <c r="INM61" s="608"/>
      <c r="INN61" s="608"/>
      <c r="INO61" s="608"/>
      <c r="INP61" s="608"/>
      <c r="INQ61" s="608"/>
      <c r="INR61" s="608"/>
      <c r="INS61" s="608"/>
      <c r="INT61" s="608"/>
      <c r="INU61" s="608"/>
      <c r="INV61" s="608"/>
      <c r="INW61" s="608"/>
      <c r="INX61" s="608"/>
      <c r="INY61" s="608"/>
      <c r="INZ61" s="608"/>
      <c r="IOA61" s="608"/>
      <c r="IOB61" s="608"/>
      <c r="IOC61" s="608"/>
      <c r="IOD61" s="608"/>
      <c r="IOE61" s="608"/>
      <c r="IOF61" s="608"/>
      <c r="IOG61" s="608"/>
      <c r="IOH61" s="608"/>
      <c r="IOI61" s="608"/>
      <c r="IOJ61" s="608"/>
      <c r="IOK61" s="608"/>
      <c r="IOL61" s="608"/>
      <c r="IOM61" s="608"/>
      <c r="ION61" s="608"/>
      <c r="IOO61" s="608"/>
      <c r="IOP61" s="608"/>
      <c r="IOQ61" s="608"/>
      <c r="IOR61" s="608"/>
      <c r="IOS61" s="608"/>
      <c r="IOT61" s="608"/>
      <c r="IOU61" s="608"/>
      <c r="IOV61" s="608"/>
      <c r="IOW61" s="608"/>
      <c r="IOX61" s="608"/>
      <c r="IOY61" s="608"/>
      <c r="IOZ61" s="608"/>
      <c r="IPA61" s="608"/>
      <c r="IPB61" s="608"/>
      <c r="IPC61" s="608"/>
      <c r="IPD61" s="608"/>
      <c r="IPE61" s="608"/>
      <c r="IPF61" s="608"/>
      <c r="IPG61" s="608"/>
      <c r="IPH61" s="608"/>
      <c r="IPI61" s="608"/>
      <c r="IPJ61" s="608"/>
      <c r="IPK61" s="608"/>
      <c r="IPL61" s="608"/>
      <c r="IPM61" s="608"/>
      <c r="IPN61" s="608"/>
      <c r="IPO61" s="608"/>
      <c r="IPP61" s="608"/>
      <c r="IPQ61" s="608"/>
      <c r="IPR61" s="608"/>
      <c r="IPS61" s="608"/>
      <c r="IPT61" s="608"/>
      <c r="IPU61" s="608"/>
      <c r="IPV61" s="608"/>
      <c r="IPW61" s="608"/>
      <c r="IPX61" s="608"/>
      <c r="IPY61" s="608"/>
      <c r="IPZ61" s="608"/>
      <c r="IQA61" s="608"/>
      <c r="IQB61" s="608"/>
      <c r="IQC61" s="608"/>
      <c r="IQD61" s="608"/>
      <c r="IQE61" s="608"/>
      <c r="IQF61" s="608"/>
      <c r="IQG61" s="608"/>
      <c r="IQH61" s="608"/>
      <c r="IQI61" s="608"/>
      <c r="IQJ61" s="608"/>
      <c r="IQK61" s="608"/>
      <c r="IQL61" s="608"/>
      <c r="IQM61" s="608"/>
      <c r="IQN61" s="608"/>
      <c r="IQO61" s="608"/>
      <c r="IQP61" s="608"/>
      <c r="IQQ61" s="608"/>
      <c r="IQR61" s="608"/>
      <c r="IQS61" s="608"/>
      <c r="IQT61" s="608"/>
      <c r="IQU61" s="608"/>
      <c r="IQV61" s="608"/>
      <c r="IQW61" s="608"/>
      <c r="IQX61" s="608"/>
      <c r="IQY61" s="608"/>
      <c r="IQZ61" s="608"/>
      <c r="IRA61" s="608"/>
      <c r="IRB61" s="608"/>
      <c r="IRC61" s="608"/>
      <c r="IRD61" s="608"/>
      <c r="IRE61" s="608"/>
      <c r="IRF61" s="608"/>
      <c r="IRG61" s="608"/>
      <c r="IRH61" s="608"/>
      <c r="IRI61" s="608"/>
      <c r="IRJ61" s="608"/>
      <c r="IRK61" s="608"/>
      <c r="IRL61" s="608"/>
      <c r="IRM61" s="608"/>
      <c r="IRN61" s="608"/>
      <c r="IRO61" s="608"/>
      <c r="IRP61" s="608"/>
      <c r="IRQ61" s="608"/>
      <c r="IRR61" s="608"/>
      <c r="IRS61" s="608"/>
      <c r="IRT61" s="608"/>
      <c r="IRU61" s="608"/>
      <c r="IRV61" s="608"/>
      <c r="IRW61" s="608"/>
      <c r="IRX61" s="608"/>
      <c r="IRY61" s="608"/>
      <c r="IRZ61" s="608"/>
      <c r="ISA61" s="608"/>
      <c r="ISB61" s="608"/>
      <c r="ISC61" s="608"/>
      <c r="ISD61" s="608"/>
      <c r="ISE61" s="608"/>
      <c r="ISF61" s="608"/>
      <c r="ISG61" s="608"/>
      <c r="ISH61" s="608"/>
      <c r="ISI61" s="608"/>
      <c r="ISJ61" s="608"/>
      <c r="ISK61" s="608"/>
      <c r="ISL61" s="608"/>
      <c r="ISM61" s="608"/>
      <c r="ISN61" s="608"/>
      <c r="ISO61" s="608"/>
      <c r="ISP61" s="608"/>
      <c r="ISQ61" s="608"/>
      <c r="ISR61" s="608"/>
      <c r="ISS61" s="608"/>
      <c r="IST61" s="608"/>
      <c r="ISU61" s="608"/>
      <c r="ISV61" s="608"/>
      <c r="ISW61" s="608"/>
      <c r="ISX61" s="608"/>
      <c r="ISY61" s="608"/>
      <c r="ISZ61" s="608"/>
      <c r="ITA61" s="608"/>
      <c r="ITB61" s="608"/>
      <c r="ITC61" s="608"/>
      <c r="ITD61" s="608"/>
      <c r="ITE61" s="608"/>
      <c r="ITF61" s="608"/>
      <c r="ITG61" s="608"/>
      <c r="ITH61" s="608"/>
      <c r="ITI61" s="608"/>
      <c r="ITJ61" s="608"/>
      <c r="ITK61" s="608"/>
      <c r="ITL61" s="608"/>
      <c r="ITM61" s="608"/>
      <c r="ITN61" s="608"/>
      <c r="ITO61" s="608"/>
      <c r="ITP61" s="608"/>
      <c r="ITQ61" s="608"/>
      <c r="ITR61" s="608"/>
      <c r="ITS61" s="608"/>
      <c r="ITT61" s="608"/>
      <c r="ITU61" s="608"/>
      <c r="ITV61" s="608"/>
      <c r="ITW61" s="608"/>
      <c r="ITX61" s="608"/>
      <c r="ITY61" s="608"/>
      <c r="ITZ61" s="608"/>
      <c r="IUA61" s="608"/>
      <c r="IUB61" s="608"/>
      <c r="IUC61" s="608"/>
      <c r="IUD61" s="608"/>
      <c r="IUE61" s="608"/>
      <c r="IUF61" s="608"/>
      <c r="IUG61" s="608"/>
      <c r="IUH61" s="608"/>
      <c r="IUI61" s="608"/>
      <c r="IUJ61" s="608"/>
      <c r="IUK61" s="608"/>
      <c r="IUL61" s="608"/>
      <c r="IUM61" s="608"/>
      <c r="IUN61" s="608"/>
      <c r="IUO61" s="608"/>
      <c r="IUP61" s="608"/>
      <c r="IUQ61" s="608"/>
      <c r="IUR61" s="608"/>
      <c r="IUS61" s="608"/>
      <c r="IUT61" s="608"/>
      <c r="IUU61" s="608"/>
      <c r="IUV61" s="608"/>
      <c r="IUW61" s="608"/>
      <c r="IUX61" s="608"/>
      <c r="IUY61" s="608"/>
      <c r="IUZ61" s="608"/>
      <c r="IVA61" s="608"/>
      <c r="IVB61" s="608"/>
      <c r="IVC61" s="608"/>
      <c r="IVD61" s="608"/>
      <c r="IVE61" s="608"/>
      <c r="IVF61" s="608"/>
      <c r="IVG61" s="608"/>
      <c r="IVH61" s="608"/>
      <c r="IVI61" s="608"/>
      <c r="IVJ61" s="608"/>
      <c r="IVK61" s="608"/>
      <c r="IVL61" s="608"/>
      <c r="IVM61" s="608"/>
      <c r="IVN61" s="608"/>
      <c r="IVO61" s="608"/>
      <c r="IVP61" s="608"/>
      <c r="IVQ61" s="608"/>
      <c r="IVR61" s="608"/>
      <c r="IVS61" s="608"/>
      <c r="IVT61" s="608"/>
      <c r="IVU61" s="608"/>
      <c r="IVV61" s="608"/>
      <c r="IVW61" s="608"/>
      <c r="IVX61" s="608"/>
      <c r="IVY61" s="608"/>
      <c r="IVZ61" s="608"/>
      <c r="IWA61" s="608"/>
      <c r="IWB61" s="608"/>
      <c r="IWC61" s="608"/>
      <c r="IWD61" s="608"/>
      <c r="IWE61" s="608"/>
      <c r="IWF61" s="608"/>
      <c r="IWG61" s="608"/>
      <c r="IWH61" s="608"/>
      <c r="IWI61" s="608"/>
      <c r="IWJ61" s="608"/>
      <c r="IWK61" s="608"/>
      <c r="IWL61" s="608"/>
      <c r="IWM61" s="608"/>
      <c r="IWN61" s="608"/>
      <c r="IWO61" s="608"/>
      <c r="IWP61" s="608"/>
      <c r="IWQ61" s="608"/>
      <c r="IWR61" s="608"/>
      <c r="IWS61" s="608"/>
      <c r="IWT61" s="608"/>
      <c r="IWU61" s="608"/>
      <c r="IWV61" s="608"/>
      <c r="IWW61" s="608"/>
      <c r="IWX61" s="608"/>
      <c r="IWY61" s="608"/>
      <c r="IWZ61" s="608"/>
      <c r="IXA61" s="608"/>
      <c r="IXB61" s="608"/>
      <c r="IXC61" s="608"/>
      <c r="IXD61" s="608"/>
      <c r="IXE61" s="608"/>
      <c r="IXF61" s="608"/>
      <c r="IXG61" s="608"/>
      <c r="IXH61" s="608"/>
      <c r="IXI61" s="608"/>
      <c r="IXJ61" s="608"/>
      <c r="IXK61" s="608"/>
      <c r="IXL61" s="608"/>
      <c r="IXM61" s="608"/>
      <c r="IXN61" s="608"/>
      <c r="IXO61" s="608"/>
      <c r="IXP61" s="608"/>
      <c r="IXQ61" s="608"/>
      <c r="IXR61" s="608"/>
      <c r="IXS61" s="608"/>
      <c r="IXT61" s="608"/>
      <c r="IXU61" s="608"/>
      <c r="IXV61" s="608"/>
      <c r="IXW61" s="608"/>
      <c r="IXX61" s="608"/>
      <c r="IXY61" s="608"/>
      <c r="IXZ61" s="608"/>
      <c r="IYA61" s="608"/>
      <c r="IYB61" s="608"/>
      <c r="IYC61" s="608"/>
      <c r="IYD61" s="608"/>
      <c r="IYE61" s="608"/>
      <c r="IYF61" s="608"/>
      <c r="IYG61" s="608"/>
      <c r="IYH61" s="608"/>
      <c r="IYI61" s="608"/>
      <c r="IYJ61" s="608"/>
      <c r="IYK61" s="608"/>
      <c r="IYL61" s="608"/>
      <c r="IYM61" s="608"/>
      <c r="IYN61" s="608"/>
      <c r="IYO61" s="608"/>
      <c r="IYP61" s="608"/>
      <c r="IYQ61" s="608"/>
      <c r="IYR61" s="608"/>
      <c r="IYS61" s="608"/>
      <c r="IYT61" s="608"/>
      <c r="IYU61" s="608"/>
      <c r="IYV61" s="608"/>
      <c r="IYW61" s="608"/>
      <c r="IYX61" s="608"/>
      <c r="IYY61" s="608"/>
      <c r="IYZ61" s="608"/>
      <c r="IZA61" s="608"/>
      <c r="IZB61" s="608"/>
      <c r="IZC61" s="608"/>
      <c r="IZD61" s="608"/>
      <c r="IZE61" s="608"/>
      <c r="IZF61" s="608"/>
      <c r="IZG61" s="608"/>
      <c r="IZH61" s="608"/>
      <c r="IZI61" s="608"/>
      <c r="IZJ61" s="608"/>
      <c r="IZK61" s="608"/>
      <c r="IZL61" s="608"/>
      <c r="IZM61" s="608"/>
      <c r="IZN61" s="608"/>
      <c r="IZO61" s="608"/>
      <c r="IZP61" s="608"/>
      <c r="IZQ61" s="608"/>
      <c r="IZR61" s="608"/>
      <c r="IZS61" s="608"/>
      <c r="IZT61" s="608"/>
      <c r="IZU61" s="608"/>
      <c r="IZV61" s="608"/>
      <c r="IZW61" s="608"/>
      <c r="IZX61" s="608"/>
      <c r="IZY61" s="608"/>
      <c r="IZZ61" s="608"/>
      <c r="JAA61" s="608"/>
      <c r="JAB61" s="608"/>
      <c r="JAC61" s="608"/>
      <c r="JAD61" s="608"/>
      <c r="JAE61" s="608"/>
      <c r="JAF61" s="608"/>
      <c r="JAG61" s="608"/>
      <c r="JAH61" s="608"/>
      <c r="JAI61" s="608"/>
      <c r="JAJ61" s="608"/>
      <c r="JAK61" s="608"/>
      <c r="JAL61" s="608"/>
      <c r="JAM61" s="608"/>
      <c r="JAN61" s="608"/>
      <c r="JAO61" s="608"/>
      <c r="JAP61" s="608"/>
      <c r="JAQ61" s="608"/>
      <c r="JAR61" s="608"/>
      <c r="JAS61" s="608"/>
      <c r="JAT61" s="608"/>
      <c r="JAU61" s="608"/>
      <c r="JAV61" s="608"/>
      <c r="JAW61" s="608"/>
      <c r="JAX61" s="608"/>
      <c r="JAY61" s="608"/>
      <c r="JAZ61" s="608"/>
      <c r="JBA61" s="608"/>
      <c r="JBB61" s="608"/>
      <c r="JBC61" s="608"/>
      <c r="JBD61" s="608"/>
      <c r="JBE61" s="608"/>
      <c r="JBF61" s="608"/>
      <c r="JBG61" s="608"/>
      <c r="JBH61" s="608"/>
      <c r="JBI61" s="608"/>
      <c r="JBJ61" s="608"/>
      <c r="JBK61" s="608"/>
      <c r="JBL61" s="608"/>
      <c r="JBM61" s="608"/>
      <c r="JBN61" s="608"/>
      <c r="JBO61" s="608"/>
      <c r="JBP61" s="608"/>
      <c r="JBQ61" s="608"/>
      <c r="JBR61" s="608"/>
      <c r="JBS61" s="608"/>
      <c r="JBT61" s="608"/>
      <c r="JBU61" s="608"/>
      <c r="JBV61" s="608"/>
      <c r="JBW61" s="608"/>
      <c r="JBX61" s="608"/>
      <c r="JBY61" s="608"/>
      <c r="JBZ61" s="608"/>
      <c r="JCA61" s="608"/>
      <c r="JCB61" s="608"/>
      <c r="JCC61" s="608"/>
      <c r="JCD61" s="608"/>
      <c r="JCE61" s="608"/>
      <c r="JCF61" s="608"/>
      <c r="JCG61" s="608"/>
      <c r="JCH61" s="608"/>
      <c r="JCI61" s="608"/>
      <c r="JCJ61" s="608"/>
      <c r="JCK61" s="608"/>
      <c r="JCL61" s="608"/>
      <c r="JCM61" s="608"/>
      <c r="JCN61" s="608"/>
      <c r="JCO61" s="608"/>
      <c r="JCP61" s="608"/>
      <c r="JCQ61" s="608"/>
      <c r="JCR61" s="608"/>
      <c r="JCS61" s="608"/>
      <c r="JCT61" s="608"/>
      <c r="JCU61" s="608"/>
      <c r="JCV61" s="608"/>
      <c r="JCW61" s="608"/>
      <c r="JCX61" s="608"/>
      <c r="JCY61" s="608"/>
      <c r="JCZ61" s="608"/>
      <c r="JDA61" s="608"/>
      <c r="JDB61" s="608"/>
      <c r="JDC61" s="608"/>
      <c r="JDD61" s="608"/>
      <c r="JDE61" s="608"/>
      <c r="JDF61" s="608"/>
      <c r="JDG61" s="608"/>
      <c r="JDH61" s="608"/>
      <c r="JDI61" s="608"/>
      <c r="JDJ61" s="608"/>
      <c r="JDK61" s="608"/>
      <c r="JDL61" s="608"/>
      <c r="JDM61" s="608"/>
      <c r="JDN61" s="608"/>
      <c r="JDO61" s="608"/>
      <c r="JDP61" s="608"/>
      <c r="JDQ61" s="608"/>
      <c r="JDR61" s="608"/>
      <c r="JDS61" s="608"/>
      <c r="JDT61" s="608"/>
      <c r="JDU61" s="608"/>
      <c r="JDV61" s="608"/>
      <c r="JDW61" s="608"/>
      <c r="JDX61" s="608"/>
      <c r="JDY61" s="608"/>
      <c r="JDZ61" s="608"/>
      <c r="JEA61" s="608"/>
      <c r="JEB61" s="608"/>
      <c r="JEC61" s="608"/>
      <c r="JED61" s="608"/>
      <c r="JEE61" s="608"/>
      <c r="JEF61" s="608"/>
      <c r="JEG61" s="608"/>
      <c r="JEH61" s="608"/>
      <c r="JEI61" s="608"/>
      <c r="JEJ61" s="608"/>
      <c r="JEK61" s="608"/>
      <c r="JEL61" s="608"/>
      <c r="JEM61" s="608"/>
      <c r="JEN61" s="608"/>
      <c r="JEO61" s="608"/>
      <c r="JEP61" s="608"/>
      <c r="JEQ61" s="608"/>
      <c r="JER61" s="608"/>
      <c r="JES61" s="608"/>
      <c r="JET61" s="608"/>
      <c r="JEU61" s="608"/>
      <c r="JEV61" s="608"/>
      <c r="JEW61" s="608"/>
      <c r="JEX61" s="608"/>
      <c r="JEY61" s="608"/>
      <c r="JEZ61" s="608"/>
      <c r="JFA61" s="608"/>
      <c r="JFB61" s="608"/>
      <c r="JFC61" s="608"/>
      <c r="JFD61" s="608"/>
      <c r="JFE61" s="608"/>
      <c r="JFF61" s="608"/>
      <c r="JFG61" s="608"/>
      <c r="JFH61" s="608"/>
      <c r="JFI61" s="608"/>
      <c r="JFJ61" s="608"/>
      <c r="JFK61" s="608"/>
      <c r="JFL61" s="608"/>
      <c r="JFM61" s="608"/>
      <c r="JFN61" s="608"/>
      <c r="JFO61" s="608"/>
      <c r="JFP61" s="608"/>
      <c r="JFQ61" s="608"/>
      <c r="JFR61" s="608"/>
      <c r="JFS61" s="608"/>
      <c r="JFT61" s="608"/>
      <c r="JFU61" s="608"/>
      <c r="JFV61" s="608"/>
      <c r="JFW61" s="608"/>
      <c r="JFX61" s="608"/>
      <c r="JFY61" s="608"/>
      <c r="JFZ61" s="608"/>
      <c r="JGA61" s="608"/>
      <c r="JGB61" s="608"/>
      <c r="JGC61" s="608"/>
      <c r="JGD61" s="608"/>
      <c r="JGE61" s="608"/>
      <c r="JGF61" s="608"/>
      <c r="JGG61" s="608"/>
      <c r="JGH61" s="608"/>
      <c r="JGI61" s="608"/>
      <c r="JGJ61" s="608"/>
      <c r="JGK61" s="608"/>
      <c r="JGL61" s="608"/>
      <c r="JGM61" s="608"/>
      <c r="JGN61" s="608"/>
      <c r="JGO61" s="608"/>
      <c r="JGP61" s="608"/>
      <c r="JGQ61" s="608"/>
      <c r="JGR61" s="608"/>
      <c r="JGS61" s="608"/>
      <c r="JGT61" s="608"/>
      <c r="JGU61" s="608"/>
      <c r="JGV61" s="608"/>
      <c r="JGW61" s="608"/>
      <c r="JGX61" s="608"/>
      <c r="JGY61" s="608"/>
      <c r="JGZ61" s="608"/>
      <c r="JHA61" s="608"/>
      <c r="JHB61" s="608"/>
      <c r="JHC61" s="608"/>
      <c r="JHD61" s="608"/>
      <c r="JHE61" s="608"/>
      <c r="JHF61" s="608"/>
      <c r="JHG61" s="608"/>
      <c r="JHH61" s="608"/>
      <c r="JHI61" s="608"/>
      <c r="JHJ61" s="608"/>
      <c r="JHK61" s="608"/>
      <c r="JHL61" s="608"/>
      <c r="JHM61" s="608"/>
      <c r="JHN61" s="608"/>
      <c r="JHO61" s="608"/>
      <c r="JHP61" s="608"/>
      <c r="JHQ61" s="608"/>
      <c r="JHR61" s="608"/>
      <c r="JHS61" s="608"/>
      <c r="JHT61" s="608"/>
      <c r="JHU61" s="608"/>
      <c r="JHV61" s="608"/>
      <c r="JHW61" s="608"/>
      <c r="JHX61" s="608"/>
      <c r="JHY61" s="608"/>
      <c r="JHZ61" s="608"/>
      <c r="JIA61" s="608"/>
      <c r="JIB61" s="608"/>
      <c r="JIC61" s="608"/>
      <c r="JID61" s="608"/>
      <c r="JIE61" s="608"/>
      <c r="JIF61" s="608"/>
      <c r="JIG61" s="608"/>
      <c r="JIH61" s="608"/>
      <c r="JII61" s="608"/>
      <c r="JIJ61" s="608"/>
      <c r="JIK61" s="608"/>
      <c r="JIL61" s="608"/>
      <c r="JIM61" s="608"/>
      <c r="JIN61" s="608"/>
      <c r="JIO61" s="608"/>
      <c r="JIP61" s="608"/>
      <c r="JIQ61" s="608"/>
      <c r="JIR61" s="608"/>
      <c r="JIS61" s="608"/>
      <c r="JIT61" s="608"/>
      <c r="JIU61" s="608"/>
      <c r="JIV61" s="608"/>
      <c r="JIW61" s="608"/>
      <c r="JIX61" s="608"/>
      <c r="JIY61" s="608"/>
      <c r="JIZ61" s="608"/>
      <c r="JJA61" s="608"/>
      <c r="JJB61" s="608"/>
      <c r="JJC61" s="608"/>
      <c r="JJD61" s="608"/>
      <c r="JJE61" s="608"/>
      <c r="JJF61" s="608"/>
      <c r="JJG61" s="608"/>
      <c r="JJH61" s="608"/>
      <c r="JJI61" s="608"/>
      <c r="JJJ61" s="608"/>
      <c r="JJK61" s="608"/>
      <c r="JJL61" s="608"/>
      <c r="JJM61" s="608"/>
      <c r="JJN61" s="608"/>
      <c r="JJO61" s="608"/>
      <c r="JJP61" s="608"/>
      <c r="JJQ61" s="608"/>
      <c r="JJR61" s="608"/>
      <c r="JJS61" s="608"/>
      <c r="JJT61" s="608"/>
      <c r="JJU61" s="608"/>
      <c r="JJV61" s="608"/>
      <c r="JJW61" s="608"/>
      <c r="JJX61" s="608"/>
      <c r="JJY61" s="608"/>
      <c r="JJZ61" s="608"/>
      <c r="JKA61" s="608"/>
      <c r="JKB61" s="608"/>
      <c r="JKC61" s="608"/>
      <c r="JKD61" s="608"/>
      <c r="JKE61" s="608"/>
      <c r="JKF61" s="608"/>
      <c r="JKG61" s="608"/>
      <c r="JKH61" s="608"/>
      <c r="JKI61" s="608"/>
      <c r="JKJ61" s="608"/>
      <c r="JKK61" s="608"/>
      <c r="JKL61" s="608"/>
      <c r="JKM61" s="608"/>
      <c r="JKN61" s="608"/>
      <c r="JKO61" s="608"/>
      <c r="JKP61" s="608"/>
      <c r="JKQ61" s="608"/>
      <c r="JKR61" s="608"/>
      <c r="JKS61" s="608"/>
      <c r="JKT61" s="608"/>
      <c r="JKU61" s="608"/>
      <c r="JKV61" s="608"/>
      <c r="JKW61" s="608"/>
      <c r="JKX61" s="608"/>
      <c r="JKY61" s="608"/>
      <c r="JKZ61" s="608"/>
      <c r="JLA61" s="608"/>
      <c r="JLB61" s="608"/>
      <c r="JLC61" s="608"/>
      <c r="JLD61" s="608"/>
      <c r="JLE61" s="608"/>
      <c r="JLF61" s="608"/>
      <c r="JLG61" s="608"/>
      <c r="JLH61" s="608"/>
      <c r="JLI61" s="608"/>
      <c r="JLJ61" s="608"/>
      <c r="JLK61" s="608"/>
      <c r="JLL61" s="608"/>
      <c r="JLM61" s="608"/>
      <c r="JLN61" s="608"/>
      <c r="JLO61" s="608"/>
      <c r="JLP61" s="608"/>
      <c r="JLQ61" s="608"/>
      <c r="JLR61" s="608"/>
      <c r="JLS61" s="608"/>
      <c r="JLT61" s="608"/>
      <c r="JLU61" s="608"/>
      <c r="JLV61" s="608"/>
      <c r="JLW61" s="608"/>
      <c r="JLX61" s="608"/>
      <c r="JLY61" s="608"/>
      <c r="JLZ61" s="608"/>
      <c r="JMA61" s="608"/>
      <c r="JMB61" s="608"/>
      <c r="JMC61" s="608"/>
      <c r="JMD61" s="608"/>
      <c r="JME61" s="608"/>
      <c r="JMF61" s="608"/>
      <c r="JMG61" s="608"/>
      <c r="JMH61" s="608"/>
      <c r="JMI61" s="608"/>
      <c r="JMJ61" s="608"/>
      <c r="JMK61" s="608"/>
      <c r="JML61" s="608"/>
      <c r="JMM61" s="608"/>
      <c r="JMN61" s="608"/>
      <c r="JMO61" s="608"/>
      <c r="JMP61" s="608"/>
      <c r="JMQ61" s="608"/>
      <c r="JMR61" s="608"/>
      <c r="JMS61" s="608"/>
      <c r="JMT61" s="608"/>
      <c r="JMU61" s="608"/>
      <c r="JMV61" s="608"/>
      <c r="JMW61" s="608"/>
      <c r="JMX61" s="608"/>
      <c r="JMY61" s="608"/>
      <c r="JMZ61" s="608"/>
      <c r="JNA61" s="608"/>
      <c r="JNB61" s="608"/>
      <c r="JNC61" s="608"/>
      <c r="JND61" s="608"/>
      <c r="JNE61" s="608"/>
      <c r="JNF61" s="608"/>
      <c r="JNG61" s="608"/>
      <c r="JNH61" s="608"/>
      <c r="JNI61" s="608"/>
      <c r="JNJ61" s="608"/>
      <c r="JNK61" s="608"/>
      <c r="JNL61" s="608"/>
      <c r="JNM61" s="608"/>
      <c r="JNN61" s="608"/>
      <c r="JNO61" s="608"/>
      <c r="JNP61" s="608"/>
      <c r="JNQ61" s="608"/>
      <c r="JNR61" s="608"/>
      <c r="JNS61" s="608"/>
      <c r="JNT61" s="608"/>
      <c r="JNU61" s="608"/>
      <c r="JNV61" s="608"/>
      <c r="JNW61" s="608"/>
      <c r="JNX61" s="608"/>
      <c r="JNY61" s="608"/>
      <c r="JNZ61" s="608"/>
      <c r="JOA61" s="608"/>
      <c r="JOB61" s="608"/>
      <c r="JOC61" s="608"/>
      <c r="JOD61" s="608"/>
      <c r="JOE61" s="608"/>
      <c r="JOF61" s="608"/>
      <c r="JOG61" s="608"/>
      <c r="JOH61" s="608"/>
      <c r="JOI61" s="608"/>
      <c r="JOJ61" s="608"/>
      <c r="JOK61" s="608"/>
      <c r="JOL61" s="608"/>
      <c r="JOM61" s="608"/>
      <c r="JON61" s="608"/>
      <c r="JOO61" s="608"/>
      <c r="JOP61" s="608"/>
      <c r="JOQ61" s="608"/>
      <c r="JOR61" s="608"/>
      <c r="JOS61" s="608"/>
      <c r="JOT61" s="608"/>
      <c r="JOU61" s="608"/>
      <c r="JOV61" s="608"/>
      <c r="JOW61" s="608"/>
      <c r="JOX61" s="608"/>
      <c r="JOY61" s="608"/>
      <c r="JOZ61" s="608"/>
      <c r="JPA61" s="608"/>
      <c r="JPB61" s="608"/>
      <c r="JPC61" s="608"/>
      <c r="JPD61" s="608"/>
      <c r="JPE61" s="608"/>
      <c r="JPF61" s="608"/>
      <c r="JPG61" s="608"/>
      <c r="JPH61" s="608"/>
      <c r="JPI61" s="608"/>
      <c r="JPJ61" s="608"/>
      <c r="JPK61" s="608"/>
      <c r="JPL61" s="608"/>
      <c r="JPM61" s="608"/>
      <c r="JPN61" s="608"/>
      <c r="JPO61" s="608"/>
      <c r="JPP61" s="608"/>
      <c r="JPQ61" s="608"/>
      <c r="JPR61" s="608"/>
      <c r="JPS61" s="608"/>
      <c r="JPT61" s="608"/>
      <c r="JPU61" s="608"/>
      <c r="JPV61" s="608"/>
      <c r="JPW61" s="608"/>
      <c r="JPX61" s="608"/>
      <c r="JPY61" s="608"/>
      <c r="JPZ61" s="608"/>
      <c r="JQA61" s="608"/>
      <c r="JQB61" s="608"/>
      <c r="JQC61" s="608"/>
      <c r="JQD61" s="608"/>
      <c r="JQE61" s="608"/>
      <c r="JQF61" s="608"/>
      <c r="JQG61" s="608"/>
      <c r="JQH61" s="608"/>
      <c r="JQI61" s="608"/>
      <c r="JQJ61" s="608"/>
      <c r="JQK61" s="608"/>
      <c r="JQL61" s="608"/>
      <c r="JQM61" s="608"/>
      <c r="JQN61" s="608"/>
      <c r="JQO61" s="608"/>
      <c r="JQP61" s="608"/>
      <c r="JQQ61" s="608"/>
      <c r="JQR61" s="608"/>
      <c r="JQS61" s="608"/>
      <c r="JQT61" s="608"/>
      <c r="JQU61" s="608"/>
      <c r="JQV61" s="608"/>
      <c r="JQW61" s="608"/>
      <c r="JQX61" s="608"/>
      <c r="JQY61" s="608"/>
      <c r="JQZ61" s="608"/>
      <c r="JRA61" s="608"/>
      <c r="JRB61" s="608"/>
      <c r="JRC61" s="608"/>
      <c r="JRD61" s="608"/>
      <c r="JRE61" s="608"/>
      <c r="JRF61" s="608"/>
      <c r="JRG61" s="608"/>
      <c r="JRH61" s="608"/>
      <c r="JRI61" s="608"/>
      <c r="JRJ61" s="608"/>
      <c r="JRK61" s="608"/>
      <c r="JRL61" s="608"/>
      <c r="JRM61" s="608"/>
      <c r="JRN61" s="608"/>
      <c r="JRO61" s="608"/>
      <c r="JRP61" s="608"/>
      <c r="JRQ61" s="608"/>
      <c r="JRR61" s="608"/>
      <c r="JRS61" s="608"/>
      <c r="JRT61" s="608"/>
      <c r="JRU61" s="608"/>
      <c r="JRV61" s="608"/>
      <c r="JRW61" s="608"/>
      <c r="JRX61" s="608"/>
      <c r="JRY61" s="608"/>
      <c r="JRZ61" s="608"/>
      <c r="JSA61" s="608"/>
      <c r="JSB61" s="608"/>
      <c r="JSC61" s="608"/>
      <c r="JSD61" s="608"/>
      <c r="JSE61" s="608"/>
      <c r="JSF61" s="608"/>
      <c r="JSG61" s="608"/>
      <c r="JSH61" s="608"/>
      <c r="JSI61" s="608"/>
      <c r="JSJ61" s="608"/>
      <c r="JSK61" s="608"/>
      <c r="JSL61" s="608"/>
      <c r="JSM61" s="608"/>
      <c r="JSN61" s="608"/>
      <c r="JSO61" s="608"/>
      <c r="JSP61" s="608"/>
      <c r="JSQ61" s="608"/>
      <c r="JSR61" s="608"/>
      <c r="JSS61" s="608"/>
      <c r="JST61" s="608"/>
      <c r="JSU61" s="608"/>
      <c r="JSV61" s="608"/>
      <c r="JSW61" s="608"/>
      <c r="JSX61" s="608"/>
      <c r="JSY61" s="608"/>
      <c r="JSZ61" s="608"/>
      <c r="JTA61" s="608"/>
      <c r="JTB61" s="608"/>
      <c r="JTC61" s="608"/>
      <c r="JTD61" s="608"/>
      <c r="JTE61" s="608"/>
      <c r="JTF61" s="608"/>
      <c r="JTG61" s="608"/>
      <c r="JTH61" s="608"/>
      <c r="JTI61" s="608"/>
      <c r="JTJ61" s="608"/>
      <c r="JTK61" s="608"/>
      <c r="JTL61" s="608"/>
      <c r="JTM61" s="608"/>
      <c r="JTN61" s="608"/>
      <c r="JTO61" s="608"/>
      <c r="JTP61" s="608"/>
      <c r="JTQ61" s="608"/>
      <c r="JTR61" s="608"/>
      <c r="JTS61" s="608"/>
      <c r="JTT61" s="608"/>
      <c r="JTU61" s="608"/>
      <c r="JTV61" s="608"/>
      <c r="JTW61" s="608"/>
      <c r="JTX61" s="608"/>
      <c r="JTY61" s="608"/>
      <c r="JTZ61" s="608"/>
      <c r="JUA61" s="608"/>
      <c r="JUB61" s="608"/>
      <c r="JUC61" s="608"/>
      <c r="JUD61" s="608"/>
      <c r="JUE61" s="608"/>
      <c r="JUF61" s="608"/>
      <c r="JUG61" s="608"/>
      <c r="JUH61" s="608"/>
      <c r="JUI61" s="608"/>
      <c r="JUJ61" s="608"/>
      <c r="JUK61" s="608"/>
      <c r="JUL61" s="608"/>
      <c r="JUM61" s="608"/>
      <c r="JUN61" s="608"/>
      <c r="JUO61" s="608"/>
      <c r="JUP61" s="608"/>
      <c r="JUQ61" s="608"/>
      <c r="JUR61" s="608"/>
      <c r="JUS61" s="608"/>
      <c r="JUT61" s="608"/>
      <c r="JUU61" s="608"/>
      <c r="JUV61" s="608"/>
      <c r="JUW61" s="608"/>
      <c r="JUX61" s="608"/>
      <c r="JUY61" s="608"/>
      <c r="JUZ61" s="608"/>
      <c r="JVA61" s="608"/>
      <c r="JVB61" s="608"/>
      <c r="JVC61" s="608"/>
      <c r="JVD61" s="608"/>
      <c r="JVE61" s="608"/>
      <c r="JVF61" s="608"/>
      <c r="JVG61" s="608"/>
      <c r="JVH61" s="608"/>
      <c r="JVI61" s="608"/>
      <c r="JVJ61" s="608"/>
      <c r="JVK61" s="608"/>
      <c r="JVL61" s="608"/>
      <c r="JVM61" s="608"/>
      <c r="JVN61" s="608"/>
      <c r="JVO61" s="608"/>
      <c r="JVP61" s="608"/>
      <c r="JVQ61" s="608"/>
      <c r="JVR61" s="608"/>
      <c r="JVS61" s="608"/>
      <c r="JVT61" s="608"/>
      <c r="JVU61" s="608"/>
      <c r="JVV61" s="608"/>
      <c r="JVW61" s="608"/>
      <c r="JVX61" s="608"/>
      <c r="JVY61" s="608"/>
      <c r="JVZ61" s="608"/>
      <c r="JWA61" s="608"/>
      <c r="JWB61" s="608"/>
      <c r="JWC61" s="608"/>
      <c r="JWD61" s="608"/>
      <c r="JWE61" s="608"/>
      <c r="JWF61" s="608"/>
      <c r="JWG61" s="608"/>
      <c r="JWH61" s="608"/>
      <c r="JWI61" s="608"/>
      <c r="JWJ61" s="608"/>
      <c r="JWK61" s="608"/>
      <c r="JWL61" s="608"/>
      <c r="JWM61" s="608"/>
      <c r="JWN61" s="608"/>
      <c r="JWO61" s="608"/>
      <c r="JWP61" s="608"/>
      <c r="JWQ61" s="608"/>
      <c r="JWR61" s="608"/>
      <c r="JWS61" s="608"/>
      <c r="JWT61" s="608"/>
      <c r="JWU61" s="608"/>
      <c r="JWV61" s="608"/>
      <c r="JWW61" s="608"/>
      <c r="JWX61" s="608"/>
      <c r="JWY61" s="608"/>
      <c r="JWZ61" s="608"/>
      <c r="JXA61" s="608"/>
      <c r="JXB61" s="608"/>
      <c r="JXC61" s="608"/>
      <c r="JXD61" s="608"/>
      <c r="JXE61" s="608"/>
      <c r="JXF61" s="608"/>
      <c r="JXG61" s="608"/>
      <c r="JXH61" s="608"/>
      <c r="JXI61" s="608"/>
      <c r="JXJ61" s="608"/>
      <c r="JXK61" s="608"/>
      <c r="JXL61" s="608"/>
      <c r="JXM61" s="608"/>
      <c r="JXN61" s="608"/>
      <c r="JXO61" s="608"/>
      <c r="JXP61" s="608"/>
      <c r="JXQ61" s="608"/>
      <c r="JXR61" s="608"/>
      <c r="JXS61" s="608"/>
      <c r="JXT61" s="608"/>
      <c r="JXU61" s="608"/>
      <c r="JXV61" s="608"/>
      <c r="JXW61" s="608"/>
      <c r="JXX61" s="608"/>
      <c r="JXY61" s="608"/>
      <c r="JXZ61" s="608"/>
      <c r="JYA61" s="608"/>
      <c r="JYB61" s="608"/>
      <c r="JYC61" s="608"/>
      <c r="JYD61" s="608"/>
      <c r="JYE61" s="608"/>
      <c r="JYF61" s="608"/>
      <c r="JYG61" s="608"/>
      <c r="JYH61" s="608"/>
      <c r="JYI61" s="608"/>
      <c r="JYJ61" s="608"/>
      <c r="JYK61" s="608"/>
      <c r="JYL61" s="608"/>
      <c r="JYM61" s="608"/>
      <c r="JYN61" s="608"/>
      <c r="JYO61" s="608"/>
      <c r="JYP61" s="608"/>
      <c r="JYQ61" s="608"/>
      <c r="JYR61" s="608"/>
      <c r="JYS61" s="608"/>
      <c r="JYT61" s="608"/>
      <c r="JYU61" s="608"/>
      <c r="JYV61" s="608"/>
      <c r="JYW61" s="608"/>
      <c r="JYX61" s="608"/>
      <c r="JYY61" s="608"/>
      <c r="JYZ61" s="608"/>
      <c r="JZA61" s="608"/>
      <c r="JZB61" s="608"/>
      <c r="JZC61" s="608"/>
      <c r="JZD61" s="608"/>
      <c r="JZE61" s="608"/>
      <c r="JZF61" s="608"/>
      <c r="JZG61" s="608"/>
      <c r="JZH61" s="608"/>
      <c r="JZI61" s="608"/>
      <c r="JZJ61" s="608"/>
      <c r="JZK61" s="608"/>
      <c r="JZL61" s="608"/>
      <c r="JZM61" s="608"/>
      <c r="JZN61" s="608"/>
      <c r="JZO61" s="608"/>
      <c r="JZP61" s="608"/>
      <c r="JZQ61" s="608"/>
      <c r="JZR61" s="608"/>
      <c r="JZS61" s="608"/>
      <c r="JZT61" s="608"/>
      <c r="JZU61" s="608"/>
      <c r="JZV61" s="608"/>
      <c r="JZW61" s="608"/>
      <c r="JZX61" s="608"/>
      <c r="JZY61" s="608"/>
      <c r="JZZ61" s="608"/>
      <c r="KAA61" s="608"/>
      <c r="KAB61" s="608"/>
      <c r="KAC61" s="608"/>
      <c r="KAD61" s="608"/>
      <c r="KAE61" s="608"/>
      <c r="KAF61" s="608"/>
      <c r="KAG61" s="608"/>
      <c r="KAH61" s="608"/>
      <c r="KAI61" s="608"/>
      <c r="KAJ61" s="608"/>
      <c r="KAK61" s="608"/>
      <c r="KAL61" s="608"/>
      <c r="KAM61" s="608"/>
      <c r="KAN61" s="608"/>
      <c r="KAO61" s="608"/>
      <c r="KAP61" s="608"/>
      <c r="KAQ61" s="608"/>
      <c r="KAR61" s="608"/>
      <c r="KAS61" s="608"/>
      <c r="KAT61" s="608"/>
      <c r="KAU61" s="608"/>
      <c r="KAV61" s="608"/>
      <c r="KAW61" s="608"/>
      <c r="KAX61" s="608"/>
      <c r="KAY61" s="608"/>
      <c r="KAZ61" s="608"/>
      <c r="KBA61" s="608"/>
      <c r="KBB61" s="608"/>
      <c r="KBC61" s="608"/>
      <c r="KBD61" s="608"/>
      <c r="KBE61" s="608"/>
      <c r="KBF61" s="608"/>
      <c r="KBG61" s="608"/>
      <c r="KBH61" s="608"/>
      <c r="KBI61" s="608"/>
      <c r="KBJ61" s="608"/>
      <c r="KBK61" s="608"/>
      <c r="KBL61" s="608"/>
      <c r="KBM61" s="608"/>
      <c r="KBN61" s="608"/>
      <c r="KBO61" s="608"/>
      <c r="KBP61" s="608"/>
      <c r="KBQ61" s="608"/>
      <c r="KBR61" s="608"/>
      <c r="KBS61" s="608"/>
      <c r="KBT61" s="608"/>
      <c r="KBU61" s="608"/>
      <c r="KBV61" s="608"/>
      <c r="KBW61" s="608"/>
      <c r="KBX61" s="608"/>
      <c r="KBY61" s="608"/>
      <c r="KBZ61" s="608"/>
      <c r="KCA61" s="608"/>
      <c r="KCB61" s="608"/>
      <c r="KCC61" s="608"/>
      <c r="KCD61" s="608"/>
      <c r="KCE61" s="608"/>
      <c r="KCF61" s="608"/>
      <c r="KCG61" s="608"/>
      <c r="KCH61" s="608"/>
      <c r="KCI61" s="608"/>
      <c r="KCJ61" s="608"/>
      <c r="KCK61" s="608"/>
      <c r="KCL61" s="608"/>
      <c r="KCM61" s="608"/>
      <c r="KCN61" s="608"/>
      <c r="KCO61" s="608"/>
      <c r="KCP61" s="608"/>
      <c r="KCQ61" s="608"/>
      <c r="KCR61" s="608"/>
      <c r="KCS61" s="608"/>
      <c r="KCT61" s="608"/>
      <c r="KCU61" s="608"/>
      <c r="KCV61" s="608"/>
      <c r="KCW61" s="608"/>
      <c r="KCX61" s="608"/>
      <c r="KCY61" s="608"/>
      <c r="KCZ61" s="608"/>
      <c r="KDA61" s="608"/>
      <c r="KDB61" s="608"/>
      <c r="KDC61" s="608"/>
      <c r="KDD61" s="608"/>
      <c r="KDE61" s="608"/>
      <c r="KDF61" s="608"/>
      <c r="KDG61" s="608"/>
      <c r="KDH61" s="608"/>
      <c r="KDI61" s="608"/>
      <c r="KDJ61" s="608"/>
      <c r="KDK61" s="608"/>
      <c r="KDL61" s="608"/>
      <c r="KDM61" s="608"/>
      <c r="KDN61" s="608"/>
      <c r="KDO61" s="608"/>
      <c r="KDP61" s="608"/>
      <c r="KDQ61" s="608"/>
      <c r="KDR61" s="608"/>
      <c r="KDS61" s="608"/>
      <c r="KDT61" s="608"/>
      <c r="KDU61" s="608"/>
      <c r="KDV61" s="608"/>
      <c r="KDW61" s="608"/>
      <c r="KDX61" s="608"/>
      <c r="KDY61" s="608"/>
      <c r="KDZ61" s="608"/>
      <c r="KEA61" s="608"/>
      <c r="KEB61" s="608"/>
      <c r="KEC61" s="608"/>
      <c r="KED61" s="608"/>
      <c r="KEE61" s="608"/>
      <c r="KEF61" s="608"/>
      <c r="KEG61" s="608"/>
      <c r="KEH61" s="608"/>
      <c r="KEI61" s="608"/>
      <c r="KEJ61" s="608"/>
      <c r="KEK61" s="608"/>
      <c r="KEL61" s="608"/>
      <c r="KEM61" s="608"/>
      <c r="KEN61" s="608"/>
      <c r="KEO61" s="608"/>
      <c r="KEP61" s="608"/>
      <c r="KEQ61" s="608"/>
      <c r="KER61" s="608"/>
      <c r="KES61" s="608"/>
      <c r="KET61" s="608"/>
      <c r="KEU61" s="608"/>
      <c r="KEV61" s="608"/>
      <c r="KEW61" s="608"/>
      <c r="KEX61" s="608"/>
      <c r="KEY61" s="608"/>
      <c r="KEZ61" s="608"/>
      <c r="KFA61" s="608"/>
      <c r="KFB61" s="608"/>
      <c r="KFC61" s="608"/>
      <c r="KFD61" s="608"/>
      <c r="KFE61" s="608"/>
      <c r="KFF61" s="608"/>
      <c r="KFG61" s="608"/>
      <c r="KFH61" s="608"/>
      <c r="KFI61" s="608"/>
      <c r="KFJ61" s="608"/>
      <c r="KFK61" s="608"/>
      <c r="KFL61" s="608"/>
      <c r="KFM61" s="608"/>
      <c r="KFN61" s="608"/>
      <c r="KFO61" s="608"/>
      <c r="KFP61" s="608"/>
      <c r="KFQ61" s="608"/>
      <c r="KFR61" s="608"/>
      <c r="KFS61" s="608"/>
      <c r="KFT61" s="608"/>
      <c r="KFU61" s="608"/>
      <c r="KFV61" s="608"/>
      <c r="KFW61" s="608"/>
      <c r="KFX61" s="608"/>
      <c r="KFY61" s="608"/>
      <c r="KFZ61" s="608"/>
      <c r="KGA61" s="608"/>
      <c r="KGB61" s="608"/>
      <c r="KGC61" s="608"/>
      <c r="KGD61" s="608"/>
      <c r="KGE61" s="608"/>
      <c r="KGF61" s="608"/>
      <c r="KGG61" s="608"/>
      <c r="KGH61" s="608"/>
      <c r="KGI61" s="608"/>
      <c r="KGJ61" s="608"/>
      <c r="KGK61" s="608"/>
      <c r="KGL61" s="608"/>
      <c r="KGM61" s="608"/>
      <c r="KGN61" s="608"/>
      <c r="KGO61" s="608"/>
      <c r="KGP61" s="608"/>
      <c r="KGQ61" s="608"/>
      <c r="KGR61" s="608"/>
      <c r="KGS61" s="608"/>
      <c r="KGT61" s="608"/>
      <c r="KGU61" s="608"/>
      <c r="KGV61" s="608"/>
      <c r="KGW61" s="608"/>
      <c r="KGX61" s="608"/>
      <c r="KGY61" s="608"/>
      <c r="KGZ61" s="608"/>
      <c r="KHA61" s="608"/>
      <c r="KHB61" s="608"/>
      <c r="KHC61" s="608"/>
      <c r="KHD61" s="608"/>
      <c r="KHE61" s="608"/>
      <c r="KHF61" s="608"/>
      <c r="KHG61" s="608"/>
      <c r="KHH61" s="608"/>
      <c r="KHI61" s="608"/>
      <c r="KHJ61" s="608"/>
      <c r="KHK61" s="608"/>
      <c r="KHL61" s="608"/>
      <c r="KHM61" s="608"/>
      <c r="KHN61" s="608"/>
      <c r="KHO61" s="608"/>
      <c r="KHP61" s="608"/>
      <c r="KHQ61" s="608"/>
      <c r="KHR61" s="608"/>
      <c r="KHS61" s="608"/>
      <c r="KHT61" s="608"/>
      <c r="KHU61" s="608"/>
      <c r="KHV61" s="608"/>
      <c r="KHW61" s="608"/>
      <c r="KHX61" s="608"/>
      <c r="KHY61" s="608"/>
      <c r="KHZ61" s="608"/>
      <c r="KIA61" s="608"/>
      <c r="KIB61" s="608"/>
      <c r="KIC61" s="608"/>
      <c r="KID61" s="608"/>
      <c r="KIE61" s="608"/>
      <c r="KIF61" s="608"/>
      <c r="KIG61" s="608"/>
      <c r="KIH61" s="608"/>
      <c r="KII61" s="608"/>
      <c r="KIJ61" s="608"/>
      <c r="KIK61" s="608"/>
      <c r="KIL61" s="608"/>
      <c r="KIM61" s="608"/>
      <c r="KIN61" s="608"/>
      <c r="KIO61" s="608"/>
      <c r="KIP61" s="608"/>
      <c r="KIQ61" s="608"/>
      <c r="KIR61" s="608"/>
      <c r="KIS61" s="608"/>
      <c r="KIT61" s="608"/>
      <c r="KIU61" s="608"/>
      <c r="KIV61" s="608"/>
      <c r="KIW61" s="608"/>
      <c r="KIX61" s="608"/>
      <c r="KIY61" s="608"/>
      <c r="KIZ61" s="608"/>
      <c r="KJA61" s="608"/>
      <c r="KJB61" s="608"/>
      <c r="KJC61" s="608"/>
      <c r="KJD61" s="608"/>
      <c r="KJE61" s="608"/>
      <c r="KJF61" s="608"/>
      <c r="KJG61" s="608"/>
      <c r="KJH61" s="608"/>
      <c r="KJI61" s="608"/>
      <c r="KJJ61" s="608"/>
      <c r="KJK61" s="608"/>
      <c r="KJL61" s="608"/>
      <c r="KJM61" s="608"/>
      <c r="KJN61" s="608"/>
      <c r="KJO61" s="608"/>
      <c r="KJP61" s="608"/>
      <c r="KJQ61" s="608"/>
      <c r="KJR61" s="608"/>
      <c r="KJS61" s="608"/>
      <c r="KJT61" s="608"/>
      <c r="KJU61" s="608"/>
      <c r="KJV61" s="608"/>
      <c r="KJW61" s="608"/>
      <c r="KJX61" s="608"/>
      <c r="KJY61" s="608"/>
      <c r="KJZ61" s="608"/>
      <c r="KKA61" s="608"/>
      <c r="KKB61" s="608"/>
      <c r="KKC61" s="608"/>
      <c r="KKD61" s="608"/>
      <c r="KKE61" s="608"/>
      <c r="KKF61" s="608"/>
      <c r="KKG61" s="608"/>
      <c r="KKH61" s="608"/>
      <c r="KKI61" s="608"/>
      <c r="KKJ61" s="608"/>
      <c r="KKK61" s="608"/>
      <c r="KKL61" s="608"/>
      <c r="KKM61" s="608"/>
      <c r="KKN61" s="608"/>
      <c r="KKO61" s="608"/>
      <c r="KKP61" s="608"/>
      <c r="KKQ61" s="608"/>
      <c r="KKR61" s="608"/>
      <c r="KKS61" s="608"/>
      <c r="KKT61" s="608"/>
      <c r="KKU61" s="608"/>
      <c r="KKV61" s="608"/>
      <c r="KKW61" s="608"/>
      <c r="KKX61" s="608"/>
      <c r="KKY61" s="608"/>
      <c r="KKZ61" s="608"/>
      <c r="KLA61" s="608"/>
      <c r="KLB61" s="608"/>
      <c r="KLC61" s="608"/>
      <c r="KLD61" s="608"/>
      <c r="KLE61" s="608"/>
      <c r="KLF61" s="608"/>
      <c r="KLG61" s="608"/>
      <c r="KLH61" s="608"/>
      <c r="KLI61" s="608"/>
      <c r="KLJ61" s="608"/>
      <c r="KLK61" s="608"/>
      <c r="KLL61" s="608"/>
      <c r="KLM61" s="608"/>
      <c r="KLN61" s="608"/>
      <c r="KLO61" s="608"/>
      <c r="KLP61" s="608"/>
      <c r="KLQ61" s="608"/>
      <c r="KLR61" s="608"/>
      <c r="KLS61" s="608"/>
      <c r="KLT61" s="608"/>
      <c r="KLU61" s="608"/>
      <c r="KLV61" s="608"/>
      <c r="KLW61" s="608"/>
      <c r="KLX61" s="608"/>
      <c r="KLY61" s="608"/>
      <c r="KLZ61" s="608"/>
      <c r="KMA61" s="608"/>
      <c r="KMB61" s="608"/>
      <c r="KMC61" s="608"/>
      <c r="KMD61" s="608"/>
      <c r="KME61" s="608"/>
      <c r="KMF61" s="608"/>
      <c r="KMG61" s="608"/>
      <c r="KMH61" s="608"/>
      <c r="KMI61" s="608"/>
      <c r="KMJ61" s="608"/>
      <c r="KMK61" s="608"/>
      <c r="KML61" s="608"/>
      <c r="KMM61" s="608"/>
      <c r="KMN61" s="608"/>
      <c r="KMO61" s="608"/>
      <c r="KMP61" s="608"/>
      <c r="KMQ61" s="608"/>
      <c r="KMR61" s="608"/>
      <c r="KMS61" s="608"/>
      <c r="KMT61" s="608"/>
      <c r="KMU61" s="608"/>
      <c r="KMV61" s="608"/>
      <c r="KMW61" s="608"/>
      <c r="KMX61" s="608"/>
      <c r="KMY61" s="608"/>
      <c r="KMZ61" s="608"/>
      <c r="KNA61" s="608"/>
      <c r="KNB61" s="608"/>
      <c r="KNC61" s="608"/>
      <c r="KND61" s="608"/>
      <c r="KNE61" s="608"/>
      <c r="KNF61" s="608"/>
      <c r="KNG61" s="608"/>
      <c r="KNH61" s="608"/>
      <c r="KNI61" s="608"/>
      <c r="KNJ61" s="608"/>
      <c r="KNK61" s="608"/>
      <c r="KNL61" s="608"/>
      <c r="KNM61" s="608"/>
      <c r="KNN61" s="608"/>
      <c r="KNO61" s="608"/>
      <c r="KNP61" s="608"/>
      <c r="KNQ61" s="608"/>
      <c r="KNR61" s="608"/>
      <c r="KNS61" s="608"/>
      <c r="KNT61" s="608"/>
      <c r="KNU61" s="608"/>
      <c r="KNV61" s="608"/>
      <c r="KNW61" s="608"/>
      <c r="KNX61" s="608"/>
      <c r="KNY61" s="608"/>
      <c r="KNZ61" s="608"/>
      <c r="KOA61" s="608"/>
      <c r="KOB61" s="608"/>
      <c r="KOC61" s="608"/>
      <c r="KOD61" s="608"/>
      <c r="KOE61" s="608"/>
      <c r="KOF61" s="608"/>
      <c r="KOG61" s="608"/>
      <c r="KOH61" s="608"/>
      <c r="KOI61" s="608"/>
      <c r="KOJ61" s="608"/>
      <c r="KOK61" s="608"/>
      <c r="KOL61" s="608"/>
      <c r="KOM61" s="608"/>
      <c r="KON61" s="608"/>
      <c r="KOO61" s="608"/>
      <c r="KOP61" s="608"/>
      <c r="KOQ61" s="608"/>
      <c r="KOR61" s="608"/>
      <c r="KOS61" s="608"/>
      <c r="KOT61" s="608"/>
      <c r="KOU61" s="608"/>
      <c r="KOV61" s="608"/>
      <c r="KOW61" s="608"/>
      <c r="KOX61" s="608"/>
      <c r="KOY61" s="608"/>
      <c r="KOZ61" s="608"/>
      <c r="KPA61" s="608"/>
      <c r="KPB61" s="608"/>
      <c r="KPC61" s="608"/>
      <c r="KPD61" s="608"/>
      <c r="KPE61" s="608"/>
      <c r="KPF61" s="608"/>
      <c r="KPG61" s="608"/>
      <c r="KPH61" s="608"/>
      <c r="KPI61" s="608"/>
      <c r="KPJ61" s="608"/>
      <c r="KPK61" s="608"/>
      <c r="KPL61" s="608"/>
      <c r="KPM61" s="608"/>
      <c r="KPN61" s="608"/>
      <c r="KPO61" s="608"/>
      <c r="KPP61" s="608"/>
      <c r="KPQ61" s="608"/>
      <c r="KPR61" s="608"/>
      <c r="KPS61" s="608"/>
      <c r="KPT61" s="608"/>
      <c r="KPU61" s="608"/>
      <c r="KPV61" s="608"/>
      <c r="KPW61" s="608"/>
      <c r="KPX61" s="608"/>
      <c r="KPY61" s="608"/>
      <c r="KPZ61" s="608"/>
      <c r="KQA61" s="608"/>
      <c r="KQB61" s="608"/>
      <c r="KQC61" s="608"/>
      <c r="KQD61" s="608"/>
      <c r="KQE61" s="608"/>
      <c r="KQF61" s="608"/>
      <c r="KQG61" s="608"/>
      <c r="KQH61" s="608"/>
      <c r="KQI61" s="608"/>
      <c r="KQJ61" s="608"/>
      <c r="KQK61" s="608"/>
      <c r="KQL61" s="608"/>
      <c r="KQM61" s="608"/>
      <c r="KQN61" s="608"/>
      <c r="KQO61" s="608"/>
      <c r="KQP61" s="608"/>
      <c r="KQQ61" s="608"/>
      <c r="KQR61" s="608"/>
      <c r="KQS61" s="608"/>
      <c r="KQT61" s="608"/>
      <c r="KQU61" s="608"/>
      <c r="KQV61" s="608"/>
      <c r="KQW61" s="608"/>
      <c r="KQX61" s="608"/>
      <c r="KQY61" s="608"/>
      <c r="KQZ61" s="608"/>
      <c r="KRA61" s="608"/>
      <c r="KRB61" s="608"/>
      <c r="KRC61" s="608"/>
      <c r="KRD61" s="608"/>
      <c r="KRE61" s="608"/>
      <c r="KRF61" s="608"/>
      <c r="KRG61" s="608"/>
      <c r="KRH61" s="608"/>
      <c r="KRI61" s="608"/>
      <c r="KRJ61" s="608"/>
      <c r="KRK61" s="608"/>
      <c r="KRL61" s="608"/>
      <c r="KRM61" s="608"/>
      <c r="KRN61" s="608"/>
      <c r="KRO61" s="608"/>
      <c r="KRP61" s="608"/>
      <c r="KRQ61" s="608"/>
      <c r="KRR61" s="608"/>
      <c r="KRS61" s="608"/>
      <c r="KRT61" s="608"/>
      <c r="KRU61" s="608"/>
      <c r="KRV61" s="608"/>
      <c r="KRW61" s="608"/>
      <c r="KRX61" s="608"/>
      <c r="KRY61" s="608"/>
      <c r="KRZ61" s="608"/>
      <c r="KSA61" s="608"/>
      <c r="KSB61" s="608"/>
      <c r="KSC61" s="608"/>
      <c r="KSD61" s="608"/>
      <c r="KSE61" s="608"/>
      <c r="KSF61" s="608"/>
      <c r="KSG61" s="608"/>
      <c r="KSH61" s="608"/>
      <c r="KSI61" s="608"/>
      <c r="KSJ61" s="608"/>
      <c r="KSK61" s="608"/>
      <c r="KSL61" s="608"/>
      <c r="KSM61" s="608"/>
      <c r="KSN61" s="608"/>
      <c r="KSO61" s="608"/>
      <c r="KSP61" s="608"/>
      <c r="KSQ61" s="608"/>
      <c r="KSR61" s="608"/>
      <c r="KSS61" s="608"/>
      <c r="KST61" s="608"/>
      <c r="KSU61" s="608"/>
      <c r="KSV61" s="608"/>
      <c r="KSW61" s="608"/>
      <c r="KSX61" s="608"/>
      <c r="KSY61" s="608"/>
      <c r="KSZ61" s="608"/>
      <c r="KTA61" s="608"/>
      <c r="KTB61" s="608"/>
      <c r="KTC61" s="608"/>
      <c r="KTD61" s="608"/>
      <c r="KTE61" s="608"/>
      <c r="KTF61" s="608"/>
      <c r="KTG61" s="608"/>
      <c r="KTH61" s="608"/>
      <c r="KTI61" s="608"/>
      <c r="KTJ61" s="608"/>
      <c r="KTK61" s="608"/>
      <c r="KTL61" s="608"/>
      <c r="KTM61" s="608"/>
      <c r="KTN61" s="608"/>
      <c r="KTO61" s="608"/>
      <c r="KTP61" s="608"/>
      <c r="KTQ61" s="608"/>
      <c r="KTR61" s="608"/>
      <c r="KTS61" s="608"/>
      <c r="KTT61" s="608"/>
      <c r="KTU61" s="608"/>
      <c r="KTV61" s="608"/>
      <c r="KTW61" s="608"/>
      <c r="KTX61" s="608"/>
      <c r="KTY61" s="608"/>
      <c r="KTZ61" s="608"/>
      <c r="KUA61" s="608"/>
      <c r="KUB61" s="608"/>
      <c r="KUC61" s="608"/>
      <c r="KUD61" s="608"/>
      <c r="KUE61" s="608"/>
      <c r="KUF61" s="608"/>
      <c r="KUG61" s="608"/>
      <c r="KUH61" s="608"/>
      <c r="KUI61" s="608"/>
      <c r="KUJ61" s="608"/>
      <c r="KUK61" s="608"/>
      <c r="KUL61" s="608"/>
      <c r="KUM61" s="608"/>
      <c r="KUN61" s="608"/>
      <c r="KUO61" s="608"/>
      <c r="KUP61" s="608"/>
      <c r="KUQ61" s="608"/>
      <c r="KUR61" s="608"/>
      <c r="KUS61" s="608"/>
      <c r="KUT61" s="608"/>
      <c r="KUU61" s="608"/>
      <c r="KUV61" s="608"/>
      <c r="KUW61" s="608"/>
      <c r="KUX61" s="608"/>
      <c r="KUY61" s="608"/>
      <c r="KUZ61" s="608"/>
      <c r="KVA61" s="608"/>
      <c r="KVB61" s="608"/>
      <c r="KVC61" s="608"/>
      <c r="KVD61" s="608"/>
      <c r="KVE61" s="608"/>
      <c r="KVF61" s="608"/>
      <c r="KVG61" s="608"/>
      <c r="KVH61" s="608"/>
      <c r="KVI61" s="608"/>
      <c r="KVJ61" s="608"/>
      <c r="KVK61" s="608"/>
      <c r="KVL61" s="608"/>
      <c r="KVM61" s="608"/>
      <c r="KVN61" s="608"/>
      <c r="KVO61" s="608"/>
      <c r="KVP61" s="608"/>
      <c r="KVQ61" s="608"/>
      <c r="KVR61" s="608"/>
      <c r="KVS61" s="608"/>
      <c r="KVT61" s="608"/>
      <c r="KVU61" s="608"/>
      <c r="KVV61" s="608"/>
      <c r="KVW61" s="608"/>
      <c r="KVX61" s="608"/>
      <c r="KVY61" s="608"/>
      <c r="KVZ61" s="608"/>
      <c r="KWA61" s="608"/>
      <c r="KWB61" s="608"/>
      <c r="KWC61" s="608"/>
      <c r="KWD61" s="608"/>
      <c r="KWE61" s="608"/>
      <c r="KWF61" s="608"/>
      <c r="KWG61" s="608"/>
      <c r="KWH61" s="608"/>
      <c r="KWI61" s="608"/>
      <c r="KWJ61" s="608"/>
      <c r="KWK61" s="608"/>
      <c r="KWL61" s="608"/>
      <c r="KWM61" s="608"/>
      <c r="KWN61" s="608"/>
      <c r="KWO61" s="608"/>
      <c r="KWP61" s="608"/>
      <c r="KWQ61" s="608"/>
      <c r="KWR61" s="608"/>
      <c r="KWS61" s="608"/>
      <c r="KWT61" s="608"/>
      <c r="KWU61" s="608"/>
      <c r="KWV61" s="608"/>
      <c r="KWW61" s="608"/>
      <c r="KWX61" s="608"/>
      <c r="KWY61" s="608"/>
      <c r="KWZ61" s="608"/>
      <c r="KXA61" s="608"/>
      <c r="KXB61" s="608"/>
      <c r="KXC61" s="608"/>
      <c r="KXD61" s="608"/>
      <c r="KXE61" s="608"/>
      <c r="KXF61" s="608"/>
      <c r="KXG61" s="608"/>
      <c r="KXH61" s="608"/>
      <c r="KXI61" s="608"/>
      <c r="KXJ61" s="608"/>
      <c r="KXK61" s="608"/>
      <c r="KXL61" s="608"/>
      <c r="KXM61" s="608"/>
      <c r="KXN61" s="608"/>
      <c r="KXO61" s="608"/>
      <c r="KXP61" s="608"/>
      <c r="KXQ61" s="608"/>
      <c r="KXR61" s="608"/>
      <c r="KXS61" s="608"/>
      <c r="KXT61" s="608"/>
      <c r="KXU61" s="608"/>
      <c r="KXV61" s="608"/>
      <c r="KXW61" s="608"/>
      <c r="KXX61" s="608"/>
      <c r="KXY61" s="608"/>
      <c r="KXZ61" s="608"/>
      <c r="KYA61" s="608"/>
      <c r="KYB61" s="608"/>
      <c r="KYC61" s="608"/>
      <c r="KYD61" s="608"/>
      <c r="KYE61" s="608"/>
      <c r="KYF61" s="608"/>
      <c r="KYG61" s="608"/>
      <c r="KYH61" s="608"/>
      <c r="KYI61" s="608"/>
      <c r="KYJ61" s="608"/>
      <c r="KYK61" s="608"/>
      <c r="KYL61" s="608"/>
      <c r="KYM61" s="608"/>
      <c r="KYN61" s="608"/>
      <c r="KYO61" s="608"/>
      <c r="KYP61" s="608"/>
      <c r="KYQ61" s="608"/>
      <c r="KYR61" s="608"/>
      <c r="KYS61" s="608"/>
      <c r="KYT61" s="608"/>
      <c r="KYU61" s="608"/>
      <c r="KYV61" s="608"/>
      <c r="KYW61" s="608"/>
      <c r="KYX61" s="608"/>
      <c r="KYY61" s="608"/>
      <c r="KYZ61" s="608"/>
      <c r="KZA61" s="608"/>
      <c r="KZB61" s="608"/>
      <c r="KZC61" s="608"/>
      <c r="KZD61" s="608"/>
      <c r="KZE61" s="608"/>
      <c r="KZF61" s="608"/>
      <c r="KZG61" s="608"/>
      <c r="KZH61" s="608"/>
      <c r="KZI61" s="608"/>
      <c r="KZJ61" s="608"/>
      <c r="KZK61" s="608"/>
      <c r="KZL61" s="608"/>
      <c r="KZM61" s="608"/>
      <c r="KZN61" s="608"/>
      <c r="KZO61" s="608"/>
      <c r="KZP61" s="608"/>
      <c r="KZQ61" s="608"/>
      <c r="KZR61" s="608"/>
      <c r="KZS61" s="608"/>
      <c r="KZT61" s="608"/>
      <c r="KZU61" s="608"/>
      <c r="KZV61" s="608"/>
      <c r="KZW61" s="608"/>
      <c r="KZX61" s="608"/>
      <c r="KZY61" s="608"/>
      <c r="KZZ61" s="608"/>
      <c r="LAA61" s="608"/>
      <c r="LAB61" s="608"/>
      <c r="LAC61" s="608"/>
      <c r="LAD61" s="608"/>
      <c r="LAE61" s="608"/>
      <c r="LAF61" s="608"/>
      <c r="LAG61" s="608"/>
      <c r="LAH61" s="608"/>
      <c r="LAI61" s="608"/>
      <c r="LAJ61" s="608"/>
      <c r="LAK61" s="608"/>
      <c r="LAL61" s="608"/>
      <c r="LAM61" s="608"/>
      <c r="LAN61" s="608"/>
      <c r="LAO61" s="608"/>
      <c r="LAP61" s="608"/>
      <c r="LAQ61" s="608"/>
      <c r="LAR61" s="608"/>
      <c r="LAS61" s="608"/>
      <c r="LAT61" s="608"/>
      <c r="LAU61" s="608"/>
      <c r="LAV61" s="608"/>
      <c r="LAW61" s="608"/>
      <c r="LAX61" s="608"/>
      <c r="LAY61" s="608"/>
      <c r="LAZ61" s="608"/>
      <c r="LBA61" s="608"/>
      <c r="LBB61" s="608"/>
      <c r="LBC61" s="608"/>
      <c r="LBD61" s="608"/>
      <c r="LBE61" s="608"/>
      <c r="LBF61" s="608"/>
      <c r="LBG61" s="608"/>
      <c r="LBH61" s="608"/>
      <c r="LBI61" s="608"/>
      <c r="LBJ61" s="608"/>
      <c r="LBK61" s="608"/>
      <c r="LBL61" s="608"/>
      <c r="LBM61" s="608"/>
      <c r="LBN61" s="608"/>
      <c r="LBO61" s="608"/>
      <c r="LBP61" s="608"/>
      <c r="LBQ61" s="608"/>
      <c r="LBR61" s="608"/>
      <c r="LBS61" s="608"/>
      <c r="LBT61" s="608"/>
      <c r="LBU61" s="608"/>
      <c r="LBV61" s="608"/>
      <c r="LBW61" s="608"/>
      <c r="LBX61" s="608"/>
      <c r="LBY61" s="608"/>
      <c r="LBZ61" s="608"/>
      <c r="LCA61" s="608"/>
      <c r="LCB61" s="608"/>
      <c r="LCC61" s="608"/>
      <c r="LCD61" s="608"/>
      <c r="LCE61" s="608"/>
      <c r="LCF61" s="608"/>
      <c r="LCG61" s="608"/>
      <c r="LCH61" s="608"/>
      <c r="LCI61" s="608"/>
      <c r="LCJ61" s="608"/>
      <c r="LCK61" s="608"/>
      <c r="LCL61" s="608"/>
      <c r="LCM61" s="608"/>
      <c r="LCN61" s="608"/>
      <c r="LCO61" s="608"/>
      <c r="LCP61" s="608"/>
      <c r="LCQ61" s="608"/>
      <c r="LCR61" s="608"/>
      <c r="LCS61" s="608"/>
      <c r="LCT61" s="608"/>
      <c r="LCU61" s="608"/>
      <c r="LCV61" s="608"/>
      <c r="LCW61" s="608"/>
      <c r="LCX61" s="608"/>
      <c r="LCY61" s="608"/>
      <c r="LCZ61" s="608"/>
      <c r="LDA61" s="608"/>
      <c r="LDB61" s="608"/>
      <c r="LDC61" s="608"/>
      <c r="LDD61" s="608"/>
      <c r="LDE61" s="608"/>
      <c r="LDF61" s="608"/>
      <c r="LDG61" s="608"/>
      <c r="LDH61" s="608"/>
      <c r="LDI61" s="608"/>
      <c r="LDJ61" s="608"/>
      <c r="LDK61" s="608"/>
      <c r="LDL61" s="608"/>
      <c r="LDM61" s="608"/>
      <c r="LDN61" s="608"/>
      <c r="LDO61" s="608"/>
      <c r="LDP61" s="608"/>
      <c r="LDQ61" s="608"/>
      <c r="LDR61" s="608"/>
      <c r="LDS61" s="608"/>
      <c r="LDT61" s="608"/>
      <c r="LDU61" s="608"/>
      <c r="LDV61" s="608"/>
      <c r="LDW61" s="608"/>
      <c r="LDX61" s="608"/>
      <c r="LDY61" s="608"/>
      <c r="LDZ61" s="608"/>
      <c r="LEA61" s="608"/>
      <c r="LEB61" s="608"/>
      <c r="LEC61" s="608"/>
      <c r="LED61" s="608"/>
      <c r="LEE61" s="608"/>
      <c r="LEF61" s="608"/>
      <c r="LEG61" s="608"/>
      <c r="LEH61" s="608"/>
      <c r="LEI61" s="608"/>
      <c r="LEJ61" s="608"/>
      <c r="LEK61" s="608"/>
      <c r="LEL61" s="608"/>
      <c r="LEM61" s="608"/>
      <c r="LEN61" s="608"/>
      <c r="LEO61" s="608"/>
      <c r="LEP61" s="608"/>
      <c r="LEQ61" s="608"/>
      <c r="LER61" s="608"/>
      <c r="LES61" s="608"/>
      <c r="LET61" s="608"/>
      <c r="LEU61" s="608"/>
      <c r="LEV61" s="608"/>
      <c r="LEW61" s="608"/>
      <c r="LEX61" s="608"/>
      <c r="LEY61" s="608"/>
      <c r="LEZ61" s="608"/>
      <c r="LFA61" s="608"/>
      <c r="LFB61" s="608"/>
      <c r="LFC61" s="608"/>
      <c r="LFD61" s="608"/>
      <c r="LFE61" s="608"/>
      <c r="LFF61" s="608"/>
      <c r="LFG61" s="608"/>
      <c r="LFH61" s="608"/>
      <c r="LFI61" s="608"/>
      <c r="LFJ61" s="608"/>
      <c r="LFK61" s="608"/>
      <c r="LFL61" s="608"/>
      <c r="LFM61" s="608"/>
      <c r="LFN61" s="608"/>
      <c r="LFO61" s="608"/>
      <c r="LFP61" s="608"/>
      <c r="LFQ61" s="608"/>
      <c r="LFR61" s="608"/>
      <c r="LFS61" s="608"/>
      <c r="LFT61" s="608"/>
      <c r="LFU61" s="608"/>
      <c r="LFV61" s="608"/>
      <c r="LFW61" s="608"/>
      <c r="LFX61" s="608"/>
      <c r="LFY61" s="608"/>
      <c r="LFZ61" s="608"/>
      <c r="LGA61" s="608"/>
      <c r="LGB61" s="608"/>
      <c r="LGC61" s="608"/>
      <c r="LGD61" s="608"/>
      <c r="LGE61" s="608"/>
      <c r="LGF61" s="608"/>
      <c r="LGG61" s="608"/>
      <c r="LGH61" s="608"/>
      <c r="LGI61" s="608"/>
      <c r="LGJ61" s="608"/>
      <c r="LGK61" s="608"/>
      <c r="LGL61" s="608"/>
      <c r="LGM61" s="608"/>
      <c r="LGN61" s="608"/>
      <c r="LGO61" s="608"/>
      <c r="LGP61" s="608"/>
      <c r="LGQ61" s="608"/>
      <c r="LGR61" s="608"/>
      <c r="LGS61" s="608"/>
      <c r="LGT61" s="608"/>
      <c r="LGU61" s="608"/>
      <c r="LGV61" s="608"/>
      <c r="LGW61" s="608"/>
      <c r="LGX61" s="608"/>
      <c r="LGY61" s="608"/>
      <c r="LGZ61" s="608"/>
      <c r="LHA61" s="608"/>
      <c r="LHB61" s="608"/>
      <c r="LHC61" s="608"/>
      <c r="LHD61" s="608"/>
      <c r="LHE61" s="608"/>
      <c r="LHF61" s="608"/>
      <c r="LHG61" s="608"/>
      <c r="LHH61" s="608"/>
      <c r="LHI61" s="608"/>
      <c r="LHJ61" s="608"/>
      <c r="LHK61" s="608"/>
      <c r="LHL61" s="608"/>
      <c r="LHM61" s="608"/>
      <c r="LHN61" s="608"/>
      <c r="LHO61" s="608"/>
      <c r="LHP61" s="608"/>
      <c r="LHQ61" s="608"/>
      <c r="LHR61" s="608"/>
      <c r="LHS61" s="608"/>
      <c r="LHT61" s="608"/>
      <c r="LHU61" s="608"/>
      <c r="LHV61" s="608"/>
      <c r="LHW61" s="608"/>
      <c r="LHX61" s="608"/>
      <c r="LHY61" s="608"/>
      <c r="LHZ61" s="608"/>
      <c r="LIA61" s="608"/>
      <c r="LIB61" s="608"/>
      <c r="LIC61" s="608"/>
      <c r="LID61" s="608"/>
      <c r="LIE61" s="608"/>
      <c r="LIF61" s="608"/>
      <c r="LIG61" s="608"/>
      <c r="LIH61" s="608"/>
      <c r="LII61" s="608"/>
      <c r="LIJ61" s="608"/>
      <c r="LIK61" s="608"/>
      <c r="LIL61" s="608"/>
      <c r="LIM61" s="608"/>
      <c r="LIN61" s="608"/>
      <c r="LIO61" s="608"/>
      <c r="LIP61" s="608"/>
      <c r="LIQ61" s="608"/>
      <c r="LIR61" s="608"/>
      <c r="LIS61" s="608"/>
      <c r="LIT61" s="608"/>
      <c r="LIU61" s="608"/>
      <c r="LIV61" s="608"/>
      <c r="LIW61" s="608"/>
      <c r="LIX61" s="608"/>
      <c r="LIY61" s="608"/>
      <c r="LIZ61" s="608"/>
      <c r="LJA61" s="608"/>
      <c r="LJB61" s="608"/>
      <c r="LJC61" s="608"/>
      <c r="LJD61" s="608"/>
      <c r="LJE61" s="608"/>
      <c r="LJF61" s="608"/>
      <c r="LJG61" s="608"/>
      <c r="LJH61" s="608"/>
      <c r="LJI61" s="608"/>
      <c r="LJJ61" s="608"/>
      <c r="LJK61" s="608"/>
      <c r="LJL61" s="608"/>
      <c r="LJM61" s="608"/>
      <c r="LJN61" s="608"/>
      <c r="LJO61" s="608"/>
      <c r="LJP61" s="608"/>
      <c r="LJQ61" s="608"/>
      <c r="LJR61" s="608"/>
      <c r="LJS61" s="608"/>
      <c r="LJT61" s="608"/>
      <c r="LJU61" s="608"/>
      <c r="LJV61" s="608"/>
      <c r="LJW61" s="608"/>
      <c r="LJX61" s="608"/>
      <c r="LJY61" s="608"/>
      <c r="LJZ61" s="608"/>
      <c r="LKA61" s="608"/>
      <c r="LKB61" s="608"/>
      <c r="LKC61" s="608"/>
      <c r="LKD61" s="608"/>
      <c r="LKE61" s="608"/>
      <c r="LKF61" s="608"/>
      <c r="LKG61" s="608"/>
      <c r="LKH61" s="608"/>
      <c r="LKI61" s="608"/>
      <c r="LKJ61" s="608"/>
      <c r="LKK61" s="608"/>
      <c r="LKL61" s="608"/>
      <c r="LKM61" s="608"/>
      <c r="LKN61" s="608"/>
      <c r="LKO61" s="608"/>
      <c r="LKP61" s="608"/>
      <c r="LKQ61" s="608"/>
      <c r="LKR61" s="608"/>
      <c r="LKS61" s="608"/>
      <c r="LKT61" s="608"/>
      <c r="LKU61" s="608"/>
      <c r="LKV61" s="608"/>
      <c r="LKW61" s="608"/>
      <c r="LKX61" s="608"/>
      <c r="LKY61" s="608"/>
      <c r="LKZ61" s="608"/>
      <c r="LLA61" s="608"/>
      <c r="LLB61" s="608"/>
      <c r="LLC61" s="608"/>
      <c r="LLD61" s="608"/>
      <c r="LLE61" s="608"/>
      <c r="LLF61" s="608"/>
      <c r="LLG61" s="608"/>
      <c r="LLH61" s="608"/>
      <c r="LLI61" s="608"/>
      <c r="LLJ61" s="608"/>
      <c r="LLK61" s="608"/>
      <c r="LLL61" s="608"/>
      <c r="LLM61" s="608"/>
      <c r="LLN61" s="608"/>
      <c r="LLO61" s="608"/>
      <c r="LLP61" s="608"/>
      <c r="LLQ61" s="608"/>
      <c r="LLR61" s="608"/>
      <c r="LLS61" s="608"/>
      <c r="LLT61" s="608"/>
      <c r="LLU61" s="608"/>
      <c r="LLV61" s="608"/>
      <c r="LLW61" s="608"/>
      <c r="LLX61" s="608"/>
      <c r="LLY61" s="608"/>
      <c r="LLZ61" s="608"/>
      <c r="LMA61" s="608"/>
      <c r="LMB61" s="608"/>
      <c r="LMC61" s="608"/>
      <c r="LMD61" s="608"/>
      <c r="LME61" s="608"/>
      <c r="LMF61" s="608"/>
      <c r="LMG61" s="608"/>
      <c r="LMH61" s="608"/>
      <c r="LMI61" s="608"/>
      <c r="LMJ61" s="608"/>
      <c r="LMK61" s="608"/>
      <c r="LML61" s="608"/>
      <c r="LMM61" s="608"/>
      <c r="LMN61" s="608"/>
      <c r="LMO61" s="608"/>
      <c r="LMP61" s="608"/>
      <c r="LMQ61" s="608"/>
      <c r="LMR61" s="608"/>
      <c r="LMS61" s="608"/>
      <c r="LMT61" s="608"/>
      <c r="LMU61" s="608"/>
      <c r="LMV61" s="608"/>
      <c r="LMW61" s="608"/>
      <c r="LMX61" s="608"/>
      <c r="LMY61" s="608"/>
      <c r="LMZ61" s="608"/>
      <c r="LNA61" s="608"/>
      <c r="LNB61" s="608"/>
      <c r="LNC61" s="608"/>
      <c r="LND61" s="608"/>
      <c r="LNE61" s="608"/>
      <c r="LNF61" s="608"/>
      <c r="LNG61" s="608"/>
      <c r="LNH61" s="608"/>
      <c r="LNI61" s="608"/>
      <c r="LNJ61" s="608"/>
      <c r="LNK61" s="608"/>
      <c r="LNL61" s="608"/>
      <c r="LNM61" s="608"/>
      <c r="LNN61" s="608"/>
      <c r="LNO61" s="608"/>
      <c r="LNP61" s="608"/>
      <c r="LNQ61" s="608"/>
      <c r="LNR61" s="608"/>
      <c r="LNS61" s="608"/>
      <c r="LNT61" s="608"/>
      <c r="LNU61" s="608"/>
      <c r="LNV61" s="608"/>
      <c r="LNW61" s="608"/>
      <c r="LNX61" s="608"/>
      <c r="LNY61" s="608"/>
      <c r="LNZ61" s="608"/>
      <c r="LOA61" s="608"/>
      <c r="LOB61" s="608"/>
      <c r="LOC61" s="608"/>
      <c r="LOD61" s="608"/>
      <c r="LOE61" s="608"/>
      <c r="LOF61" s="608"/>
      <c r="LOG61" s="608"/>
      <c r="LOH61" s="608"/>
      <c r="LOI61" s="608"/>
      <c r="LOJ61" s="608"/>
      <c r="LOK61" s="608"/>
      <c r="LOL61" s="608"/>
      <c r="LOM61" s="608"/>
      <c r="LON61" s="608"/>
      <c r="LOO61" s="608"/>
      <c r="LOP61" s="608"/>
      <c r="LOQ61" s="608"/>
      <c r="LOR61" s="608"/>
      <c r="LOS61" s="608"/>
      <c r="LOT61" s="608"/>
      <c r="LOU61" s="608"/>
      <c r="LOV61" s="608"/>
      <c r="LOW61" s="608"/>
      <c r="LOX61" s="608"/>
      <c r="LOY61" s="608"/>
      <c r="LOZ61" s="608"/>
      <c r="LPA61" s="608"/>
      <c r="LPB61" s="608"/>
      <c r="LPC61" s="608"/>
      <c r="LPD61" s="608"/>
      <c r="LPE61" s="608"/>
      <c r="LPF61" s="608"/>
      <c r="LPG61" s="608"/>
      <c r="LPH61" s="608"/>
      <c r="LPI61" s="608"/>
      <c r="LPJ61" s="608"/>
      <c r="LPK61" s="608"/>
      <c r="LPL61" s="608"/>
      <c r="LPM61" s="608"/>
      <c r="LPN61" s="608"/>
      <c r="LPO61" s="608"/>
      <c r="LPP61" s="608"/>
      <c r="LPQ61" s="608"/>
      <c r="LPR61" s="608"/>
      <c r="LPS61" s="608"/>
      <c r="LPT61" s="608"/>
      <c r="LPU61" s="608"/>
      <c r="LPV61" s="608"/>
      <c r="LPW61" s="608"/>
      <c r="LPX61" s="608"/>
      <c r="LPY61" s="608"/>
      <c r="LPZ61" s="608"/>
      <c r="LQA61" s="608"/>
      <c r="LQB61" s="608"/>
      <c r="LQC61" s="608"/>
      <c r="LQD61" s="608"/>
      <c r="LQE61" s="608"/>
      <c r="LQF61" s="608"/>
      <c r="LQG61" s="608"/>
      <c r="LQH61" s="608"/>
      <c r="LQI61" s="608"/>
      <c r="LQJ61" s="608"/>
      <c r="LQK61" s="608"/>
      <c r="LQL61" s="608"/>
      <c r="LQM61" s="608"/>
      <c r="LQN61" s="608"/>
      <c r="LQO61" s="608"/>
      <c r="LQP61" s="608"/>
      <c r="LQQ61" s="608"/>
      <c r="LQR61" s="608"/>
      <c r="LQS61" s="608"/>
      <c r="LQT61" s="608"/>
      <c r="LQU61" s="608"/>
      <c r="LQV61" s="608"/>
      <c r="LQW61" s="608"/>
      <c r="LQX61" s="608"/>
      <c r="LQY61" s="608"/>
      <c r="LQZ61" s="608"/>
      <c r="LRA61" s="608"/>
      <c r="LRB61" s="608"/>
      <c r="LRC61" s="608"/>
      <c r="LRD61" s="608"/>
      <c r="LRE61" s="608"/>
      <c r="LRF61" s="608"/>
      <c r="LRG61" s="608"/>
      <c r="LRH61" s="608"/>
      <c r="LRI61" s="608"/>
      <c r="LRJ61" s="608"/>
      <c r="LRK61" s="608"/>
      <c r="LRL61" s="608"/>
      <c r="LRM61" s="608"/>
      <c r="LRN61" s="608"/>
      <c r="LRO61" s="608"/>
      <c r="LRP61" s="608"/>
      <c r="LRQ61" s="608"/>
      <c r="LRR61" s="608"/>
      <c r="LRS61" s="608"/>
      <c r="LRT61" s="608"/>
      <c r="LRU61" s="608"/>
      <c r="LRV61" s="608"/>
      <c r="LRW61" s="608"/>
      <c r="LRX61" s="608"/>
      <c r="LRY61" s="608"/>
      <c r="LRZ61" s="608"/>
      <c r="LSA61" s="608"/>
      <c r="LSB61" s="608"/>
      <c r="LSC61" s="608"/>
      <c r="LSD61" s="608"/>
      <c r="LSE61" s="608"/>
      <c r="LSF61" s="608"/>
      <c r="LSG61" s="608"/>
      <c r="LSH61" s="608"/>
      <c r="LSI61" s="608"/>
      <c r="LSJ61" s="608"/>
      <c r="LSK61" s="608"/>
      <c r="LSL61" s="608"/>
      <c r="LSM61" s="608"/>
      <c r="LSN61" s="608"/>
      <c r="LSO61" s="608"/>
      <c r="LSP61" s="608"/>
      <c r="LSQ61" s="608"/>
      <c r="LSR61" s="608"/>
      <c r="LSS61" s="608"/>
      <c r="LST61" s="608"/>
      <c r="LSU61" s="608"/>
      <c r="LSV61" s="608"/>
      <c r="LSW61" s="608"/>
      <c r="LSX61" s="608"/>
      <c r="LSY61" s="608"/>
      <c r="LSZ61" s="608"/>
      <c r="LTA61" s="608"/>
      <c r="LTB61" s="608"/>
      <c r="LTC61" s="608"/>
      <c r="LTD61" s="608"/>
      <c r="LTE61" s="608"/>
      <c r="LTF61" s="608"/>
      <c r="LTG61" s="608"/>
      <c r="LTH61" s="608"/>
      <c r="LTI61" s="608"/>
      <c r="LTJ61" s="608"/>
      <c r="LTK61" s="608"/>
      <c r="LTL61" s="608"/>
      <c r="LTM61" s="608"/>
      <c r="LTN61" s="608"/>
      <c r="LTO61" s="608"/>
      <c r="LTP61" s="608"/>
      <c r="LTQ61" s="608"/>
      <c r="LTR61" s="608"/>
      <c r="LTS61" s="608"/>
      <c r="LTT61" s="608"/>
      <c r="LTU61" s="608"/>
      <c r="LTV61" s="608"/>
      <c r="LTW61" s="608"/>
      <c r="LTX61" s="608"/>
      <c r="LTY61" s="608"/>
      <c r="LTZ61" s="608"/>
      <c r="LUA61" s="608"/>
      <c r="LUB61" s="608"/>
      <c r="LUC61" s="608"/>
      <c r="LUD61" s="608"/>
      <c r="LUE61" s="608"/>
      <c r="LUF61" s="608"/>
      <c r="LUG61" s="608"/>
      <c r="LUH61" s="608"/>
      <c r="LUI61" s="608"/>
      <c r="LUJ61" s="608"/>
      <c r="LUK61" s="608"/>
      <c r="LUL61" s="608"/>
      <c r="LUM61" s="608"/>
      <c r="LUN61" s="608"/>
      <c r="LUO61" s="608"/>
      <c r="LUP61" s="608"/>
      <c r="LUQ61" s="608"/>
      <c r="LUR61" s="608"/>
      <c r="LUS61" s="608"/>
      <c r="LUT61" s="608"/>
      <c r="LUU61" s="608"/>
      <c r="LUV61" s="608"/>
      <c r="LUW61" s="608"/>
      <c r="LUX61" s="608"/>
      <c r="LUY61" s="608"/>
      <c r="LUZ61" s="608"/>
      <c r="LVA61" s="608"/>
      <c r="LVB61" s="608"/>
      <c r="LVC61" s="608"/>
      <c r="LVD61" s="608"/>
      <c r="LVE61" s="608"/>
      <c r="LVF61" s="608"/>
      <c r="LVG61" s="608"/>
      <c r="LVH61" s="608"/>
      <c r="LVI61" s="608"/>
      <c r="LVJ61" s="608"/>
      <c r="LVK61" s="608"/>
      <c r="LVL61" s="608"/>
      <c r="LVM61" s="608"/>
      <c r="LVN61" s="608"/>
      <c r="LVO61" s="608"/>
      <c r="LVP61" s="608"/>
      <c r="LVQ61" s="608"/>
      <c r="LVR61" s="608"/>
      <c r="LVS61" s="608"/>
      <c r="LVT61" s="608"/>
      <c r="LVU61" s="608"/>
      <c r="LVV61" s="608"/>
      <c r="LVW61" s="608"/>
      <c r="LVX61" s="608"/>
      <c r="LVY61" s="608"/>
      <c r="LVZ61" s="608"/>
      <c r="LWA61" s="608"/>
      <c r="LWB61" s="608"/>
      <c r="LWC61" s="608"/>
      <c r="LWD61" s="608"/>
      <c r="LWE61" s="608"/>
      <c r="LWF61" s="608"/>
      <c r="LWG61" s="608"/>
      <c r="LWH61" s="608"/>
      <c r="LWI61" s="608"/>
      <c r="LWJ61" s="608"/>
      <c r="LWK61" s="608"/>
      <c r="LWL61" s="608"/>
      <c r="LWM61" s="608"/>
      <c r="LWN61" s="608"/>
      <c r="LWO61" s="608"/>
      <c r="LWP61" s="608"/>
      <c r="LWQ61" s="608"/>
      <c r="LWR61" s="608"/>
      <c r="LWS61" s="608"/>
      <c r="LWT61" s="608"/>
      <c r="LWU61" s="608"/>
      <c r="LWV61" s="608"/>
      <c r="LWW61" s="608"/>
      <c r="LWX61" s="608"/>
      <c r="LWY61" s="608"/>
      <c r="LWZ61" s="608"/>
      <c r="LXA61" s="608"/>
      <c r="LXB61" s="608"/>
      <c r="LXC61" s="608"/>
      <c r="LXD61" s="608"/>
      <c r="LXE61" s="608"/>
      <c r="LXF61" s="608"/>
      <c r="LXG61" s="608"/>
      <c r="LXH61" s="608"/>
      <c r="LXI61" s="608"/>
      <c r="LXJ61" s="608"/>
      <c r="LXK61" s="608"/>
      <c r="LXL61" s="608"/>
      <c r="LXM61" s="608"/>
      <c r="LXN61" s="608"/>
      <c r="LXO61" s="608"/>
      <c r="LXP61" s="608"/>
      <c r="LXQ61" s="608"/>
      <c r="LXR61" s="608"/>
      <c r="LXS61" s="608"/>
      <c r="LXT61" s="608"/>
      <c r="LXU61" s="608"/>
      <c r="LXV61" s="608"/>
      <c r="LXW61" s="608"/>
      <c r="LXX61" s="608"/>
      <c r="LXY61" s="608"/>
      <c r="LXZ61" s="608"/>
      <c r="LYA61" s="608"/>
      <c r="LYB61" s="608"/>
      <c r="LYC61" s="608"/>
      <c r="LYD61" s="608"/>
      <c r="LYE61" s="608"/>
      <c r="LYF61" s="608"/>
      <c r="LYG61" s="608"/>
      <c r="LYH61" s="608"/>
      <c r="LYI61" s="608"/>
      <c r="LYJ61" s="608"/>
      <c r="LYK61" s="608"/>
      <c r="LYL61" s="608"/>
      <c r="LYM61" s="608"/>
      <c r="LYN61" s="608"/>
      <c r="LYO61" s="608"/>
      <c r="LYP61" s="608"/>
      <c r="LYQ61" s="608"/>
      <c r="LYR61" s="608"/>
      <c r="LYS61" s="608"/>
      <c r="LYT61" s="608"/>
      <c r="LYU61" s="608"/>
      <c r="LYV61" s="608"/>
      <c r="LYW61" s="608"/>
      <c r="LYX61" s="608"/>
      <c r="LYY61" s="608"/>
      <c r="LYZ61" s="608"/>
      <c r="LZA61" s="608"/>
      <c r="LZB61" s="608"/>
      <c r="LZC61" s="608"/>
      <c r="LZD61" s="608"/>
      <c r="LZE61" s="608"/>
      <c r="LZF61" s="608"/>
      <c r="LZG61" s="608"/>
      <c r="LZH61" s="608"/>
      <c r="LZI61" s="608"/>
      <c r="LZJ61" s="608"/>
      <c r="LZK61" s="608"/>
      <c r="LZL61" s="608"/>
      <c r="LZM61" s="608"/>
      <c r="LZN61" s="608"/>
      <c r="LZO61" s="608"/>
      <c r="LZP61" s="608"/>
      <c r="LZQ61" s="608"/>
      <c r="LZR61" s="608"/>
      <c r="LZS61" s="608"/>
      <c r="LZT61" s="608"/>
      <c r="LZU61" s="608"/>
      <c r="LZV61" s="608"/>
      <c r="LZW61" s="608"/>
      <c r="LZX61" s="608"/>
      <c r="LZY61" s="608"/>
      <c r="LZZ61" s="608"/>
      <c r="MAA61" s="608"/>
      <c r="MAB61" s="608"/>
      <c r="MAC61" s="608"/>
      <c r="MAD61" s="608"/>
      <c r="MAE61" s="608"/>
      <c r="MAF61" s="608"/>
      <c r="MAG61" s="608"/>
      <c r="MAH61" s="608"/>
      <c r="MAI61" s="608"/>
      <c r="MAJ61" s="608"/>
      <c r="MAK61" s="608"/>
      <c r="MAL61" s="608"/>
      <c r="MAM61" s="608"/>
      <c r="MAN61" s="608"/>
      <c r="MAO61" s="608"/>
      <c r="MAP61" s="608"/>
      <c r="MAQ61" s="608"/>
      <c r="MAR61" s="608"/>
      <c r="MAS61" s="608"/>
      <c r="MAT61" s="608"/>
      <c r="MAU61" s="608"/>
      <c r="MAV61" s="608"/>
      <c r="MAW61" s="608"/>
      <c r="MAX61" s="608"/>
      <c r="MAY61" s="608"/>
      <c r="MAZ61" s="608"/>
      <c r="MBA61" s="608"/>
      <c r="MBB61" s="608"/>
      <c r="MBC61" s="608"/>
      <c r="MBD61" s="608"/>
      <c r="MBE61" s="608"/>
      <c r="MBF61" s="608"/>
      <c r="MBG61" s="608"/>
      <c r="MBH61" s="608"/>
      <c r="MBI61" s="608"/>
      <c r="MBJ61" s="608"/>
      <c r="MBK61" s="608"/>
      <c r="MBL61" s="608"/>
      <c r="MBM61" s="608"/>
      <c r="MBN61" s="608"/>
      <c r="MBO61" s="608"/>
      <c r="MBP61" s="608"/>
      <c r="MBQ61" s="608"/>
      <c r="MBR61" s="608"/>
      <c r="MBS61" s="608"/>
      <c r="MBT61" s="608"/>
      <c r="MBU61" s="608"/>
      <c r="MBV61" s="608"/>
      <c r="MBW61" s="608"/>
      <c r="MBX61" s="608"/>
      <c r="MBY61" s="608"/>
      <c r="MBZ61" s="608"/>
      <c r="MCA61" s="608"/>
      <c r="MCB61" s="608"/>
      <c r="MCC61" s="608"/>
      <c r="MCD61" s="608"/>
      <c r="MCE61" s="608"/>
      <c r="MCF61" s="608"/>
      <c r="MCG61" s="608"/>
      <c r="MCH61" s="608"/>
      <c r="MCI61" s="608"/>
      <c r="MCJ61" s="608"/>
      <c r="MCK61" s="608"/>
      <c r="MCL61" s="608"/>
      <c r="MCM61" s="608"/>
      <c r="MCN61" s="608"/>
      <c r="MCO61" s="608"/>
      <c r="MCP61" s="608"/>
      <c r="MCQ61" s="608"/>
      <c r="MCR61" s="608"/>
      <c r="MCS61" s="608"/>
      <c r="MCT61" s="608"/>
      <c r="MCU61" s="608"/>
      <c r="MCV61" s="608"/>
      <c r="MCW61" s="608"/>
      <c r="MCX61" s="608"/>
      <c r="MCY61" s="608"/>
      <c r="MCZ61" s="608"/>
      <c r="MDA61" s="608"/>
      <c r="MDB61" s="608"/>
      <c r="MDC61" s="608"/>
      <c r="MDD61" s="608"/>
      <c r="MDE61" s="608"/>
      <c r="MDF61" s="608"/>
      <c r="MDG61" s="608"/>
      <c r="MDH61" s="608"/>
      <c r="MDI61" s="608"/>
      <c r="MDJ61" s="608"/>
      <c r="MDK61" s="608"/>
      <c r="MDL61" s="608"/>
      <c r="MDM61" s="608"/>
      <c r="MDN61" s="608"/>
      <c r="MDO61" s="608"/>
      <c r="MDP61" s="608"/>
      <c r="MDQ61" s="608"/>
      <c r="MDR61" s="608"/>
      <c r="MDS61" s="608"/>
      <c r="MDT61" s="608"/>
      <c r="MDU61" s="608"/>
      <c r="MDV61" s="608"/>
      <c r="MDW61" s="608"/>
      <c r="MDX61" s="608"/>
      <c r="MDY61" s="608"/>
      <c r="MDZ61" s="608"/>
      <c r="MEA61" s="608"/>
      <c r="MEB61" s="608"/>
      <c r="MEC61" s="608"/>
      <c r="MED61" s="608"/>
      <c r="MEE61" s="608"/>
      <c r="MEF61" s="608"/>
      <c r="MEG61" s="608"/>
      <c r="MEH61" s="608"/>
      <c r="MEI61" s="608"/>
      <c r="MEJ61" s="608"/>
      <c r="MEK61" s="608"/>
      <c r="MEL61" s="608"/>
      <c r="MEM61" s="608"/>
      <c r="MEN61" s="608"/>
      <c r="MEO61" s="608"/>
      <c r="MEP61" s="608"/>
      <c r="MEQ61" s="608"/>
      <c r="MER61" s="608"/>
      <c r="MES61" s="608"/>
      <c r="MET61" s="608"/>
      <c r="MEU61" s="608"/>
      <c r="MEV61" s="608"/>
      <c r="MEW61" s="608"/>
      <c r="MEX61" s="608"/>
      <c r="MEY61" s="608"/>
      <c r="MEZ61" s="608"/>
      <c r="MFA61" s="608"/>
      <c r="MFB61" s="608"/>
      <c r="MFC61" s="608"/>
      <c r="MFD61" s="608"/>
      <c r="MFE61" s="608"/>
      <c r="MFF61" s="608"/>
      <c r="MFG61" s="608"/>
      <c r="MFH61" s="608"/>
      <c r="MFI61" s="608"/>
      <c r="MFJ61" s="608"/>
      <c r="MFK61" s="608"/>
      <c r="MFL61" s="608"/>
      <c r="MFM61" s="608"/>
      <c r="MFN61" s="608"/>
      <c r="MFO61" s="608"/>
      <c r="MFP61" s="608"/>
      <c r="MFQ61" s="608"/>
      <c r="MFR61" s="608"/>
      <c r="MFS61" s="608"/>
      <c r="MFT61" s="608"/>
      <c r="MFU61" s="608"/>
      <c r="MFV61" s="608"/>
      <c r="MFW61" s="608"/>
      <c r="MFX61" s="608"/>
      <c r="MFY61" s="608"/>
      <c r="MFZ61" s="608"/>
      <c r="MGA61" s="608"/>
      <c r="MGB61" s="608"/>
      <c r="MGC61" s="608"/>
      <c r="MGD61" s="608"/>
      <c r="MGE61" s="608"/>
      <c r="MGF61" s="608"/>
      <c r="MGG61" s="608"/>
      <c r="MGH61" s="608"/>
      <c r="MGI61" s="608"/>
      <c r="MGJ61" s="608"/>
      <c r="MGK61" s="608"/>
      <c r="MGL61" s="608"/>
      <c r="MGM61" s="608"/>
      <c r="MGN61" s="608"/>
      <c r="MGO61" s="608"/>
      <c r="MGP61" s="608"/>
      <c r="MGQ61" s="608"/>
      <c r="MGR61" s="608"/>
      <c r="MGS61" s="608"/>
      <c r="MGT61" s="608"/>
      <c r="MGU61" s="608"/>
      <c r="MGV61" s="608"/>
      <c r="MGW61" s="608"/>
      <c r="MGX61" s="608"/>
      <c r="MGY61" s="608"/>
      <c r="MGZ61" s="608"/>
      <c r="MHA61" s="608"/>
      <c r="MHB61" s="608"/>
      <c r="MHC61" s="608"/>
      <c r="MHD61" s="608"/>
      <c r="MHE61" s="608"/>
      <c r="MHF61" s="608"/>
      <c r="MHG61" s="608"/>
      <c r="MHH61" s="608"/>
      <c r="MHI61" s="608"/>
      <c r="MHJ61" s="608"/>
      <c r="MHK61" s="608"/>
      <c r="MHL61" s="608"/>
      <c r="MHM61" s="608"/>
      <c r="MHN61" s="608"/>
      <c r="MHO61" s="608"/>
      <c r="MHP61" s="608"/>
      <c r="MHQ61" s="608"/>
      <c r="MHR61" s="608"/>
      <c r="MHS61" s="608"/>
      <c r="MHT61" s="608"/>
      <c r="MHU61" s="608"/>
      <c r="MHV61" s="608"/>
      <c r="MHW61" s="608"/>
      <c r="MHX61" s="608"/>
      <c r="MHY61" s="608"/>
      <c r="MHZ61" s="608"/>
      <c r="MIA61" s="608"/>
      <c r="MIB61" s="608"/>
      <c r="MIC61" s="608"/>
      <c r="MID61" s="608"/>
      <c r="MIE61" s="608"/>
      <c r="MIF61" s="608"/>
      <c r="MIG61" s="608"/>
      <c r="MIH61" s="608"/>
      <c r="MII61" s="608"/>
      <c r="MIJ61" s="608"/>
      <c r="MIK61" s="608"/>
      <c r="MIL61" s="608"/>
      <c r="MIM61" s="608"/>
      <c r="MIN61" s="608"/>
      <c r="MIO61" s="608"/>
      <c r="MIP61" s="608"/>
      <c r="MIQ61" s="608"/>
      <c r="MIR61" s="608"/>
      <c r="MIS61" s="608"/>
      <c r="MIT61" s="608"/>
      <c r="MIU61" s="608"/>
      <c r="MIV61" s="608"/>
      <c r="MIW61" s="608"/>
      <c r="MIX61" s="608"/>
      <c r="MIY61" s="608"/>
      <c r="MIZ61" s="608"/>
      <c r="MJA61" s="608"/>
      <c r="MJB61" s="608"/>
      <c r="MJC61" s="608"/>
      <c r="MJD61" s="608"/>
      <c r="MJE61" s="608"/>
      <c r="MJF61" s="608"/>
      <c r="MJG61" s="608"/>
      <c r="MJH61" s="608"/>
      <c r="MJI61" s="608"/>
      <c r="MJJ61" s="608"/>
      <c r="MJK61" s="608"/>
      <c r="MJL61" s="608"/>
      <c r="MJM61" s="608"/>
      <c r="MJN61" s="608"/>
      <c r="MJO61" s="608"/>
      <c r="MJP61" s="608"/>
      <c r="MJQ61" s="608"/>
      <c r="MJR61" s="608"/>
      <c r="MJS61" s="608"/>
      <c r="MJT61" s="608"/>
      <c r="MJU61" s="608"/>
      <c r="MJV61" s="608"/>
      <c r="MJW61" s="608"/>
      <c r="MJX61" s="608"/>
      <c r="MJY61" s="608"/>
      <c r="MJZ61" s="608"/>
      <c r="MKA61" s="608"/>
      <c r="MKB61" s="608"/>
      <c r="MKC61" s="608"/>
      <c r="MKD61" s="608"/>
      <c r="MKE61" s="608"/>
      <c r="MKF61" s="608"/>
      <c r="MKG61" s="608"/>
      <c r="MKH61" s="608"/>
      <c r="MKI61" s="608"/>
      <c r="MKJ61" s="608"/>
      <c r="MKK61" s="608"/>
      <c r="MKL61" s="608"/>
      <c r="MKM61" s="608"/>
      <c r="MKN61" s="608"/>
      <c r="MKO61" s="608"/>
      <c r="MKP61" s="608"/>
      <c r="MKQ61" s="608"/>
      <c r="MKR61" s="608"/>
      <c r="MKS61" s="608"/>
      <c r="MKT61" s="608"/>
      <c r="MKU61" s="608"/>
      <c r="MKV61" s="608"/>
      <c r="MKW61" s="608"/>
      <c r="MKX61" s="608"/>
      <c r="MKY61" s="608"/>
      <c r="MKZ61" s="608"/>
      <c r="MLA61" s="608"/>
      <c r="MLB61" s="608"/>
      <c r="MLC61" s="608"/>
      <c r="MLD61" s="608"/>
      <c r="MLE61" s="608"/>
      <c r="MLF61" s="608"/>
      <c r="MLG61" s="608"/>
      <c r="MLH61" s="608"/>
      <c r="MLI61" s="608"/>
      <c r="MLJ61" s="608"/>
      <c r="MLK61" s="608"/>
      <c r="MLL61" s="608"/>
      <c r="MLM61" s="608"/>
      <c r="MLN61" s="608"/>
      <c r="MLO61" s="608"/>
      <c r="MLP61" s="608"/>
      <c r="MLQ61" s="608"/>
      <c r="MLR61" s="608"/>
      <c r="MLS61" s="608"/>
      <c r="MLT61" s="608"/>
      <c r="MLU61" s="608"/>
      <c r="MLV61" s="608"/>
      <c r="MLW61" s="608"/>
      <c r="MLX61" s="608"/>
      <c r="MLY61" s="608"/>
      <c r="MLZ61" s="608"/>
      <c r="MMA61" s="608"/>
      <c r="MMB61" s="608"/>
      <c r="MMC61" s="608"/>
      <c r="MMD61" s="608"/>
      <c r="MME61" s="608"/>
      <c r="MMF61" s="608"/>
      <c r="MMG61" s="608"/>
      <c r="MMH61" s="608"/>
      <c r="MMI61" s="608"/>
      <c r="MMJ61" s="608"/>
      <c r="MMK61" s="608"/>
      <c r="MML61" s="608"/>
      <c r="MMM61" s="608"/>
      <c r="MMN61" s="608"/>
      <c r="MMO61" s="608"/>
      <c r="MMP61" s="608"/>
      <c r="MMQ61" s="608"/>
      <c r="MMR61" s="608"/>
      <c r="MMS61" s="608"/>
      <c r="MMT61" s="608"/>
      <c r="MMU61" s="608"/>
      <c r="MMV61" s="608"/>
      <c r="MMW61" s="608"/>
      <c r="MMX61" s="608"/>
      <c r="MMY61" s="608"/>
      <c r="MMZ61" s="608"/>
      <c r="MNA61" s="608"/>
      <c r="MNB61" s="608"/>
      <c r="MNC61" s="608"/>
      <c r="MND61" s="608"/>
      <c r="MNE61" s="608"/>
      <c r="MNF61" s="608"/>
      <c r="MNG61" s="608"/>
      <c r="MNH61" s="608"/>
      <c r="MNI61" s="608"/>
      <c r="MNJ61" s="608"/>
      <c r="MNK61" s="608"/>
      <c r="MNL61" s="608"/>
      <c r="MNM61" s="608"/>
      <c r="MNN61" s="608"/>
      <c r="MNO61" s="608"/>
      <c r="MNP61" s="608"/>
      <c r="MNQ61" s="608"/>
      <c r="MNR61" s="608"/>
      <c r="MNS61" s="608"/>
      <c r="MNT61" s="608"/>
      <c r="MNU61" s="608"/>
      <c r="MNV61" s="608"/>
      <c r="MNW61" s="608"/>
      <c r="MNX61" s="608"/>
      <c r="MNY61" s="608"/>
      <c r="MNZ61" s="608"/>
      <c r="MOA61" s="608"/>
      <c r="MOB61" s="608"/>
      <c r="MOC61" s="608"/>
      <c r="MOD61" s="608"/>
      <c r="MOE61" s="608"/>
      <c r="MOF61" s="608"/>
      <c r="MOG61" s="608"/>
      <c r="MOH61" s="608"/>
      <c r="MOI61" s="608"/>
      <c r="MOJ61" s="608"/>
      <c r="MOK61" s="608"/>
      <c r="MOL61" s="608"/>
      <c r="MOM61" s="608"/>
      <c r="MON61" s="608"/>
      <c r="MOO61" s="608"/>
      <c r="MOP61" s="608"/>
      <c r="MOQ61" s="608"/>
      <c r="MOR61" s="608"/>
      <c r="MOS61" s="608"/>
      <c r="MOT61" s="608"/>
      <c r="MOU61" s="608"/>
      <c r="MOV61" s="608"/>
      <c r="MOW61" s="608"/>
      <c r="MOX61" s="608"/>
      <c r="MOY61" s="608"/>
      <c r="MOZ61" s="608"/>
      <c r="MPA61" s="608"/>
      <c r="MPB61" s="608"/>
      <c r="MPC61" s="608"/>
      <c r="MPD61" s="608"/>
      <c r="MPE61" s="608"/>
      <c r="MPF61" s="608"/>
      <c r="MPG61" s="608"/>
      <c r="MPH61" s="608"/>
      <c r="MPI61" s="608"/>
      <c r="MPJ61" s="608"/>
      <c r="MPK61" s="608"/>
      <c r="MPL61" s="608"/>
      <c r="MPM61" s="608"/>
      <c r="MPN61" s="608"/>
      <c r="MPO61" s="608"/>
      <c r="MPP61" s="608"/>
      <c r="MPQ61" s="608"/>
      <c r="MPR61" s="608"/>
      <c r="MPS61" s="608"/>
      <c r="MPT61" s="608"/>
      <c r="MPU61" s="608"/>
      <c r="MPV61" s="608"/>
      <c r="MPW61" s="608"/>
      <c r="MPX61" s="608"/>
      <c r="MPY61" s="608"/>
      <c r="MPZ61" s="608"/>
      <c r="MQA61" s="608"/>
      <c r="MQB61" s="608"/>
      <c r="MQC61" s="608"/>
      <c r="MQD61" s="608"/>
      <c r="MQE61" s="608"/>
      <c r="MQF61" s="608"/>
      <c r="MQG61" s="608"/>
      <c r="MQH61" s="608"/>
      <c r="MQI61" s="608"/>
      <c r="MQJ61" s="608"/>
      <c r="MQK61" s="608"/>
      <c r="MQL61" s="608"/>
      <c r="MQM61" s="608"/>
      <c r="MQN61" s="608"/>
      <c r="MQO61" s="608"/>
      <c r="MQP61" s="608"/>
      <c r="MQQ61" s="608"/>
      <c r="MQR61" s="608"/>
      <c r="MQS61" s="608"/>
      <c r="MQT61" s="608"/>
      <c r="MQU61" s="608"/>
      <c r="MQV61" s="608"/>
      <c r="MQW61" s="608"/>
      <c r="MQX61" s="608"/>
      <c r="MQY61" s="608"/>
      <c r="MQZ61" s="608"/>
      <c r="MRA61" s="608"/>
      <c r="MRB61" s="608"/>
      <c r="MRC61" s="608"/>
      <c r="MRD61" s="608"/>
      <c r="MRE61" s="608"/>
      <c r="MRF61" s="608"/>
      <c r="MRG61" s="608"/>
      <c r="MRH61" s="608"/>
      <c r="MRI61" s="608"/>
      <c r="MRJ61" s="608"/>
      <c r="MRK61" s="608"/>
      <c r="MRL61" s="608"/>
      <c r="MRM61" s="608"/>
      <c r="MRN61" s="608"/>
      <c r="MRO61" s="608"/>
      <c r="MRP61" s="608"/>
      <c r="MRQ61" s="608"/>
      <c r="MRR61" s="608"/>
      <c r="MRS61" s="608"/>
      <c r="MRT61" s="608"/>
      <c r="MRU61" s="608"/>
      <c r="MRV61" s="608"/>
      <c r="MRW61" s="608"/>
      <c r="MRX61" s="608"/>
      <c r="MRY61" s="608"/>
      <c r="MRZ61" s="608"/>
      <c r="MSA61" s="608"/>
      <c r="MSB61" s="608"/>
      <c r="MSC61" s="608"/>
      <c r="MSD61" s="608"/>
      <c r="MSE61" s="608"/>
      <c r="MSF61" s="608"/>
      <c r="MSG61" s="608"/>
      <c r="MSH61" s="608"/>
      <c r="MSI61" s="608"/>
      <c r="MSJ61" s="608"/>
      <c r="MSK61" s="608"/>
      <c r="MSL61" s="608"/>
      <c r="MSM61" s="608"/>
      <c r="MSN61" s="608"/>
      <c r="MSO61" s="608"/>
      <c r="MSP61" s="608"/>
      <c r="MSQ61" s="608"/>
      <c r="MSR61" s="608"/>
      <c r="MSS61" s="608"/>
      <c r="MST61" s="608"/>
      <c r="MSU61" s="608"/>
      <c r="MSV61" s="608"/>
      <c r="MSW61" s="608"/>
      <c r="MSX61" s="608"/>
      <c r="MSY61" s="608"/>
      <c r="MSZ61" s="608"/>
      <c r="MTA61" s="608"/>
      <c r="MTB61" s="608"/>
      <c r="MTC61" s="608"/>
      <c r="MTD61" s="608"/>
      <c r="MTE61" s="608"/>
      <c r="MTF61" s="608"/>
      <c r="MTG61" s="608"/>
      <c r="MTH61" s="608"/>
      <c r="MTI61" s="608"/>
      <c r="MTJ61" s="608"/>
      <c r="MTK61" s="608"/>
      <c r="MTL61" s="608"/>
      <c r="MTM61" s="608"/>
      <c r="MTN61" s="608"/>
      <c r="MTO61" s="608"/>
      <c r="MTP61" s="608"/>
      <c r="MTQ61" s="608"/>
      <c r="MTR61" s="608"/>
      <c r="MTS61" s="608"/>
      <c r="MTT61" s="608"/>
      <c r="MTU61" s="608"/>
      <c r="MTV61" s="608"/>
      <c r="MTW61" s="608"/>
      <c r="MTX61" s="608"/>
      <c r="MTY61" s="608"/>
      <c r="MTZ61" s="608"/>
      <c r="MUA61" s="608"/>
      <c r="MUB61" s="608"/>
      <c r="MUC61" s="608"/>
      <c r="MUD61" s="608"/>
      <c r="MUE61" s="608"/>
      <c r="MUF61" s="608"/>
      <c r="MUG61" s="608"/>
      <c r="MUH61" s="608"/>
      <c r="MUI61" s="608"/>
      <c r="MUJ61" s="608"/>
      <c r="MUK61" s="608"/>
      <c r="MUL61" s="608"/>
      <c r="MUM61" s="608"/>
      <c r="MUN61" s="608"/>
      <c r="MUO61" s="608"/>
      <c r="MUP61" s="608"/>
      <c r="MUQ61" s="608"/>
      <c r="MUR61" s="608"/>
      <c r="MUS61" s="608"/>
      <c r="MUT61" s="608"/>
      <c r="MUU61" s="608"/>
      <c r="MUV61" s="608"/>
      <c r="MUW61" s="608"/>
      <c r="MUX61" s="608"/>
      <c r="MUY61" s="608"/>
      <c r="MUZ61" s="608"/>
      <c r="MVA61" s="608"/>
      <c r="MVB61" s="608"/>
      <c r="MVC61" s="608"/>
      <c r="MVD61" s="608"/>
      <c r="MVE61" s="608"/>
      <c r="MVF61" s="608"/>
      <c r="MVG61" s="608"/>
      <c r="MVH61" s="608"/>
      <c r="MVI61" s="608"/>
      <c r="MVJ61" s="608"/>
      <c r="MVK61" s="608"/>
      <c r="MVL61" s="608"/>
      <c r="MVM61" s="608"/>
      <c r="MVN61" s="608"/>
      <c r="MVO61" s="608"/>
      <c r="MVP61" s="608"/>
      <c r="MVQ61" s="608"/>
      <c r="MVR61" s="608"/>
      <c r="MVS61" s="608"/>
      <c r="MVT61" s="608"/>
      <c r="MVU61" s="608"/>
      <c r="MVV61" s="608"/>
      <c r="MVW61" s="608"/>
      <c r="MVX61" s="608"/>
      <c r="MVY61" s="608"/>
      <c r="MVZ61" s="608"/>
      <c r="MWA61" s="608"/>
      <c r="MWB61" s="608"/>
      <c r="MWC61" s="608"/>
      <c r="MWD61" s="608"/>
      <c r="MWE61" s="608"/>
      <c r="MWF61" s="608"/>
      <c r="MWG61" s="608"/>
      <c r="MWH61" s="608"/>
      <c r="MWI61" s="608"/>
      <c r="MWJ61" s="608"/>
      <c r="MWK61" s="608"/>
      <c r="MWL61" s="608"/>
      <c r="MWM61" s="608"/>
      <c r="MWN61" s="608"/>
      <c r="MWO61" s="608"/>
      <c r="MWP61" s="608"/>
      <c r="MWQ61" s="608"/>
      <c r="MWR61" s="608"/>
      <c r="MWS61" s="608"/>
      <c r="MWT61" s="608"/>
      <c r="MWU61" s="608"/>
      <c r="MWV61" s="608"/>
      <c r="MWW61" s="608"/>
      <c r="MWX61" s="608"/>
      <c r="MWY61" s="608"/>
      <c r="MWZ61" s="608"/>
      <c r="MXA61" s="608"/>
      <c r="MXB61" s="608"/>
      <c r="MXC61" s="608"/>
      <c r="MXD61" s="608"/>
      <c r="MXE61" s="608"/>
      <c r="MXF61" s="608"/>
      <c r="MXG61" s="608"/>
      <c r="MXH61" s="608"/>
      <c r="MXI61" s="608"/>
      <c r="MXJ61" s="608"/>
      <c r="MXK61" s="608"/>
      <c r="MXL61" s="608"/>
      <c r="MXM61" s="608"/>
      <c r="MXN61" s="608"/>
      <c r="MXO61" s="608"/>
      <c r="MXP61" s="608"/>
      <c r="MXQ61" s="608"/>
      <c r="MXR61" s="608"/>
      <c r="MXS61" s="608"/>
      <c r="MXT61" s="608"/>
      <c r="MXU61" s="608"/>
      <c r="MXV61" s="608"/>
      <c r="MXW61" s="608"/>
      <c r="MXX61" s="608"/>
      <c r="MXY61" s="608"/>
      <c r="MXZ61" s="608"/>
      <c r="MYA61" s="608"/>
      <c r="MYB61" s="608"/>
      <c r="MYC61" s="608"/>
      <c r="MYD61" s="608"/>
      <c r="MYE61" s="608"/>
      <c r="MYF61" s="608"/>
      <c r="MYG61" s="608"/>
      <c r="MYH61" s="608"/>
      <c r="MYI61" s="608"/>
      <c r="MYJ61" s="608"/>
      <c r="MYK61" s="608"/>
      <c r="MYL61" s="608"/>
      <c r="MYM61" s="608"/>
      <c r="MYN61" s="608"/>
      <c r="MYO61" s="608"/>
      <c r="MYP61" s="608"/>
      <c r="MYQ61" s="608"/>
      <c r="MYR61" s="608"/>
      <c r="MYS61" s="608"/>
      <c r="MYT61" s="608"/>
      <c r="MYU61" s="608"/>
      <c r="MYV61" s="608"/>
      <c r="MYW61" s="608"/>
      <c r="MYX61" s="608"/>
      <c r="MYY61" s="608"/>
      <c r="MYZ61" s="608"/>
      <c r="MZA61" s="608"/>
      <c r="MZB61" s="608"/>
      <c r="MZC61" s="608"/>
      <c r="MZD61" s="608"/>
      <c r="MZE61" s="608"/>
      <c r="MZF61" s="608"/>
      <c r="MZG61" s="608"/>
      <c r="MZH61" s="608"/>
      <c r="MZI61" s="608"/>
      <c r="MZJ61" s="608"/>
      <c r="MZK61" s="608"/>
      <c r="MZL61" s="608"/>
      <c r="MZM61" s="608"/>
      <c r="MZN61" s="608"/>
      <c r="MZO61" s="608"/>
      <c r="MZP61" s="608"/>
      <c r="MZQ61" s="608"/>
      <c r="MZR61" s="608"/>
      <c r="MZS61" s="608"/>
      <c r="MZT61" s="608"/>
      <c r="MZU61" s="608"/>
      <c r="MZV61" s="608"/>
      <c r="MZW61" s="608"/>
      <c r="MZX61" s="608"/>
      <c r="MZY61" s="608"/>
      <c r="MZZ61" s="608"/>
      <c r="NAA61" s="608"/>
      <c r="NAB61" s="608"/>
      <c r="NAC61" s="608"/>
      <c r="NAD61" s="608"/>
      <c r="NAE61" s="608"/>
      <c r="NAF61" s="608"/>
      <c r="NAG61" s="608"/>
      <c r="NAH61" s="608"/>
      <c r="NAI61" s="608"/>
      <c r="NAJ61" s="608"/>
      <c r="NAK61" s="608"/>
      <c r="NAL61" s="608"/>
      <c r="NAM61" s="608"/>
      <c r="NAN61" s="608"/>
      <c r="NAO61" s="608"/>
      <c r="NAP61" s="608"/>
      <c r="NAQ61" s="608"/>
      <c r="NAR61" s="608"/>
      <c r="NAS61" s="608"/>
      <c r="NAT61" s="608"/>
      <c r="NAU61" s="608"/>
      <c r="NAV61" s="608"/>
      <c r="NAW61" s="608"/>
      <c r="NAX61" s="608"/>
      <c r="NAY61" s="608"/>
      <c r="NAZ61" s="608"/>
      <c r="NBA61" s="608"/>
      <c r="NBB61" s="608"/>
      <c r="NBC61" s="608"/>
      <c r="NBD61" s="608"/>
      <c r="NBE61" s="608"/>
      <c r="NBF61" s="608"/>
      <c r="NBG61" s="608"/>
      <c r="NBH61" s="608"/>
      <c r="NBI61" s="608"/>
      <c r="NBJ61" s="608"/>
      <c r="NBK61" s="608"/>
      <c r="NBL61" s="608"/>
      <c r="NBM61" s="608"/>
      <c r="NBN61" s="608"/>
      <c r="NBO61" s="608"/>
      <c r="NBP61" s="608"/>
      <c r="NBQ61" s="608"/>
      <c r="NBR61" s="608"/>
      <c r="NBS61" s="608"/>
      <c r="NBT61" s="608"/>
      <c r="NBU61" s="608"/>
      <c r="NBV61" s="608"/>
      <c r="NBW61" s="608"/>
      <c r="NBX61" s="608"/>
      <c r="NBY61" s="608"/>
      <c r="NBZ61" s="608"/>
      <c r="NCA61" s="608"/>
      <c r="NCB61" s="608"/>
      <c r="NCC61" s="608"/>
      <c r="NCD61" s="608"/>
      <c r="NCE61" s="608"/>
      <c r="NCF61" s="608"/>
      <c r="NCG61" s="608"/>
      <c r="NCH61" s="608"/>
      <c r="NCI61" s="608"/>
      <c r="NCJ61" s="608"/>
      <c r="NCK61" s="608"/>
      <c r="NCL61" s="608"/>
      <c r="NCM61" s="608"/>
      <c r="NCN61" s="608"/>
      <c r="NCO61" s="608"/>
      <c r="NCP61" s="608"/>
      <c r="NCQ61" s="608"/>
      <c r="NCR61" s="608"/>
      <c r="NCS61" s="608"/>
      <c r="NCT61" s="608"/>
      <c r="NCU61" s="608"/>
      <c r="NCV61" s="608"/>
      <c r="NCW61" s="608"/>
      <c r="NCX61" s="608"/>
      <c r="NCY61" s="608"/>
      <c r="NCZ61" s="608"/>
      <c r="NDA61" s="608"/>
      <c r="NDB61" s="608"/>
      <c r="NDC61" s="608"/>
      <c r="NDD61" s="608"/>
      <c r="NDE61" s="608"/>
      <c r="NDF61" s="608"/>
      <c r="NDG61" s="608"/>
      <c r="NDH61" s="608"/>
      <c r="NDI61" s="608"/>
      <c r="NDJ61" s="608"/>
      <c r="NDK61" s="608"/>
      <c r="NDL61" s="608"/>
      <c r="NDM61" s="608"/>
      <c r="NDN61" s="608"/>
      <c r="NDO61" s="608"/>
      <c r="NDP61" s="608"/>
      <c r="NDQ61" s="608"/>
      <c r="NDR61" s="608"/>
      <c r="NDS61" s="608"/>
      <c r="NDT61" s="608"/>
      <c r="NDU61" s="608"/>
      <c r="NDV61" s="608"/>
      <c r="NDW61" s="608"/>
      <c r="NDX61" s="608"/>
      <c r="NDY61" s="608"/>
      <c r="NDZ61" s="608"/>
      <c r="NEA61" s="608"/>
      <c r="NEB61" s="608"/>
      <c r="NEC61" s="608"/>
      <c r="NED61" s="608"/>
      <c r="NEE61" s="608"/>
      <c r="NEF61" s="608"/>
      <c r="NEG61" s="608"/>
      <c r="NEH61" s="608"/>
      <c r="NEI61" s="608"/>
      <c r="NEJ61" s="608"/>
      <c r="NEK61" s="608"/>
      <c r="NEL61" s="608"/>
      <c r="NEM61" s="608"/>
      <c r="NEN61" s="608"/>
      <c r="NEO61" s="608"/>
      <c r="NEP61" s="608"/>
      <c r="NEQ61" s="608"/>
      <c r="NER61" s="608"/>
      <c r="NES61" s="608"/>
      <c r="NET61" s="608"/>
      <c r="NEU61" s="608"/>
      <c r="NEV61" s="608"/>
      <c r="NEW61" s="608"/>
      <c r="NEX61" s="608"/>
      <c r="NEY61" s="608"/>
      <c r="NEZ61" s="608"/>
      <c r="NFA61" s="608"/>
      <c r="NFB61" s="608"/>
      <c r="NFC61" s="608"/>
      <c r="NFD61" s="608"/>
      <c r="NFE61" s="608"/>
      <c r="NFF61" s="608"/>
      <c r="NFG61" s="608"/>
      <c r="NFH61" s="608"/>
      <c r="NFI61" s="608"/>
      <c r="NFJ61" s="608"/>
      <c r="NFK61" s="608"/>
      <c r="NFL61" s="608"/>
      <c r="NFM61" s="608"/>
      <c r="NFN61" s="608"/>
      <c r="NFO61" s="608"/>
      <c r="NFP61" s="608"/>
      <c r="NFQ61" s="608"/>
      <c r="NFR61" s="608"/>
      <c r="NFS61" s="608"/>
      <c r="NFT61" s="608"/>
      <c r="NFU61" s="608"/>
      <c r="NFV61" s="608"/>
      <c r="NFW61" s="608"/>
      <c r="NFX61" s="608"/>
      <c r="NFY61" s="608"/>
      <c r="NFZ61" s="608"/>
      <c r="NGA61" s="608"/>
      <c r="NGB61" s="608"/>
      <c r="NGC61" s="608"/>
      <c r="NGD61" s="608"/>
      <c r="NGE61" s="608"/>
      <c r="NGF61" s="608"/>
      <c r="NGG61" s="608"/>
      <c r="NGH61" s="608"/>
      <c r="NGI61" s="608"/>
      <c r="NGJ61" s="608"/>
      <c r="NGK61" s="608"/>
      <c r="NGL61" s="608"/>
      <c r="NGM61" s="608"/>
      <c r="NGN61" s="608"/>
      <c r="NGO61" s="608"/>
      <c r="NGP61" s="608"/>
      <c r="NGQ61" s="608"/>
      <c r="NGR61" s="608"/>
      <c r="NGS61" s="608"/>
      <c r="NGT61" s="608"/>
      <c r="NGU61" s="608"/>
      <c r="NGV61" s="608"/>
      <c r="NGW61" s="608"/>
      <c r="NGX61" s="608"/>
      <c r="NGY61" s="608"/>
      <c r="NGZ61" s="608"/>
      <c r="NHA61" s="608"/>
      <c r="NHB61" s="608"/>
      <c r="NHC61" s="608"/>
      <c r="NHD61" s="608"/>
      <c r="NHE61" s="608"/>
      <c r="NHF61" s="608"/>
      <c r="NHG61" s="608"/>
      <c r="NHH61" s="608"/>
      <c r="NHI61" s="608"/>
      <c r="NHJ61" s="608"/>
      <c r="NHK61" s="608"/>
      <c r="NHL61" s="608"/>
      <c r="NHM61" s="608"/>
      <c r="NHN61" s="608"/>
      <c r="NHO61" s="608"/>
      <c r="NHP61" s="608"/>
      <c r="NHQ61" s="608"/>
      <c r="NHR61" s="608"/>
      <c r="NHS61" s="608"/>
      <c r="NHT61" s="608"/>
      <c r="NHU61" s="608"/>
      <c r="NHV61" s="608"/>
      <c r="NHW61" s="608"/>
      <c r="NHX61" s="608"/>
      <c r="NHY61" s="608"/>
      <c r="NHZ61" s="608"/>
      <c r="NIA61" s="608"/>
      <c r="NIB61" s="608"/>
      <c r="NIC61" s="608"/>
      <c r="NID61" s="608"/>
      <c r="NIE61" s="608"/>
      <c r="NIF61" s="608"/>
      <c r="NIG61" s="608"/>
      <c r="NIH61" s="608"/>
      <c r="NII61" s="608"/>
      <c r="NIJ61" s="608"/>
      <c r="NIK61" s="608"/>
      <c r="NIL61" s="608"/>
      <c r="NIM61" s="608"/>
      <c r="NIN61" s="608"/>
      <c r="NIO61" s="608"/>
      <c r="NIP61" s="608"/>
      <c r="NIQ61" s="608"/>
      <c r="NIR61" s="608"/>
      <c r="NIS61" s="608"/>
      <c r="NIT61" s="608"/>
      <c r="NIU61" s="608"/>
      <c r="NIV61" s="608"/>
      <c r="NIW61" s="608"/>
      <c r="NIX61" s="608"/>
      <c r="NIY61" s="608"/>
      <c r="NIZ61" s="608"/>
      <c r="NJA61" s="608"/>
      <c r="NJB61" s="608"/>
      <c r="NJC61" s="608"/>
      <c r="NJD61" s="608"/>
      <c r="NJE61" s="608"/>
      <c r="NJF61" s="608"/>
      <c r="NJG61" s="608"/>
      <c r="NJH61" s="608"/>
      <c r="NJI61" s="608"/>
      <c r="NJJ61" s="608"/>
      <c r="NJK61" s="608"/>
      <c r="NJL61" s="608"/>
      <c r="NJM61" s="608"/>
      <c r="NJN61" s="608"/>
      <c r="NJO61" s="608"/>
      <c r="NJP61" s="608"/>
      <c r="NJQ61" s="608"/>
      <c r="NJR61" s="608"/>
      <c r="NJS61" s="608"/>
      <c r="NJT61" s="608"/>
      <c r="NJU61" s="608"/>
      <c r="NJV61" s="608"/>
      <c r="NJW61" s="608"/>
      <c r="NJX61" s="608"/>
      <c r="NJY61" s="608"/>
      <c r="NJZ61" s="608"/>
      <c r="NKA61" s="608"/>
      <c r="NKB61" s="608"/>
      <c r="NKC61" s="608"/>
      <c r="NKD61" s="608"/>
      <c r="NKE61" s="608"/>
      <c r="NKF61" s="608"/>
      <c r="NKG61" s="608"/>
      <c r="NKH61" s="608"/>
      <c r="NKI61" s="608"/>
      <c r="NKJ61" s="608"/>
      <c r="NKK61" s="608"/>
      <c r="NKL61" s="608"/>
      <c r="NKM61" s="608"/>
      <c r="NKN61" s="608"/>
      <c r="NKO61" s="608"/>
      <c r="NKP61" s="608"/>
      <c r="NKQ61" s="608"/>
      <c r="NKR61" s="608"/>
      <c r="NKS61" s="608"/>
      <c r="NKT61" s="608"/>
      <c r="NKU61" s="608"/>
      <c r="NKV61" s="608"/>
      <c r="NKW61" s="608"/>
      <c r="NKX61" s="608"/>
      <c r="NKY61" s="608"/>
      <c r="NKZ61" s="608"/>
      <c r="NLA61" s="608"/>
      <c r="NLB61" s="608"/>
      <c r="NLC61" s="608"/>
      <c r="NLD61" s="608"/>
      <c r="NLE61" s="608"/>
      <c r="NLF61" s="608"/>
      <c r="NLG61" s="608"/>
      <c r="NLH61" s="608"/>
      <c r="NLI61" s="608"/>
      <c r="NLJ61" s="608"/>
      <c r="NLK61" s="608"/>
      <c r="NLL61" s="608"/>
      <c r="NLM61" s="608"/>
      <c r="NLN61" s="608"/>
      <c r="NLO61" s="608"/>
      <c r="NLP61" s="608"/>
      <c r="NLQ61" s="608"/>
      <c r="NLR61" s="608"/>
      <c r="NLS61" s="608"/>
      <c r="NLT61" s="608"/>
      <c r="NLU61" s="608"/>
      <c r="NLV61" s="608"/>
      <c r="NLW61" s="608"/>
      <c r="NLX61" s="608"/>
      <c r="NLY61" s="608"/>
      <c r="NLZ61" s="608"/>
      <c r="NMA61" s="608"/>
      <c r="NMB61" s="608"/>
      <c r="NMC61" s="608"/>
      <c r="NMD61" s="608"/>
      <c r="NME61" s="608"/>
      <c r="NMF61" s="608"/>
      <c r="NMG61" s="608"/>
      <c r="NMH61" s="608"/>
      <c r="NMI61" s="608"/>
      <c r="NMJ61" s="608"/>
      <c r="NMK61" s="608"/>
      <c r="NML61" s="608"/>
      <c r="NMM61" s="608"/>
      <c r="NMN61" s="608"/>
      <c r="NMO61" s="608"/>
      <c r="NMP61" s="608"/>
      <c r="NMQ61" s="608"/>
      <c r="NMR61" s="608"/>
      <c r="NMS61" s="608"/>
      <c r="NMT61" s="608"/>
      <c r="NMU61" s="608"/>
      <c r="NMV61" s="608"/>
      <c r="NMW61" s="608"/>
      <c r="NMX61" s="608"/>
      <c r="NMY61" s="608"/>
      <c r="NMZ61" s="608"/>
      <c r="NNA61" s="608"/>
      <c r="NNB61" s="608"/>
      <c r="NNC61" s="608"/>
      <c r="NND61" s="608"/>
      <c r="NNE61" s="608"/>
      <c r="NNF61" s="608"/>
      <c r="NNG61" s="608"/>
      <c r="NNH61" s="608"/>
      <c r="NNI61" s="608"/>
      <c r="NNJ61" s="608"/>
      <c r="NNK61" s="608"/>
      <c r="NNL61" s="608"/>
      <c r="NNM61" s="608"/>
      <c r="NNN61" s="608"/>
      <c r="NNO61" s="608"/>
      <c r="NNP61" s="608"/>
      <c r="NNQ61" s="608"/>
      <c r="NNR61" s="608"/>
      <c r="NNS61" s="608"/>
      <c r="NNT61" s="608"/>
      <c r="NNU61" s="608"/>
      <c r="NNV61" s="608"/>
      <c r="NNW61" s="608"/>
      <c r="NNX61" s="608"/>
      <c r="NNY61" s="608"/>
      <c r="NNZ61" s="608"/>
      <c r="NOA61" s="608"/>
      <c r="NOB61" s="608"/>
      <c r="NOC61" s="608"/>
      <c r="NOD61" s="608"/>
      <c r="NOE61" s="608"/>
      <c r="NOF61" s="608"/>
      <c r="NOG61" s="608"/>
      <c r="NOH61" s="608"/>
      <c r="NOI61" s="608"/>
      <c r="NOJ61" s="608"/>
      <c r="NOK61" s="608"/>
      <c r="NOL61" s="608"/>
      <c r="NOM61" s="608"/>
      <c r="NON61" s="608"/>
      <c r="NOO61" s="608"/>
      <c r="NOP61" s="608"/>
      <c r="NOQ61" s="608"/>
      <c r="NOR61" s="608"/>
      <c r="NOS61" s="608"/>
      <c r="NOT61" s="608"/>
      <c r="NOU61" s="608"/>
      <c r="NOV61" s="608"/>
      <c r="NOW61" s="608"/>
      <c r="NOX61" s="608"/>
      <c r="NOY61" s="608"/>
      <c r="NOZ61" s="608"/>
      <c r="NPA61" s="608"/>
      <c r="NPB61" s="608"/>
      <c r="NPC61" s="608"/>
      <c r="NPD61" s="608"/>
      <c r="NPE61" s="608"/>
      <c r="NPF61" s="608"/>
      <c r="NPG61" s="608"/>
      <c r="NPH61" s="608"/>
      <c r="NPI61" s="608"/>
      <c r="NPJ61" s="608"/>
      <c r="NPK61" s="608"/>
      <c r="NPL61" s="608"/>
      <c r="NPM61" s="608"/>
      <c r="NPN61" s="608"/>
      <c r="NPO61" s="608"/>
      <c r="NPP61" s="608"/>
      <c r="NPQ61" s="608"/>
      <c r="NPR61" s="608"/>
      <c r="NPS61" s="608"/>
      <c r="NPT61" s="608"/>
      <c r="NPU61" s="608"/>
      <c r="NPV61" s="608"/>
      <c r="NPW61" s="608"/>
      <c r="NPX61" s="608"/>
      <c r="NPY61" s="608"/>
      <c r="NPZ61" s="608"/>
      <c r="NQA61" s="608"/>
      <c r="NQB61" s="608"/>
      <c r="NQC61" s="608"/>
      <c r="NQD61" s="608"/>
      <c r="NQE61" s="608"/>
      <c r="NQF61" s="608"/>
      <c r="NQG61" s="608"/>
      <c r="NQH61" s="608"/>
      <c r="NQI61" s="608"/>
      <c r="NQJ61" s="608"/>
      <c r="NQK61" s="608"/>
      <c r="NQL61" s="608"/>
      <c r="NQM61" s="608"/>
      <c r="NQN61" s="608"/>
      <c r="NQO61" s="608"/>
      <c r="NQP61" s="608"/>
      <c r="NQQ61" s="608"/>
      <c r="NQR61" s="608"/>
      <c r="NQS61" s="608"/>
      <c r="NQT61" s="608"/>
      <c r="NQU61" s="608"/>
      <c r="NQV61" s="608"/>
      <c r="NQW61" s="608"/>
      <c r="NQX61" s="608"/>
      <c r="NQY61" s="608"/>
      <c r="NQZ61" s="608"/>
      <c r="NRA61" s="608"/>
      <c r="NRB61" s="608"/>
      <c r="NRC61" s="608"/>
      <c r="NRD61" s="608"/>
      <c r="NRE61" s="608"/>
      <c r="NRF61" s="608"/>
      <c r="NRG61" s="608"/>
      <c r="NRH61" s="608"/>
      <c r="NRI61" s="608"/>
      <c r="NRJ61" s="608"/>
      <c r="NRK61" s="608"/>
      <c r="NRL61" s="608"/>
      <c r="NRM61" s="608"/>
      <c r="NRN61" s="608"/>
      <c r="NRO61" s="608"/>
      <c r="NRP61" s="608"/>
      <c r="NRQ61" s="608"/>
      <c r="NRR61" s="608"/>
      <c r="NRS61" s="608"/>
      <c r="NRT61" s="608"/>
      <c r="NRU61" s="608"/>
      <c r="NRV61" s="608"/>
      <c r="NRW61" s="608"/>
      <c r="NRX61" s="608"/>
      <c r="NRY61" s="608"/>
      <c r="NRZ61" s="608"/>
      <c r="NSA61" s="608"/>
      <c r="NSB61" s="608"/>
      <c r="NSC61" s="608"/>
      <c r="NSD61" s="608"/>
      <c r="NSE61" s="608"/>
      <c r="NSF61" s="608"/>
      <c r="NSG61" s="608"/>
      <c r="NSH61" s="608"/>
      <c r="NSI61" s="608"/>
      <c r="NSJ61" s="608"/>
      <c r="NSK61" s="608"/>
      <c r="NSL61" s="608"/>
      <c r="NSM61" s="608"/>
      <c r="NSN61" s="608"/>
      <c r="NSO61" s="608"/>
      <c r="NSP61" s="608"/>
      <c r="NSQ61" s="608"/>
      <c r="NSR61" s="608"/>
      <c r="NSS61" s="608"/>
      <c r="NST61" s="608"/>
      <c r="NSU61" s="608"/>
      <c r="NSV61" s="608"/>
      <c r="NSW61" s="608"/>
      <c r="NSX61" s="608"/>
      <c r="NSY61" s="608"/>
      <c r="NSZ61" s="608"/>
      <c r="NTA61" s="608"/>
      <c r="NTB61" s="608"/>
      <c r="NTC61" s="608"/>
      <c r="NTD61" s="608"/>
      <c r="NTE61" s="608"/>
      <c r="NTF61" s="608"/>
      <c r="NTG61" s="608"/>
      <c r="NTH61" s="608"/>
      <c r="NTI61" s="608"/>
      <c r="NTJ61" s="608"/>
      <c r="NTK61" s="608"/>
      <c r="NTL61" s="608"/>
      <c r="NTM61" s="608"/>
      <c r="NTN61" s="608"/>
      <c r="NTO61" s="608"/>
      <c r="NTP61" s="608"/>
      <c r="NTQ61" s="608"/>
      <c r="NTR61" s="608"/>
      <c r="NTS61" s="608"/>
      <c r="NTT61" s="608"/>
      <c r="NTU61" s="608"/>
      <c r="NTV61" s="608"/>
      <c r="NTW61" s="608"/>
      <c r="NTX61" s="608"/>
      <c r="NTY61" s="608"/>
      <c r="NTZ61" s="608"/>
      <c r="NUA61" s="608"/>
      <c r="NUB61" s="608"/>
      <c r="NUC61" s="608"/>
      <c r="NUD61" s="608"/>
      <c r="NUE61" s="608"/>
      <c r="NUF61" s="608"/>
      <c r="NUG61" s="608"/>
      <c r="NUH61" s="608"/>
      <c r="NUI61" s="608"/>
      <c r="NUJ61" s="608"/>
      <c r="NUK61" s="608"/>
      <c r="NUL61" s="608"/>
      <c r="NUM61" s="608"/>
      <c r="NUN61" s="608"/>
      <c r="NUO61" s="608"/>
      <c r="NUP61" s="608"/>
      <c r="NUQ61" s="608"/>
      <c r="NUR61" s="608"/>
      <c r="NUS61" s="608"/>
      <c r="NUT61" s="608"/>
      <c r="NUU61" s="608"/>
      <c r="NUV61" s="608"/>
      <c r="NUW61" s="608"/>
      <c r="NUX61" s="608"/>
      <c r="NUY61" s="608"/>
      <c r="NUZ61" s="608"/>
      <c r="NVA61" s="608"/>
      <c r="NVB61" s="608"/>
      <c r="NVC61" s="608"/>
      <c r="NVD61" s="608"/>
      <c r="NVE61" s="608"/>
      <c r="NVF61" s="608"/>
      <c r="NVG61" s="608"/>
      <c r="NVH61" s="608"/>
      <c r="NVI61" s="608"/>
      <c r="NVJ61" s="608"/>
      <c r="NVK61" s="608"/>
      <c r="NVL61" s="608"/>
      <c r="NVM61" s="608"/>
      <c r="NVN61" s="608"/>
      <c r="NVO61" s="608"/>
      <c r="NVP61" s="608"/>
      <c r="NVQ61" s="608"/>
      <c r="NVR61" s="608"/>
      <c r="NVS61" s="608"/>
      <c r="NVT61" s="608"/>
      <c r="NVU61" s="608"/>
      <c r="NVV61" s="608"/>
      <c r="NVW61" s="608"/>
      <c r="NVX61" s="608"/>
      <c r="NVY61" s="608"/>
      <c r="NVZ61" s="608"/>
      <c r="NWA61" s="608"/>
      <c r="NWB61" s="608"/>
      <c r="NWC61" s="608"/>
      <c r="NWD61" s="608"/>
      <c r="NWE61" s="608"/>
      <c r="NWF61" s="608"/>
      <c r="NWG61" s="608"/>
      <c r="NWH61" s="608"/>
      <c r="NWI61" s="608"/>
      <c r="NWJ61" s="608"/>
      <c r="NWK61" s="608"/>
      <c r="NWL61" s="608"/>
      <c r="NWM61" s="608"/>
      <c r="NWN61" s="608"/>
      <c r="NWO61" s="608"/>
      <c r="NWP61" s="608"/>
      <c r="NWQ61" s="608"/>
      <c r="NWR61" s="608"/>
      <c r="NWS61" s="608"/>
      <c r="NWT61" s="608"/>
      <c r="NWU61" s="608"/>
      <c r="NWV61" s="608"/>
      <c r="NWW61" s="608"/>
      <c r="NWX61" s="608"/>
      <c r="NWY61" s="608"/>
      <c r="NWZ61" s="608"/>
      <c r="NXA61" s="608"/>
      <c r="NXB61" s="608"/>
      <c r="NXC61" s="608"/>
      <c r="NXD61" s="608"/>
      <c r="NXE61" s="608"/>
      <c r="NXF61" s="608"/>
      <c r="NXG61" s="608"/>
      <c r="NXH61" s="608"/>
      <c r="NXI61" s="608"/>
      <c r="NXJ61" s="608"/>
      <c r="NXK61" s="608"/>
      <c r="NXL61" s="608"/>
      <c r="NXM61" s="608"/>
      <c r="NXN61" s="608"/>
      <c r="NXO61" s="608"/>
      <c r="NXP61" s="608"/>
      <c r="NXQ61" s="608"/>
      <c r="NXR61" s="608"/>
      <c r="NXS61" s="608"/>
      <c r="NXT61" s="608"/>
      <c r="NXU61" s="608"/>
      <c r="NXV61" s="608"/>
      <c r="NXW61" s="608"/>
      <c r="NXX61" s="608"/>
      <c r="NXY61" s="608"/>
      <c r="NXZ61" s="608"/>
      <c r="NYA61" s="608"/>
      <c r="NYB61" s="608"/>
      <c r="NYC61" s="608"/>
      <c r="NYD61" s="608"/>
      <c r="NYE61" s="608"/>
      <c r="NYF61" s="608"/>
      <c r="NYG61" s="608"/>
      <c r="NYH61" s="608"/>
      <c r="NYI61" s="608"/>
      <c r="NYJ61" s="608"/>
      <c r="NYK61" s="608"/>
      <c r="NYL61" s="608"/>
      <c r="NYM61" s="608"/>
      <c r="NYN61" s="608"/>
      <c r="NYO61" s="608"/>
      <c r="NYP61" s="608"/>
      <c r="NYQ61" s="608"/>
      <c r="NYR61" s="608"/>
      <c r="NYS61" s="608"/>
      <c r="NYT61" s="608"/>
      <c r="NYU61" s="608"/>
      <c r="NYV61" s="608"/>
      <c r="NYW61" s="608"/>
      <c r="NYX61" s="608"/>
      <c r="NYY61" s="608"/>
      <c r="NYZ61" s="608"/>
      <c r="NZA61" s="608"/>
      <c r="NZB61" s="608"/>
      <c r="NZC61" s="608"/>
      <c r="NZD61" s="608"/>
      <c r="NZE61" s="608"/>
      <c r="NZF61" s="608"/>
      <c r="NZG61" s="608"/>
      <c r="NZH61" s="608"/>
      <c r="NZI61" s="608"/>
      <c r="NZJ61" s="608"/>
      <c r="NZK61" s="608"/>
      <c r="NZL61" s="608"/>
      <c r="NZM61" s="608"/>
      <c r="NZN61" s="608"/>
      <c r="NZO61" s="608"/>
      <c r="NZP61" s="608"/>
      <c r="NZQ61" s="608"/>
      <c r="NZR61" s="608"/>
      <c r="NZS61" s="608"/>
      <c r="NZT61" s="608"/>
      <c r="NZU61" s="608"/>
      <c r="NZV61" s="608"/>
      <c r="NZW61" s="608"/>
      <c r="NZX61" s="608"/>
      <c r="NZY61" s="608"/>
      <c r="NZZ61" s="608"/>
      <c r="OAA61" s="608"/>
      <c r="OAB61" s="608"/>
      <c r="OAC61" s="608"/>
      <c r="OAD61" s="608"/>
      <c r="OAE61" s="608"/>
      <c r="OAF61" s="608"/>
      <c r="OAG61" s="608"/>
      <c r="OAH61" s="608"/>
      <c r="OAI61" s="608"/>
      <c r="OAJ61" s="608"/>
      <c r="OAK61" s="608"/>
      <c r="OAL61" s="608"/>
      <c r="OAM61" s="608"/>
      <c r="OAN61" s="608"/>
      <c r="OAO61" s="608"/>
      <c r="OAP61" s="608"/>
      <c r="OAQ61" s="608"/>
      <c r="OAR61" s="608"/>
      <c r="OAS61" s="608"/>
      <c r="OAT61" s="608"/>
      <c r="OAU61" s="608"/>
      <c r="OAV61" s="608"/>
      <c r="OAW61" s="608"/>
      <c r="OAX61" s="608"/>
      <c r="OAY61" s="608"/>
      <c r="OAZ61" s="608"/>
      <c r="OBA61" s="608"/>
      <c r="OBB61" s="608"/>
      <c r="OBC61" s="608"/>
      <c r="OBD61" s="608"/>
      <c r="OBE61" s="608"/>
      <c r="OBF61" s="608"/>
      <c r="OBG61" s="608"/>
      <c r="OBH61" s="608"/>
      <c r="OBI61" s="608"/>
      <c r="OBJ61" s="608"/>
      <c r="OBK61" s="608"/>
      <c r="OBL61" s="608"/>
      <c r="OBM61" s="608"/>
      <c r="OBN61" s="608"/>
      <c r="OBO61" s="608"/>
      <c r="OBP61" s="608"/>
      <c r="OBQ61" s="608"/>
      <c r="OBR61" s="608"/>
      <c r="OBS61" s="608"/>
      <c r="OBT61" s="608"/>
      <c r="OBU61" s="608"/>
      <c r="OBV61" s="608"/>
      <c r="OBW61" s="608"/>
      <c r="OBX61" s="608"/>
      <c r="OBY61" s="608"/>
      <c r="OBZ61" s="608"/>
      <c r="OCA61" s="608"/>
      <c r="OCB61" s="608"/>
      <c r="OCC61" s="608"/>
      <c r="OCD61" s="608"/>
      <c r="OCE61" s="608"/>
      <c r="OCF61" s="608"/>
      <c r="OCG61" s="608"/>
      <c r="OCH61" s="608"/>
      <c r="OCI61" s="608"/>
      <c r="OCJ61" s="608"/>
      <c r="OCK61" s="608"/>
      <c r="OCL61" s="608"/>
      <c r="OCM61" s="608"/>
      <c r="OCN61" s="608"/>
      <c r="OCO61" s="608"/>
      <c r="OCP61" s="608"/>
      <c r="OCQ61" s="608"/>
      <c r="OCR61" s="608"/>
      <c r="OCS61" s="608"/>
      <c r="OCT61" s="608"/>
      <c r="OCU61" s="608"/>
      <c r="OCV61" s="608"/>
      <c r="OCW61" s="608"/>
      <c r="OCX61" s="608"/>
      <c r="OCY61" s="608"/>
      <c r="OCZ61" s="608"/>
      <c r="ODA61" s="608"/>
      <c r="ODB61" s="608"/>
      <c r="ODC61" s="608"/>
      <c r="ODD61" s="608"/>
      <c r="ODE61" s="608"/>
      <c r="ODF61" s="608"/>
      <c r="ODG61" s="608"/>
      <c r="ODH61" s="608"/>
      <c r="ODI61" s="608"/>
      <c r="ODJ61" s="608"/>
      <c r="ODK61" s="608"/>
      <c r="ODL61" s="608"/>
      <c r="ODM61" s="608"/>
      <c r="ODN61" s="608"/>
      <c r="ODO61" s="608"/>
      <c r="ODP61" s="608"/>
      <c r="ODQ61" s="608"/>
      <c r="ODR61" s="608"/>
      <c r="ODS61" s="608"/>
      <c r="ODT61" s="608"/>
      <c r="ODU61" s="608"/>
      <c r="ODV61" s="608"/>
      <c r="ODW61" s="608"/>
      <c r="ODX61" s="608"/>
      <c r="ODY61" s="608"/>
      <c r="ODZ61" s="608"/>
      <c r="OEA61" s="608"/>
      <c r="OEB61" s="608"/>
      <c r="OEC61" s="608"/>
      <c r="OED61" s="608"/>
      <c r="OEE61" s="608"/>
      <c r="OEF61" s="608"/>
      <c r="OEG61" s="608"/>
      <c r="OEH61" s="608"/>
      <c r="OEI61" s="608"/>
      <c r="OEJ61" s="608"/>
      <c r="OEK61" s="608"/>
      <c r="OEL61" s="608"/>
      <c r="OEM61" s="608"/>
      <c r="OEN61" s="608"/>
      <c r="OEO61" s="608"/>
      <c r="OEP61" s="608"/>
      <c r="OEQ61" s="608"/>
      <c r="OER61" s="608"/>
      <c r="OES61" s="608"/>
      <c r="OET61" s="608"/>
      <c r="OEU61" s="608"/>
      <c r="OEV61" s="608"/>
      <c r="OEW61" s="608"/>
      <c r="OEX61" s="608"/>
      <c r="OEY61" s="608"/>
      <c r="OEZ61" s="608"/>
      <c r="OFA61" s="608"/>
      <c r="OFB61" s="608"/>
      <c r="OFC61" s="608"/>
      <c r="OFD61" s="608"/>
      <c r="OFE61" s="608"/>
      <c r="OFF61" s="608"/>
      <c r="OFG61" s="608"/>
      <c r="OFH61" s="608"/>
      <c r="OFI61" s="608"/>
      <c r="OFJ61" s="608"/>
      <c r="OFK61" s="608"/>
      <c r="OFL61" s="608"/>
      <c r="OFM61" s="608"/>
      <c r="OFN61" s="608"/>
      <c r="OFO61" s="608"/>
      <c r="OFP61" s="608"/>
      <c r="OFQ61" s="608"/>
      <c r="OFR61" s="608"/>
      <c r="OFS61" s="608"/>
      <c r="OFT61" s="608"/>
      <c r="OFU61" s="608"/>
      <c r="OFV61" s="608"/>
      <c r="OFW61" s="608"/>
      <c r="OFX61" s="608"/>
      <c r="OFY61" s="608"/>
      <c r="OFZ61" s="608"/>
      <c r="OGA61" s="608"/>
      <c r="OGB61" s="608"/>
      <c r="OGC61" s="608"/>
      <c r="OGD61" s="608"/>
      <c r="OGE61" s="608"/>
      <c r="OGF61" s="608"/>
      <c r="OGG61" s="608"/>
      <c r="OGH61" s="608"/>
      <c r="OGI61" s="608"/>
      <c r="OGJ61" s="608"/>
      <c r="OGK61" s="608"/>
      <c r="OGL61" s="608"/>
      <c r="OGM61" s="608"/>
      <c r="OGN61" s="608"/>
      <c r="OGO61" s="608"/>
      <c r="OGP61" s="608"/>
      <c r="OGQ61" s="608"/>
      <c r="OGR61" s="608"/>
      <c r="OGS61" s="608"/>
      <c r="OGT61" s="608"/>
      <c r="OGU61" s="608"/>
      <c r="OGV61" s="608"/>
      <c r="OGW61" s="608"/>
      <c r="OGX61" s="608"/>
      <c r="OGY61" s="608"/>
      <c r="OGZ61" s="608"/>
      <c r="OHA61" s="608"/>
      <c r="OHB61" s="608"/>
      <c r="OHC61" s="608"/>
      <c r="OHD61" s="608"/>
      <c r="OHE61" s="608"/>
      <c r="OHF61" s="608"/>
      <c r="OHG61" s="608"/>
      <c r="OHH61" s="608"/>
      <c r="OHI61" s="608"/>
      <c r="OHJ61" s="608"/>
      <c r="OHK61" s="608"/>
      <c r="OHL61" s="608"/>
      <c r="OHM61" s="608"/>
      <c r="OHN61" s="608"/>
      <c r="OHO61" s="608"/>
      <c r="OHP61" s="608"/>
      <c r="OHQ61" s="608"/>
      <c r="OHR61" s="608"/>
      <c r="OHS61" s="608"/>
      <c r="OHT61" s="608"/>
      <c r="OHU61" s="608"/>
      <c r="OHV61" s="608"/>
      <c r="OHW61" s="608"/>
      <c r="OHX61" s="608"/>
      <c r="OHY61" s="608"/>
      <c r="OHZ61" s="608"/>
      <c r="OIA61" s="608"/>
      <c r="OIB61" s="608"/>
      <c r="OIC61" s="608"/>
      <c r="OID61" s="608"/>
      <c r="OIE61" s="608"/>
      <c r="OIF61" s="608"/>
      <c r="OIG61" s="608"/>
      <c r="OIH61" s="608"/>
      <c r="OII61" s="608"/>
      <c r="OIJ61" s="608"/>
      <c r="OIK61" s="608"/>
      <c r="OIL61" s="608"/>
      <c r="OIM61" s="608"/>
      <c r="OIN61" s="608"/>
      <c r="OIO61" s="608"/>
      <c r="OIP61" s="608"/>
      <c r="OIQ61" s="608"/>
      <c r="OIR61" s="608"/>
      <c r="OIS61" s="608"/>
      <c r="OIT61" s="608"/>
      <c r="OIU61" s="608"/>
      <c r="OIV61" s="608"/>
      <c r="OIW61" s="608"/>
      <c r="OIX61" s="608"/>
      <c r="OIY61" s="608"/>
      <c r="OIZ61" s="608"/>
      <c r="OJA61" s="608"/>
      <c r="OJB61" s="608"/>
      <c r="OJC61" s="608"/>
      <c r="OJD61" s="608"/>
      <c r="OJE61" s="608"/>
      <c r="OJF61" s="608"/>
      <c r="OJG61" s="608"/>
      <c r="OJH61" s="608"/>
      <c r="OJI61" s="608"/>
      <c r="OJJ61" s="608"/>
      <c r="OJK61" s="608"/>
      <c r="OJL61" s="608"/>
      <c r="OJM61" s="608"/>
      <c r="OJN61" s="608"/>
      <c r="OJO61" s="608"/>
      <c r="OJP61" s="608"/>
      <c r="OJQ61" s="608"/>
      <c r="OJR61" s="608"/>
      <c r="OJS61" s="608"/>
      <c r="OJT61" s="608"/>
      <c r="OJU61" s="608"/>
      <c r="OJV61" s="608"/>
      <c r="OJW61" s="608"/>
      <c r="OJX61" s="608"/>
      <c r="OJY61" s="608"/>
      <c r="OJZ61" s="608"/>
      <c r="OKA61" s="608"/>
      <c r="OKB61" s="608"/>
      <c r="OKC61" s="608"/>
      <c r="OKD61" s="608"/>
      <c r="OKE61" s="608"/>
      <c r="OKF61" s="608"/>
      <c r="OKG61" s="608"/>
      <c r="OKH61" s="608"/>
      <c r="OKI61" s="608"/>
      <c r="OKJ61" s="608"/>
      <c r="OKK61" s="608"/>
      <c r="OKL61" s="608"/>
      <c r="OKM61" s="608"/>
      <c r="OKN61" s="608"/>
      <c r="OKO61" s="608"/>
      <c r="OKP61" s="608"/>
      <c r="OKQ61" s="608"/>
      <c r="OKR61" s="608"/>
      <c r="OKS61" s="608"/>
      <c r="OKT61" s="608"/>
      <c r="OKU61" s="608"/>
      <c r="OKV61" s="608"/>
      <c r="OKW61" s="608"/>
      <c r="OKX61" s="608"/>
      <c r="OKY61" s="608"/>
      <c r="OKZ61" s="608"/>
      <c r="OLA61" s="608"/>
      <c r="OLB61" s="608"/>
      <c r="OLC61" s="608"/>
      <c r="OLD61" s="608"/>
      <c r="OLE61" s="608"/>
      <c r="OLF61" s="608"/>
      <c r="OLG61" s="608"/>
      <c r="OLH61" s="608"/>
      <c r="OLI61" s="608"/>
      <c r="OLJ61" s="608"/>
      <c r="OLK61" s="608"/>
      <c r="OLL61" s="608"/>
      <c r="OLM61" s="608"/>
      <c r="OLN61" s="608"/>
      <c r="OLO61" s="608"/>
      <c r="OLP61" s="608"/>
      <c r="OLQ61" s="608"/>
      <c r="OLR61" s="608"/>
      <c r="OLS61" s="608"/>
      <c r="OLT61" s="608"/>
      <c r="OLU61" s="608"/>
      <c r="OLV61" s="608"/>
      <c r="OLW61" s="608"/>
      <c r="OLX61" s="608"/>
      <c r="OLY61" s="608"/>
      <c r="OLZ61" s="608"/>
      <c r="OMA61" s="608"/>
      <c r="OMB61" s="608"/>
      <c r="OMC61" s="608"/>
      <c r="OMD61" s="608"/>
      <c r="OME61" s="608"/>
      <c r="OMF61" s="608"/>
      <c r="OMG61" s="608"/>
      <c r="OMH61" s="608"/>
      <c r="OMI61" s="608"/>
      <c r="OMJ61" s="608"/>
      <c r="OMK61" s="608"/>
      <c r="OML61" s="608"/>
      <c r="OMM61" s="608"/>
      <c r="OMN61" s="608"/>
      <c r="OMO61" s="608"/>
      <c r="OMP61" s="608"/>
      <c r="OMQ61" s="608"/>
      <c r="OMR61" s="608"/>
      <c r="OMS61" s="608"/>
      <c r="OMT61" s="608"/>
      <c r="OMU61" s="608"/>
      <c r="OMV61" s="608"/>
      <c r="OMW61" s="608"/>
      <c r="OMX61" s="608"/>
      <c r="OMY61" s="608"/>
      <c r="OMZ61" s="608"/>
      <c r="ONA61" s="608"/>
      <c r="ONB61" s="608"/>
      <c r="ONC61" s="608"/>
      <c r="OND61" s="608"/>
      <c r="ONE61" s="608"/>
      <c r="ONF61" s="608"/>
      <c r="ONG61" s="608"/>
      <c r="ONH61" s="608"/>
      <c r="ONI61" s="608"/>
      <c r="ONJ61" s="608"/>
      <c r="ONK61" s="608"/>
      <c r="ONL61" s="608"/>
      <c r="ONM61" s="608"/>
      <c r="ONN61" s="608"/>
      <c r="ONO61" s="608"/>
      <c r="ONP61" s="608"/>
      <c r="ONQ61" s="608"/>
      <c r="ONR61" s="608"/>
      <c r="ONS61" s="608"/>
      <c r="ONT61" s="608"/>
      <c r="ONU61" s="608"/>
      <c r="ONV61" s="608"/>
      <c r="ONW61" s="608"/>
      <c r="ONX61" s="608"/>
      <c r="ONY61" s="608"/>
      <c r="ONZ61" s="608"/>
      <c r="OOA61" s="608"/>
      <c r="OOB61" s="608"/>
      <c r="OOC61" s="608"/>
      <c r="OOD61" s="608"/>
      <c r="OOE61" s="608"/>
      <c r="OOF61" s="608"/>
      <c r="OOG61" s="608"/>
      <c r="OOH61" s="608"/>
      <c r="OOI61" s="608"/>
      <c r="OOJ61" s="608"/>
      <c r="OOK61" s="608"/>
      <c r="OOL61" s="608"/>
      <c r="OOM61" s="608"/>
      <c r="OON61" s="608"/>
      <c r="OOO61" s="608"/>
      <c r="OOP61" s="608"/>
      <c r="OOQ61" s="608"/>
      <c r="OOR61" s="608"/>
      <c r="OOS61" s="608"/>
      <c r="OOT61" s="608"/>
      <c r="OOU61" s="608"/>
      <c r="OOV61" s="608"/>
      <c r="OOW61" s="608"/>
      <c r="OOX61" s="608"/>
      <c r="OOY61" s="608"/>
      <c r="OOZ61" s="608"/>
      <c r="OPA61" s="608"/>
      <c r="OPB61" s="608"/>
      <c r="OPC61" s="608"/>
      <c r="OPD61" s="608"/>
      <c r="OPE61" s="608"/>
      <c r="OPF61" s="608"/>
      <c r="OPG61" s="608"/>
      <c r="OPH61" s="608"/>
      <c r="OPI61" s="608"/>
      <c r="OPJ61" s="608"/>
      <c r="OPK61" s="608"/>
      <c r="OPL61" s="608"/>
      <c r="OPM61" s="608"/>
      <c r="OPN61" s="608"/>
      <c r="OPO61" s="608"/>
      <c r="OPP61" s="608"/>
      <c r="OPQ61" s="608"/>
      <c r="OPR61" s="608"/>
      <c r="OPS61" s="608"/>
      <c r="OPT61" s="608"/>
      <c r="OPU61" s="608"/>
      <c r="OPV61" s="608"/>
      <c r="OPW61" s="608"/>
      <c r="OPX61" s="608"/>
      <c r="OPY61" s="608"/>
      <c r="OPZ61" s="608"/>
      <c r="OQA61" s="608"/>
      <c r="OQB61" s="608"/>
      <c r="OQC61" s="608"/>
      <c r="OQD61" s="608"/>
      <c r="OQE61" s="608"/>
      <c r="OQF61" s="608"/>
      <c r="OQG61" s="608"/>
      <c r="OQH61" s="608"/>
      <c r="OQI61" s="608"/>
      <c r="OQJ61" s="608"/>
      <c r="OQK61" s="608"/>
      <c r="OQL61" s="608"/>
      <c r="OQM61" s="608"/>
      <c r="OQN61" s="608"/>
      <c r="OQO61" s="608"/>
      <c r="OQP61" s="608"/>
      <c r="OQQ61" s="608"/>
      <c r="OQR61" s="608"/>
      <c r="OQS61" s="608"/>
      <c r="OQT61" s="608"/>
      <c r="OQU61" s="608"/>
      <c r="OQV61" s="608"/>
      <c r="OQW61" s="608"/>
      <c r="OQX61" s="608"/>
      <c r="OQY61" s="608"/>
      <c r="OQZ61" s="608"/>
      <c r="ORA61" s="608"/>
      <c r="ORB61" s="608"/>
      <c r="ORC61" s="608"/>
      <c r="ORD61" s="608"/>
      <c r="ORE61" s="608"/>
      <c r="ORF61" s="608"/>
      <c r="ORG61" s="608"/>
      <c r="ORH61" s="608"/>
      <c r="ORI61" s="608"/>
      <c r="ORJ61" s="608"/>
      <c r="ORK61" s="608"/>
      <c r="ORL61" s="608"/>
      <c r="ORM61" s="608"/>
      <c r="ORN61" s="608"/>
      <c r="ORO61" s="608"/>
      <c r="ORP61" s="608"/>
      <c r="ORQ61" s="608"/>
      <c r="ORR61" s="608"/>
      <c r="ORS61" s="608"/>
      <c r="ORT61" s="608"/>
      <c r="ORU61" s="608"/>
      <c r="ORV61" s="608"/>
      <c r="ORW61" s="608"/>
      <c r="ORX61" s="608"/>
      <c r="ORY61" s="608"/>
      <c r="ORZ61" s="608"/>
      <c r="OSA61" s="608"/>
      <c r="OSB61" s="608"/>
      <c r="OSC61" s="608"/>
      <c r="OSD61" s="608"/>
      <c r="OSE61" s="608"/>
      <c r="OSF61" s="608"/>
      <c r="OSG61" s="608"/>
      <c r="OSH61" s="608"/>
      <c r="OSI61" s="608"/>
      <c r="OSJ61" s="608"/>
      <c r="OSK61" s="608"/>
      <c r="OSL61" s="608"/>
      <c r="OSM61" s="608"/>
      <c r="OSN61" s="608"/>
      <c r="OSO61" s="608"/>
      <c r="OSP61" s="608"/>
      <c r="OSQ61" s="608"/>
      <c r="OSR61" s="608"/>
      <c r="OSS61" s="608"/>
      <c r="OST61" s="608"/>
      <c r="OSU61" s="608"/>
      <c r="OSV61" s="608"/>
      <c r="OSW61" s="608"/>
      <c r="OSX61" s="608"/>
      <c r="OSY61" s="608"/>
      <c r="OSZ61" s="608"/>
      <c r="OTA61" s="608"/>
      <c r="OTB61" s="608"/>
      <c r="OTC61" s="608"/>
      <c r="OTD61" s="608"/>
      <c r="OTE61" s="608"/>
      <c r="OTF61" s="608"/>
      <c r="OTG61" s="608"/>
      <c r="OTH61" s="608"/>
      <c r="OTI61" s="608"/>
      <c r="OTJ61" s="608"/>
      <c r="OTK61" s="608"/>
      <c r="OTL61" s="608"/>
      <c r="OTM61" s="608"/>
      <c r="OTN61" s="608"/>
      <c r="OTO61" s="608"/>
      <c r="OTP61" s="608"/>
      <c r="OTQ61" s="608"/>
      <c r="OTR61" s="608"/>
      <c r="OTS61" s="608"/>
      <c r="OTT61" s="608"/>
      <c r="OTU61" s="608"/>
      <c r="OTV61" s="608"/>
      <c r="OTW61" s="608"/>
      <c r="OTX61" s="608"/>
      <c r="OTY61" s="608"/>
      <c r="OTZ61" s="608"/>
      <c r="OUA61" s="608"/>
      <c r="OUB61" s="608"/>
      <c r="OUC61" s="608"/>
      <c r="OUD61" s="608"/>
      <c r="OUE61" s="608"/>
      <c r="OUF61" s="608"/>
      <c r="OUG61" s="608"/>
      <c r="OUH61" s="608"/>
      <c r="OUI61" s="608"/>
      <c r="OUJ61" s="608"/>
      <c r="OUK61" s="608"/>
      <c r="OUL61" s="608"/>
      <c r="OUM61" s="608"/>
      <c r="OUN61" s="608"/>
      <c r="OUO61" s="608"/>
      <c r="OUP61" s="608"/>
      <c r="OUQ61" s="608"/>
      <c r="OUR61" s="608"/>
      <c r="OUS61" s="608"/>
      <c r="OUT61" s="608"/>
      <c r="OUU61" s="608"/>
      <c r="OUV61" s="608"/>
      <c r="OUW61" s="608"/>
      <c r="OUX61" s="608"/>
      <c r="OUY61" s="608"/>
      <c r="OUZ61" s="608"/>
      <c r="OVA61" s="608"/>
      <c r="OVB61" s="608"/>
      <c r="OVC61" s="608"/>
      <c r="OVD61" s="608"/>
      <c r="OVE61" s="608"/>
      <c r="OVF61" s="608"/>
      <c r="OVG61" s="608"/>
      <c r="OVH61" s="608"/>
      <c r="OVI61" s="608"/>
      <c r="OVJ61" s="608"/>
      <c r="OVK61" s="608"/>
      <c r="OVL61" s="608"/>
      <c r="OVM61" s="608"/>
      <c r="OVN61" s="608"/>
      <c r="OVO61" s="608"/>
      <c r="OVP61" s="608"/>
      <c r="OVQ61" s="608"/>
      <c r="OVR61" s="608"/>
      <c r="OVS61" s="608"/>
      <c r="OVT61" s="608"/>
      <c r="OVU61" s="608"/>
      <c r="OVV61" s="608"/>
      <c r="OVW61" s="608"/>
      <c r="OVX61" s="608"/>
      <c r="OVY61" s="608"/>
      <c r="OVZ61" s="608"/>
      <c r="OWA61" s="608"/>
      <c r="OWB61" s="608"/>
      <c r="OWC61" s="608"/>
      <c r="OWD61" s="608"/>
      <c r="OWE61" s="608"/>
      <c r="OWF61" s="608"/>
      <c r="OWG61" s="608"/>
      <c r="OWH61" s="608"/>
      <c r="OWI61" s="608"/>
      <c r="OWJ61" s="608"/>
      <c r="OWK61" s="608"/>
      <c r="OWL61" s="608"/>
      <c r="OWM61" s="608"/>
      <c r="OWN61" s="608"/>
      <c r="OWO61" s="608"/>
      <c r="OWP61" s="608"/>
      <c r="OWQ61" s="608"/>
      <c r="OWR61" s="608"/>
      <c r="OWS61" s="608"/>
      <c r="OWT61" s="608"/>
      <c r="OWU61" s="608"/>
      <c r="OWV61" s="608"/>
      <c r="OWW61" s="608"/>
      <c r="OWX61" s="608"/>
      <c r="OWY61" s="608"/>
      <c r="OWZ61" s="608"/>
      <c r="OXA61" s="608"/>
      <c r="OXB61" s="608"/>
      <c r="OXC61" s="608"/>
      <c r="OXD61" s="608"/>
      <c r="OXE61" s="608"/>
      <c r="OXF61" s="608"/>
      <c r="OXG61" s="608"/>
      <c r="OXH61" s="608"/>
      <c r="OXI61" s="608"/>
      <c r="OXJ61" s="608"/>
      <c r="OXK61" s="608"/>
      <c r="OXL61" s="608"/>
      <c r="OXM61" s="608"/>
      <c r="OXN61" s="608"/>
      <c r="OXO61" s="608"/>
      <c r="OXP61" s="608"/>
      <c r="OXQ61" s="608"/>
      <c r="OXR61" s="608"/>
      <c r="OXS61" s="608"/>
      <c r="OXT61" s="608"/>
      <c r="OXU61" s="608"/>
      <c r="OXV61" s="608"/>
      <c r="OXW61" s="608"/>
      <c r="OXX61" s="608"/>
      <c r="OXY61" s="608"/>
      <c r="OXZ61" s="608"/>
      <c r="OYA61" s="608"/>
      <c r="OYB61" s="608"/>
      <c r="OYC61" s="608"/>
      <c r="OYD61" s="608"/>
      <c r="OYE61" s="608"/>
      <c r="OYF61" s="608"/>
      <c r="OYG61" s="608"/>
      <c r="OYH61" s="608"/>
      <c r="OYI61" s="608"/>
      <c r="OYJ61" s="608"/>
      <c r="OYK61" s="608"/>
      <c r="OYL61" s="608"/>
      <c r="OYM61" s="608"/>
      <c r="OYN61" s="608"/>
      <c r="OYO61" s="608"/>
      <c r="OYP61" s="608"/>
      <c r="OYQ61" s="608"/>
      <c r="OYR61" s="608"/>
      <c r="OYS61" s="608"/>
      <c r="OYT61" s="608"/>
      <c r="OYU61" s="608"/>
      <c r="OYV61" s="608"/>
      <c r="OYW61" s="608"/>
      <c r="OYX61" s="608"/>
      <c r="OYY61" s="608"/>
      <c r="OYZ61" s="608"/>
      <c r="OZA61" s="608"/>
      <c r="OZB61" s="608"/>
      <c r="OZC61" s="608"/>
      <c r="OZD61" s="608"/>
      <c r="OZE61" s="608"/>
      <c r="OZF61" s="608"/>
      <c r="OZG61" s="608"/>
      <c r="OZH61" s="608"/>
      <c r="OZI61" s="608"/>
      <c r="OZJ61" s="608"/>
      <c r="OZK61" s="608"/>
      <c r="OZL61" s="608"/>
      <c r="OZM61" s="608"/>
      <c r="OZN61" s="608"/>
      <c r="OZO61" s="608"/>
      <c r="OZP61" s="608"/>
      <c r="OZQ61" s="608"/>
      <c r="OZR61" s="608"/>
      <c r="OZS61" s="608"/>
      <c r="OZT61" s="608"/>
      <c r="OZU61" s="608"/>
      <c r="OZV61" s="608"/>
      <c r="OZW61" s="608"/>
      <c r="OZX61" s="608"/>
      <c r="OZY61" s="608"/>
      <c r="OZZ61" s="608"/>
      <c r="PAA61" s="608"/>
      <c r="PAB61" s="608"/>
      <c r="PAC61" s="608"/>
      <c r="PAD61" s="608"/>
      <c r="PAE61" s="608"/>
      <c r="PAF61" s="608"/>
      <c r="PAG61" s="608"/>
      <c r="PAH61" s="608"/>
      <c r="PAI61" s="608"/>
      <c r="PAJ61" s="608"/>
      <c r="PAK61" s="608"/>
      <c r="PAL61" s="608"/>
      <c r="PAM61" s="608"/>
      <c r="PAN61" s="608"/>
      <c r="PAO61" s="608"/>
      <c r="PAP61" s="608"/>
      <c r="PAQ61" s="608"/>
      <c r="PAR61" s="608"/>
      <c r="PAS61" s="608"/>
      <c r="PAT61" s="608"/>
      <c r="PAU61" s="608"/>
      <c r="PAV61" s="608"/>
      <c r="PAW61" s="608"/>
      <c r="PAX61" s="608"/>
      <c r="PAY61" s="608"/>
      <c r="PAZ61" s="608"/>
      <c r="PBA61" s="608"/>
      <c r="PBB61" s="608"/>
      <c r="PBC61" s="608"/>
      <c r="PBD61" s="608"/>
      <c r="PBE61" s="608"/>
      <c r="PBF61" s="608"/>
      <c r="PBG61" s="608"/>
      <c r="PBH61" s="608"/>
      <c r="PBI61" s="608"/>
      <c r="PBJ61" s="608"/>
      <c r="PBK61" s="608"/>
      <c r="PBL61" s="608"/>
      <c r="PBM61" s="608"/>
      <c r="PBN61" s="608"/>
      <c r="PBO61" s="608"/>
      <c r="PBP61" s="608"/>
      <c r="PBQ61" s="608"/>
      <c r="PBR61" s="608"/>
      <c r="PBS61" s="608"/>
      <c r="PBT61" s="608"/>
      <c r="PBU61" s="608"/>
      <c r="PBV61" s="608"/>
      <c r="PBW61" s="608"/>
      <c r="PBX61" s="608"/>
      <c r="PBY61" s="608"/>
      <c r="PBZ61" s="608"/>
      <c r="PCA61" s="608"/>
      <c r="PCB61" s="608"/>
      <c r="PCC61" s="608"/>
      <c r="PCD61" s="608"/>
      <c r="PCE61" s="608"/>
      <c r="PCF61" s="608"/>
      <c r="PCG61" s="608"/>
      <c r="PCH61" s="608"/>
      <c r="PCI61" s="608"/>
      <c r="PCJ61" s="608"/>
      <c r="PCK61" s="608"/>
      <c r="PCL61" s="608"/>
      <c r="PCM61" s="608"/>
      <c r="PCN61" s="608"/>
      <c r="PCO61" s="608"/>
      <c r="PCP61" s="608"/>
      <c r="PCQ61" s="608"/>
      <c r="PCR61" s="608"/>
      <c r="PCS61" s="608"/>
      <c r="PCT61" s="608"/>
      <c r="PCU61" s="608"/>
      <c r="PCV61" s="608"/>
      <c r="PCW61" s="608"/>
      <c r="PCX61" s="608"/>
      <c r="PCY61" s="608"/>
      <c r="PCZ61" s="608"/>
      <c r="PDA61" s="608"/>
      <c r="PDB61" s="608"/>
      <c r="PDC61" s="608"/>
      <c r="PDD61" s="608"/>
      <c r="PDE61" s="608"/>
      <c r="PDF61" s="608"/>
      <c r="PDG61" s="608"/>
      <c r="PDH61" s="608"/>
      <c r="PDI61" s="608"/>
      <c r="PDJ61" s="608"/>
      <c r="PDK61" s="608"/>
      <c r="PDL61" s="608"/>
      <c r="PDM61" s="608"/>
      <c r="PDN61" s="608"/>
      <c r="PDO61" s="608"/>
      <c r="PDP61" s="608"/>
      <c r="PDQ61" s="608"/>
      <c r="PDR61" s="608"/>
      <c r="PDS61" s="608"/>
      <c r="PDT61" s="608"/>
      <c r="PDU61" s="608"/>
      <c r="PDV61" s="608"/>
      <c r="PDW61" s="608"/>
      <c r="PDX61" s="608"/>
      <c r="PDY61" s="608"/>
      <c r="PDZ61" s="608"/>
      <c r="PEA61" s="608"/>
      <c r="PEB61" s="608"/>
      <c r="PEC61" s="608"/>
      <c r="PED61" s="608"/>
      <c r="PEE61" s="608"/>
      <c r="PEF61" s="608"/>
      <c r="PEG61" s="608"/>
      <c r="PEH61" s="608"/>
      <c r="PEI61" s="608"/>
      <c r="PEJ61" s="608"/>
      <c r="PEK61" s="608"/>
      <c r="PEL61" s="608"/>
      <c r="PEM61" s="608"/>
      <c r="PEN61" s="608"/>
      <c r="PEO61" s="608"/>
      <c r="PEP61" s="608"/>
      <c r="PEQ61" s="608"/>
      <c r="PER61" s="608"/>
      <c r="PES61" s="608"/>
      <c r="PET61" s="608"/>
      <c r="PEU61" s="608"/>
      <c r="PEV61" s="608"/>
      <c r="PEW61" s="608"/>
      <c r="PEX61" s="608"/>
      <c r="PEY61" s="608"/>
      <c r="PEZ61" s="608"/>
      <c r="PFA61" s="608"/>
      <c r="PFB61" s="608"/>
      <c r="PFC61" s="608"/>
      <c r="PFD61" s="608"/>
      <c r="PFE61" s="608"/>
      <c r="PFF61" s="608"/>
      <c r="PFG61" s="608"/>
      <c r="PFH61" s="608"/>
      <c r="PFI61" s="608"/>
      <c r="PFJ61" s="608"/>
      <c r="PFK61" s="608"/>
      <c r="PFL61" s="608"/>
      <c r="PFM61" s="608"/>
      <c r="PFN61" s="608"/>
      <c r="PFO61" s="608"/>
      <c r="PFP61" s="608"/>
      <c r="PFQ61" s="608"/>
      <c r="PFR61" s="608"/>
      <c r="PFS61" s="608"/>
      <c r="PFT61" s="608"/>
      <c r="PFU61" s="608"/>
      <c r="PFV61" s="608"/>
      <c r="PFW61" s="608"/>
      <c r="PFX61" s="608"/>
      <c r="PFY61" s="608"/>
      <c r="PFZ61" s="608"/>
      <c r="PGA61" s="608"/>
      <c r="PGB61" s="608"/>
      <c r="PGC61" s="608"/>
      <c r="PGD61" s="608"/>
      <c r="PGE61" s="608"/>
      <c r="PGF61" s="608"/>
      <c r="PGG61" s="608"/>
      <c r="PGH61" s="608"/>
      <c r="PGI61" s="608"/>
      <c r="PGJ61" s="608"/>
      <c r="PGK61" s="608"/>
      <c r="PGL61" s="608"/>
      <c r="PGM61" s="608"/>
      <c r="PGN61" s="608"/>
      <c r="PGO61" s="608"/>
      <c r="PGP61" s="608"/>
      <c r="PGQ61" s="608"/>
      <c r="PGR61" s="608"/>
      <c r="PGS61" s="608"/>
      <c r="PGT61" s="608"/>
      <c r="PGU61" s="608"/>
      <c r="PGV61" s="608"/>
      <c r="PGW61" s="608"/>
      <c r="PGX61" s="608"/>
      <c r="PGY61" s="608"/>
      <c r="PGZ61" s="608"/>
      <c r="PHA61" s="608"/>
      <c r="PHB61" s="608"/>
      <c r="PHC61" s="608"/>
      <c r="PHD61" s="608"/>
      <c r="PHE61" s="608"/>
      <c r="PHF61" s="608"/>
      <c r="PHG61" s="608"/>
      <c r="PHH61" s="608"/>
      <c r="PHI61" s="608"/>
      <c r="PHJ61" s="608"/>
      <c r="PHK61" s="608"/>
      <c r="PHL61" s="608"/>
      <c r="PHM61" s="608"/>
      <c r="PHN61" s="608"/>
      <c r="PHO61" s="608"/>
      <c r="PHP61" s="608"/>
      <c r="PHQ61" s="608"/>
      <c r="PHR61" s="608"/>
      <c r="PHS61" s="608"/>
      <c r="PHT61" s="608"/>
      <c r="PHU61" s="608"/>
      <c r="PHV61" s="608"/>
      <c r="PHW61" s="608"/>
      <c r="PHX61" s="608"/>
      <c r="PHY61" s="608"/>
      <c r="PHZ61" s="608"/>
      <c r="PIA61" s="608"/>
      <c r="PIB61" s="608"/>
      <c r="PIC61" s="608"/>
      <c r="PID61" s="608"/>
      <c r="PIE61" s="608"/>
      <c r="PIF61" s="608"/>
      <c r="PIG61" s="608"/>
      <c r="PIH61" s="608"/>
      <c r="PII61" s="608"/>
      <c r="PIJ61" s="608"/>
      <c r="PIK61" s="608"/>
      <c r="PIL61" s="608"/>
      <c r="PIM61" s="608"/>
      <c r="PIN61" s="608"/>
      <c r="PIO61" s="608"/>
      <c r="PIP61" s="608"/>
      <c r="PIQ61" s="608"/>
      <c r="PIR61" s="608"/>
      <c r="PIS61" s="608"/>
      <c r="PIT61" s="608"/>
      <c r="PIU61" s="608"/>
      <c r="PIV61" s="608"/>
      <c r="PIW61" s="608"/>
      <c r="PIX61" s="608"/>
      <c r="PIY61" s="608"/>
      <c r="PIZ61" s="608"/>
      <c r="PJA61" s="608"/>
      <c r="PJB61" s="608"/>
      <c r="PJC61" s="608"/>
      <c r="PJD61" s="608"/>
      <c r="PJE61" s="608"/>
      <c r="PJF61" s="608"/>
      <c r="PJG61" s="608"/>
      <c r="PJH61" s="608"/>
      <c r="PJI61" s="608"/>
      <c r="PJJ61" s="608"/>
      <c r="PJK61" s="608"/>
      <c r="PJL61" s="608"/>
      <c r="PJM61" s="608"/>
      <c r="PJN61" s="608"/>
      <c r="PJO61" s="608"/>
      <c r="PJP61" s="608"/>
      <c r="PJQ61" s="608"/>
      <c r="PJR61" s="608"/>
      <c r="PJS61" s="608"/>
      <c r="PJT61" s="608"/>
      <c r="PJU61" s="608"/>
      <c r="PJV61" s="608"/>
      <c r="PJW61" s="608"/>
      <c r="PJX61" s="608"/>
      <c r="PJY61" s="608"/>
      <c r="PJZ61" s="608"/>
      <c r="PKA61" s="608"/>
      <c r="PKB61" s="608"/>
      <c r="PKC61" s="608"/>
      <c r="PKD61" s="608"/>
      <c r="PKE61" s="608"/>
      <c r="PKF61" s="608"/>
      <c r="PKG61" s="608"/>
      <c r="PKH61" s="608"/>
      <c r="PKI61" s="608"/>
      <c r="PKJ61" s="608"/>
      <c r="PKK61" s="608"/>
      <c r="PKL61" s="608"/>
      <c r="PKM61" s="608"/>
      <c r="PKN61" s="608"/>
      <c r="PKO61" s="608"/>
      <c r="PKP61" s="608"/>
      <c r="PKQ61" s="608"/>
      <c r="PKR61" s="608"/>
      <c r="PKS61" s="608"/>
      <c r="PKT61" s="608"/>
      <c r="PKU61" s="608"/>
      <c r="PKV61" s="608"/>
      <c r="PKW61" s="608"/>
      <c r="PKX61" s="608"/>
      <c r="PKY61" s="608"/>
      <c r="PKZ61" s="608"/>
      <c r="PLA61" s="608"/>
      <c r="PLB61" s="608"/>
      <c r="PLC61" s="608"/>
      <c r="PLD61" s="608"/>
      <c r="PLE61" s="608"/>
      <c r="PLF61" s="608"/>
      <c r="PLG61" s="608"/>
      <c r="PLH61" s="608"/>
      <c r="PLI61" s="608"/>
      <c r="PLJ61" s="608"/>
      <c r="PLK61" s="608"/>
      <c r="PLL61" s="608"/>
      <c r="PLM61" s="608"/>
      <c r="PLN61" s="608"/>
      <c r="PLO61" s="608"/>
      <c r="PLP61" s="608"/>
      <c r="PLQ61" s="608"/>
      <c r="PLR61" s="608"/>
      <c r="PLS61" s="608"/>
      <c r="PLT61" s="608"/>
      <c r="PLU61" s="608"/>
      <c r="PLV61" s="608"/>
      <c r="PLW61" s="608"/>
      <c r="PLX61" s="608"/>
      <c r="PLY61" s="608"/>
      <c r="PLZ61" s="608"/>
      <c r="PMA61" s="608"/>
      <c r="PMB61" s="608"/>
      <c r="PMC61" s="608"/>
      <c r="PMD61" s="608"/>
      <c r="PME61" s="608"/>
      <c r="PMF61" s="608"/>
      <c r="PMG61" s="608"/>
      <c r="PMH61" s="608"/>
      <c r="PMI61" s="608"/>
      <c r="PMJ61" s="608"/>
      <c r="PMK61" s="608"/>
      <c r="PML61" s="608"/>
      <c r="PMM61" s="608"/>
      <c r="PMN61" s="608"/>
      <c r="PMO61" s="608"/>
      <c r="PMP61" s="608"/>
      <c r="PMQ61" s="608"/>
      <c r="PMR61" s="608"/>
      <c r="PMS61" s="608"/>
      <c r="PMT61" s="608"/>
      <c r="PMU61" s="608"/>
      <c r="PMV61" s="608"/>
      <c r="PMW61" s="608"/>
      <c r="PMX61" s="608"/>
      <c r="PMY61" s="608"/>
      <c r="PMZ61" s="608"/>
      <c r="PNA61" s="608"/>
      <c r="PNB61" s="608"/>
      <c r="PNC61" s="608"/>
      <c r="PND61" s="608"/>
      <c r="PNE61" s="608"/>
      <c r="PNF61" s="608"/>
      <c r="PNG61" s="608"/>
      <c r="PNH61" s="608"/>
      <c r="PNI61" s="608"/>
      <c r="PNJ61" s="608"/>
      <c r="PNK61" s="608"/>
      <c r="PNL61" s="608"/>
      <c r="PNM61" s="608"/>
      <c r="PNN61" s="608"/>
      <c r="PNO61" s="608"/>
      <c r="PNP61" s="608"/>
      <c r="PNQ61" s="608"/>
      <c r="PNR61" s="608"/>
      <c r="PNS61" s="608"/>
      <c r="PNT61" s="608"/>
      <c r="PNU61" s="608"/>
      <c r="PNV61" s="608"/>
      <c r="PNW61" s="608"/>
      <c r="PNX61" s="608"/>
      <c r="PNY61" s="608"/>
      <c r="PNZ61" s="608"/>
      <c r="POA61" s="608"/>
      <c r="POB61" s="608"/>
      <c r="POC61" s="608"/>
      <c r="POD61" s="608"/>
      <c r="POE61" s="608"/>
      <c r="POF61" s="608"/>
      <c r="POG61" s="608"/>
      <c r="POH61" s="608"/>
      <c r="POI61" s="608"/>
      <c r="POJ61" s="608"/>
      <c r="POK61" s="608"/>
      <c r="POL61" s="608"/>
      <c r="POM61" s="608"/>
      <c r="PON61" s="608"/>
      <c r="POO61" s="608"/>
      <c r="POP61" s="608"/>
      <c r="POQ61" s="608"/>
      <c r="POR61" s="608"/>
      <c r="POS61" s="608"/>
      <c r="POT61" s="608"/>
      <c r="POU61" s="608"/>
      <c r="POV61" s="608"/>
      <c r="POW61" s="608"/>
      <c r="POX61" s="608"/>
      <c r="POY61" s="608"/>
      <c r="POZ61" s="608"/>
      <c r="PPA61" s="608"/>
      <c r="PPB61" s="608"/>
      <c r="PPC61" s="608"/>
      <c r="PPD61" s="608"/>
      <c r="PPE61" s="608"/>
      <c r="PPF61" s="608"/>
      <c r="PPG61" s="608"/>
      <c r="PPH61" s="608"/>
      <c r="PPI61" s="608"/>
      <c r="PPJ61" s="608"/>
      <c r="PPK61" s="608"/>
      <c r="PPL61" s="608"/>
      <c r="PPM61" s="608"/>
      <c r="PPN61" s="608"/>
      <c r="PPO61" s="608"/>
      <c r="PPP61" s="608"/>
      <c r="PPQ61" s="608"/>
      <c r="PPR61" s="608"/>
      <c r="PPS61" s="608"/>
      <c r="PPT61" s="608"/>
      <c r="PPU61" s="608"/>
      <c r="PPV61" s="608"/>
      <c r="PPW61" s="608"/>
      <c r="PPX61" s="608"/>
      <c r="PPY61" s="608"/>
      <c r="PPZ61" s="608"/>
      <c r="PQA61" s="608"/>
      <c r="PQB61" s="608"/>
      <c r="PQC61" s="608"/>
      <c r="PQD61" s="608"/>
      <c r="PQE61" s="608"/>
      <c r="PQF61" s="608"/>
      <c r="PQG61" s="608"/>
      <c r="PQH61" s="608"/>
      <c r="PQI61" s="608"/>
      <c r="PQJ61" s="608"/>
      <c r="PQK61" s="608"/>
      <c r="PQL61" s="608"/>
      <c r="PQM61" s="608"/>
      <c r="PQN61" s="608"/>
      <c r="PQO61" s="608"/>
      <c r="PQP61" s="608"/>
      <c r="PQQ61" s="608"/>
      <c r="PQR61" s="608"/>
      <c r="PQS61" s="608"/>
      <c r="PQT61" s="608"/>
      <c r="PQU61" s="608"/>
      <c r="PQV61" s="608"/>
      <c r="PQW61" s="608"/>
      <c r="PQX61" s="608"/>
      <c r="PQY61" s="608"/>
      <c r="PQZ61" s="608"/>
      <c r="PRA61" s="608"/>
      <c r="PRB61" s="608"/>
      <c r="PRC61" s="608"/>
      <c r="PRD61" s="608"/>
      <c r="PRE61" s="608"/>
      <c r="PRF61" s="608"/>
      <c r="PRG61" s="608"/>
      <c r="PRH61" s="608"/>
      <c r="PRI61" s="608"/>
      <c r="PRJ61" s="608"/>
      <c r="PRK61" s="608"/>
      <c r="PRL61" s="608"/>
      <c r="PRM61" s="608"/>
      <c r="PRN61" s="608"/>
      <c r="PRO61" s="608"/>
      <c r="PRP61" s="608"/>
      <c r="PRQ61" s="608"/>
      <c r="PRR61" s="608"/>
      <c r="PRS61" s="608"/>
      <c r="PRT61" s="608"/>
      <c r="PRU61" s="608"/>
      <c r="PRV61" s="608"/>
      <c r="PRW61" s="608"/>
      <c r="PRX61" s="608"/>
      <c r="PRY61" s="608"/>
      <c r="PRZ61" s="608"/>
      <c r="PSA61" s="608"/>
      <c r="PSB61" s="608"/>
      <c r="PSC61" s="608"/>
      <c r="PSD61" s="608"/>
      <c r="PSE61" s="608"/>
      <c r="PSF61" s="608"/>
      <c r="PSG61" s="608"/>
      <c r="PSH61" s="608"/>
      <c r="PSI61" s="608"/>
      <c r="PSJ61" s="608"/>
      <c r="PSK61" s="608"/>
      <c r="PSL61" s="608"/>
      <c r="PSM61" s="608"/>
      <c r="PSN61" s="608"/>
      <c r="PSO61" s="608"/>
      <c r="PSP61" s="608"/>
      <c r="PSQ61" s="608"/>
      <c r="PSR61" s="608"/>
      <c r="PSS61" s="608"/>
      <c r="PST61" s="608"/>
      <c r="PSU61" s="608"/>
      <c r="PSV61" s="608"/>
      <c r="PSW61" s="608"/>
      <c r="PSX61" s="608"/>
      <c r="PSY61" s="608"/>
      <c r="PSZ61" s="608"/>
      <c r="PTA61" s="608"/>
      <c r="PTB61" s="608"/>
      <c r="PTC61" s="608"/>
      <c r="PTD61" s="608"/>
      <c r="PTE61" s="608"/>
      <c r="PTF61" s="608"/>
      <c r="PTG61" s="608"/>
      <c r="PTH61" s="608"/>
      <c r="PTI61" s="608"/>
      <c r="PTJ61" s="608"/>
      <c r="PTK61" s="608"/>
      <c r="PTL61" s="608"/>
      <c r="PTM61" s="608"/>
      <c r="PTN61" s="608"/>
      <c r="PTO61" s="608"/>
      <c r="PTP61" s="608"/>
      <c r="PTQ61" s="608"/>
      <c r="PTR61" s="608"/>
      <c r="PTS61" s="608"/>
      <c r="PTT61" s="608"/>
      <c r="PTU61" s="608"/>
      <c r="PTV61" s="608"/>
      <c r="PTW61" s="608"/>
      <c r="PTX61" s="608"/>
      <c r="PTY61" s="608"/>
      <c r="PTZ61" s="608"/>
      <c r="PUA61" s="608"/>
      <c r="PUB61" s="608"/>
      <c r="PUC61" s="608"/>
      <c r="PUD61" s="608"/>
      <c r="PUE61" s="608"/>
      <c r="PUF61" s="608"/>
      <c r="PUG61" s="608"/>
      <c r="PUH61" s="608"/>
      <c r="PUI61" s="608"/>
      <c r="PUJ61" s="608"/>
      <c r="PUK61" s="608"/>
      <c r="PUL61" s="608"/>
      <c r="PUM61" s="608"/>
      <c r="PUN61" s="608"/>
      <c r="PUO61" s="608"/>
      <c r="PUP61" s="608"/>
      <c r="PUQ61" s="608"/>
      <c r="PUR61" s="608"/>
      <c r="PUS61" s="608"/>
      <c r="PUT61" s="608"/>
      <c r="PUU61" s="608"/>
      <c r="PUV61" s="608"/>
      <c r="PUW61" s="608"/>
      <c r="PUX61" s="608"/>
      <c r="PUY61" s="608"/>
      <c r="PUZ61" s="608"/>
      <c r="PVA61" s="608"/>
      <c r="PVB61" s="608"/>
      <c r="PVC61" s="608"/>
      <c r="PVD61" s="608"/>
      <c r="PVE61" s="608"/>
      <c r="PVF61" s="608"/>
      <c r="PVG61" s="608"/>
      <c r="PVH61" s="608"/>
      <c r="PVI61" s="608"/>
      <c r="PVJ61" s="608"/>
      <c r="PVK61" s="608"/>
      <c r="PVL61" s="608"/>
      <c r="PVM61" s="608"/>
      <c r="PVN61" s="608"/>
      <c r="PVO61" s="608"/>
      <c r="PVP61" s="608"/>
      <c r="PVQ61" s="608"/>
      <c r="PVR61" s="608"/>
      <c r="PVS61" s="608"/>
      <c r="PVT61" s="608"/>
      <c r="PVU61" s="608"/>
      <c r="PVV61" s="608"/>
      <c r="PVW61" s="608"/>
      <c r="PVX61" s="608"/>
      <c r="PVY61" s="608"/>
      <c r="PVZ61" s="608"/>
      <c r="PWA61" s="608"/>
      <c r="PWB61" s="608"/>
      <c r="PWC61" s="608"/>
      <c r="PWD61" s="608"/>
      <c r="PWE61" s="608"/>
      <c r="PWF61" s="608"/>
      <c r="PWG61" s="608"/>
      <c r="PWH61" s="608"/>
      <c r="PWI61" s="608"/>
      <c r="PWJ61" s="608"/>
      <c r="PWK61" s="608"/>
      <c r="PWL61" s="608"/>
      <c r="PWM61" s="608"/>
      <c r="PWN61" s="608"/>
      <c r="PWO61" s="608"/>
      <c r="PWP61" s="608"/>
      <c r="PWQ61" s="608"/>
      <c r="PWR61" s="608"/>
      <c r="PWS61" s="608"/>
      <c r="PWT61" s="608"/>
      <c r="PWU61" s="608"/>
      <c r="PWV61" s="608"/>
      <c r="PWW61" s="608"/>
      <c r="PWX61" s="608"/>
      <c r="PWY61" s="608"/>
      <c r="PWZ61" s="608"/>
      <c r="PXA61" s="608"/>
      <c r="PXB61" s="608"/>
      <c r="PXC61" s="608"/>
      <c r="PXD61" s="608"/>
      <c r="PXE61" s="608"/>
      <c r="PXF61" s="608"/>
      <c r="PXG61" s="608"/>
      <c r="PXH61" s="608"/>
      <c r="PXI61" s="608"/>
      <c r="PXJ61" s="608"/>
      <c r="PXK61" s="608"/>
      <c r="PXL61" s="608"/>
      <c r="PXM61" s="608"/>
      <c r="PXN61" s="608"/>
      <c r="PXO61" s="608"/>
      <c r="PXP61" s="608"/>
      <c r="PXQ61" s="608"/>
      <c r="PXR61" s="608"/>
      <c r="PXS61" s="608"/>
      <c r="PXT61" s="608"/>
      <c r="PXU61" s="608"/>
      <c r="PXV61" s="608"/>
      <c r="PXW61" s="608"/>
      <c r="PXX61" s="608"/>
      <c r="PXY61" s="608"/>
      <c r="PXZ61" s="608"/>
      <c r="PYA61" s="608"/>
      <c r="PYB61" s="608"/>
      <c r="PYC61" s="608"/>
      <c r="PYD61" s="608"/>
      <c r="PYE61" s="608"/>
      <c r="PYF61" s="608"/>
      <c r="PYG61" s="608"/>
      <c r="PYH61" s="608"/>
      <c r="PYI61" s="608"/>
      <c r="PYJ61" s="608"/>
      <c r="PYK61" s="608"/>
      <c r="PYL61" s="608"/>
      <c r="PYM61" s="608"/>
      <c r="PYN61" s="608"/>
      <c r="PYO61" s="608"/>
      <c r="PYP61" s="608"/>
      <c r="PYQ61" s="608"/>
      <c r="PYR61" s="608"/>
      <c r="PYS61" s="608"/>
      <c r="PYT61" s="608"/>
      <c r="PYU61" s="608"/>
      <c r="PYV61" s="608"/>
      <c r="PYW61" s="608"/>
      <c r="PYX61" s="608"/>
      <c r="PYY61" s="608"/>
      <c r="PYZ61" s="608"/>
      <c r="PZA61" s="608"/>
      <c r="PZB61" s="608"/>
      <c r="PZC61" s="608"/>
      <c r="PZD61" s="608"/>
      <c r="PZE61" s="608"/>
      <c r="PZF61" s="608"/>
      <c r="PZG61" s="608"/>
      <c r="PZH61" s="608"/>
      <c r="PZI61" s="608"/>
      <c r="PZJ61" s="608"/>
      <c r="PZK61" s="608"/>
      <c r="PZL61" s="608"/>
      <c r="PZM61" s="608"/>
      <c r="PZN61" s="608"/>
      <c r="PZO61" s="608"/>
      <c r="PZP61" s="608"/>
      <c r="PZQ61" s="608"/>
      <c r="PZR61" s="608"/>
      <c r="PZS61" s="608"/>
      <c r="PZT61" s="608"/>
      <c r="PZU61" s="608"/>
      <c r="PZV61" s="608"/>
      <c r="PZW61" s="608"/>
      <c r="PZX61" s="608"/>
      <c r="PZY61" s="608"/>
      <c r="PZZ61" s="608"/>
      <c r="QAA61" s="608"/>
      <c r="QAB61" s="608"/>
      <c r="QAC61" s="608"/>
      <c r="QAD61" s="608"/>
      <c r="QAE61" s="608"/>
      <c r="QAF61" s="608"/>
      <c r="QAG61" s="608"/>
      <c r="QAH61" s="608"/>
      <c r="QAI61" s="608"/>
      <c r="QAJ61" s="608"/>
      <c r="QAK61" s="608"/>
      <c r="QAL61" s="608"/>
      <c r="QAM61" s="608"/>
      <c r="QAN61" s="608"/>
      <c r="QAO61" s="608"/>
      <c r="QAP61" s="608"/>
      <c r="QAQ61" s="608"/>
      <c r="QAR61" s="608"/>
      <c r="QAS61" s="608"/>
      <c r="QAT61" s="608"/>
      <c r="QAU61" s="608"/>
      <c r="QAV61" s="608"/>
      <c r="QAW61" s="608"/>
      <c r="QAX61" s="608"/>
      <c r="QAY61" s="608"/>
      <c r="QAZ61" s="608"/>
      <c r="QBA61" s="608"/>
      <c r="QBB61" s="608"/>
      <c r="QBC61" s="608"/>
      <c r="QBD61" s="608"/>
      <c r="QBE61" s="608"/>
      <c r="QBF61" s="608"/>
      <c r="QBG61" s="608"/>
      <c r="QBH61" s="608"/>
      <c r="QBI61" s="608"/>
      <c r="QBJ61" s="608"/>
      <c r="QBK61" s="608"/>
      <c r="QBL61" s="608"/>
      <c r="QBM61" s="608"/>
      <c r="QBN61" s="608"/>
      <c r="QBO61" s="608"/>
      <c r="QBP61" s="608"/>
      <c r="QBQ61" s="608"/>
      <c r="QBR61" s="608"/>
      <c r="QBS61" s="608"/>
      <c r="QBT61" s="608"/>
      <c r="QBU61" s="608"/>
      <c r="QBV61" s="608"/>
      <c r="QBW61" s="608"/>
      <c r="QBX61" s="608"/>
      <c r="QBY61" s="608"/>
      <c r="QBZ61" s="608"/>
      <c r="QCA61" s="608"/>
      <c r="QCB61" s="608"/>
      <c r="QCC61" s="608"/>
      <c r="QCD61" s="608"/>
      <c r="QCE61" s="608"/>
      <c r="QCF61" s="608"/>
      <c r="QCG61" s="608"/>
      <c r="QCH61" s="608"/>
      <c r="QCI61" s="608"/>
      <c r="QCJ61" s="608"/>
      <c r="QCK61" s="608"/>
      <c r="QCL61" s="608"/>
      <c r="QCM61" s="608"/>
      <c r="QCN61" s="608"/>
      <c r="QCO61" s="608"/>
      <c r="QCP61" s="608"/>
      <c r="QCQ61" s="608"/>
      <c r="QCR61" s="608"/>
      <c r="QCS61" s="608"/>
      <c r="QCT61" s="608"/>
      <c r="QCU61" s="608"/>
      <c r="QCV61" s="608"/>
      <c r="QCW61" s="608"/>
      <c r="QCX61" s="608"/>
      <c r="QCY61" s="608"/>
      <c r="QCZ61" s="608"/>
      <c r="QDA61" s="608"/>
      <c r="QDB61" s="608"/>
      <c r="QDC61" s="608"/>
      <c r="QDD61" s="608"/>
      <c r="QDE61" s="608"/>
      <c r="QDF61" s="608"/>
      <c r="QDG61" s="608"/>
      <c r="QDH61" s="608"/>
      <c r="QDI61" s="608"/>
      <c r="QDJ61" s="608"/>
      <c r="QDK61" s="608"/>
      <c r="QDL61" s="608"/>
      <c r="QDM61" s="608"/>
      <c r="QDN61" s="608"/>
      <c r="QDO61" s="608"/>
      <c r="QDP61" s="608"/>
      <c r="QDQ61" s="608"/>
      <c r="QDR61" s="608"/>
      <c r="QDS61" s="608"/>
      <c r="QDT61" s="608"/>
      <c r="QDU61" s="608"/>
      <c r="QDV61" s="608"/>
      <c r="QDW61" s="608"/>
      <c r="QDX61" s="608"/>
      <c r="QDY61" s="608"/>
      <c r="QDZ61" s="608"/>
      <c r="QEA61" s="608"/>
      <c r="QEB61" s="608"/>
      <c r="QEC61" s="608"/>
      <c r="QED61" s="608"/>
      <c r="QEE61" s="608"/>
      <c r="QEF61" s="608"/>
      <c r="QEG61" s="608"/>
      <c r="QEH61" s="608"/>
      <c r="QEI61" s="608"/>
      <c r="QEJ61" s="608"/>
      <c r="QEK61" s="608"/>
      <c r="QEL61" s="608"/>
      <c r="QEM61" s="608"/>
      <c r="QEN61" s="608"/>
      <c r="QEO61" s="608"/>
      <c r="QEP61" s="608"/>
      <c r="QEQ61" s="608"/>
      <c r="QER61" s="608"/>
      <c r="QES61" s="608"/>
      <c r="QET61" s="608"/>
      <c r="QEU61" s="608"/>
      <c r="QEV61" s="608"/>
      <c r="QEW61" s="608"/>
      <c r="QEX61" s="608"/>
      <c r="QEY61" s="608"/>
      <c r="QEZ61" s="608"/>
      <c r="QFA61" s="608"/>
      <c r="QFB61" s="608"/>
      <c r="QFC61" s="608"/>
      <c r="QFD61" s="608"/>
      <c r="QFE61" s="608"/>
      <c r="QFF61" s="608"/>
      <c r="QFG61" s="608"/>
      <c r="QFH61" s="608"/>
      <c r="QFI61" s="608"/>
      <c r="QFJ61" s="608"/>
      <c r="QFK61" s="608"/>
      <c r="QFL61" s="608"/>
      <c r="QFM61" s="608"/>
      <c r="QFN61" s="608"/>
      <c r="QFO61" s="608"/>
      <c r="QFP61" s="608"/>
      <c r="QFQ61" s="608"/>
      <c r="QFR61" s="608"/>
      <c r="QFS61" s="608"/>
      <c r="QFT61" s="608"/>
      <c r="QFU61" s="608"/>
      <c r="QFV61" s="608"/>
      <c r="QFW61" s="608"/>
      <c r="QFX61" s="608"/>
      <c r="QFY61" s="608"/>
      <c r="QFZ61" s="608"/>
      <c r="QGA61" s="608"/>
      <c r="QGB61" s="608"/>
      <c r="QGC61" s="608"/>
      <c r="QGD61" s="608"/>
      <c r="QGE61" s="608"/>
      <c r="QGF61" s="608"/>
      <c r="QGG61" s="608"/>
      <c r="QGH61" s="608"/>
      <c r="QGI61" s="608"/>
      <c r="QGJ61" s="608"/>
      <c r="QGK61" s="608"/>
      <c r="QGL61" s="608"/>
      <c r="QGM61" s="608"/>
      <c r="QGN61" s="608"/>
      <c r="QGO61" s="608"/>
      <c r="QGP61" s="608"/>
      <c r="QGQ61" s="608"/>
      <c r="QGR61" s="608"/>
      <c r="QGS61" s="608"/>
      <c r="QGT61" s="608"/>
      <c r="QGU61" s="608"/>
      <c r="QGV61" s="608"/>
      <c r="QGW61" s="608"/>
      <c r="QGX61" s="608"/>
      <c r="QGY61" s="608"/>
      <c r="QGZ61" s="608"/>
      <c r="QHA61" s="608"/>
      <c r="QHB61" s="608"/>
      <c r="QHC61" s="608"/>
      <c r="QHD61" s="608"/>
      <c r="QHE61" s="608"/>
      <c r="QHF61" s="608"/>
      <c r="QHG61" s="608"/>
      <c r="QHH61" s="608"/>
      <c r="QHI61" s="608"/>
      <c r="QHJ61" s="608"/>
      <c r="QHK61" s="608"/>
      <c r="QHL61" s="608"/>
      <c r="QHM61" s="608"/>
      <c r="QHN61" s="608"/>
      <c r="QHO61" s="608"/>
      <c r="QHP61" s="608"/>
      <c r="QHQ61" s="608"/>
      <c r="QHR61" s="608"/>
      <c r="QHS61" s="608"/>
      <c r="QHT61" s="608"/>
      <c r="QHU61" s="608"/>
      <c r="QHV61" s="608"/>
      <c r="QHW61" s="608"/>
      <c r="QHX61" s="608"/>
      <c r="QHY61" s="608"/>
      <c r="QHZ61" s="608"/>
      <c r="QIA61" s="608"/>
      <c r="QIB61" s="608"/>
      <c r="QIC61" s="608"/>
      <c r="QID61" s="608"/>
      <c r="QIE61" s="608"/>
      <c r="QIF61" s="608"/>
      <c r="QIG61" s="608"/>
      <c r="QIH61" s="608"/>
      <c r="QII61" s="608"/>
      <c r="QIJ61" s="608"/>
      <c r="QIK61" s="608"/>
      <c r="QIL61" s="608"/>
      <c r="QIM61" s="608"/>
      <c r="QIN61" s="608"/>
      <c r="QIO61" s="608"/>
      <c r="QIP61" s="608"/>
      <c r="QIQ61" s="608"/>
      <c r="QIR61" s="608"/>
      <c r="QIS61" s="608"/>
      <c r="QIT61" s="608"/>
      <c r="QIU61" s="608"/>
      <c r="QIV61" s="608"/>
      <c r="QIW61" s="608"/>
      <c r="QIX61" s="608"/>
      <c r="QIY61" s="608"/>
      <c r="QIZ61" s="608"/>
      <c r="QJA61" s="608"/>
      <c r="QJB61" s="608"/>
      <c r="QJC61" s="608"/>
      <c r="QJD61" s="608"/>
      <c r="QJE61" s="608"/>
      <c r="QJF61" s="608"/>
      <c r="QJG61" s="608"/>
      <c r="QJH61" s="608"/>
      <c r="QJI61" s="608"/>
      <c r="QJJ61" s="608"/>
      <c r="QJK61" s="608"/>
      <c r="QJL61" s="608"/>
      <c r="QJM61" s="608"/>
      <c r="QJN61" s="608"/>
      <c r="QJO61" s="608"/>
      <c r="QJP61" s="608"/>
      <c r="QJQ61" s="608"/>
      <c r="QJR61" s="608"/>
      <c r="QJS61" s="608"/>
      <c r="QJT61" s="608"/>
      <c r="QJU61" s="608"/>
      <c r="QJV61" s="608"/>
      <c r="QJW61" s="608"/>
      <c r="QJX61" s="608"/>
      <c r="QJY61" s="608"/>
      <c r="QJZ61" s="608"/>
      <c r="QKA61" s="608"/>
      <c r="QKB61" s="608"/>
      <c r="QKC61" s="608"/>
      <c r="QKD61" s="608"/>
      <c r="QKE61" s="608"/>
      <c r="QKF61" s="608"/>
      <c r="QKG61" s="608"/>
      <c r="QKH61" s="608"/>
      <c r="QKI61" s="608"/>
      <c r="QKJ61" s="608"/>
      <c r="QKK61" s="608"/>
      <c r="QKL61" s="608"/>
      <c r="QKM61" s="608"/>
      <c r="QKN61" s="608"/>
      <c r="QKO61" s="608"/>
      <c r="QKP61" s="608"/>
      <c r="QKQ61" s="608"/>
      <c r="QKR61" s="608"/>
      <c r="QKS61" s="608"/>
      <c r="QKT61" s="608"/>
      <c r="QKU61" s="608"/>
      <c r="QKV61" s="608"/>
      <c r="QKW61" s="608"/>
      <c r="QKX61" s="608"/>
      <c r="QKY61" s="608"/>
      <c r="QKZ61" s="608"/>
      <c r="QLA61" s="608"/>
      <c r="QLB61" s="608"/>
      <c r="QLC61" s="608"/>
      <c r="QLD61" s="608"/>
      <c r="QLE61" s="608"/>
      <c r="QLF61" s="608"/>
      <c r="QLG61" s="608"/>
      <c r="QLH61" s="608"/>
      <c r="QLI61" s="608"/>
      <c r="QLJ61" s="608"/>
      <c r="QLK61" s="608"/>
      <c r="QLL61" s="608"/>
      <c r="QLM61" s="608"/>
      <c r="QLN61" s="608"/>
      <c r="QLO61" s="608"/>
      <c r="QLP61" s="608"/>
      <c r="QLQ61" s="608"/>
      <c r="QLR61" s="608"/>
      <c r="QLS61" s="608"/>
      <c r="QLT61" s="608"/>
      <c r="QLU61" s="608"/>
      <c r="QLV61" s="608"/>
      <c r="QLW61" s="608"/>
      <c r="QLX61" s="608"/>
      <c r="QLY61" s="608"/>
      <c r="QLZ61" s="608"/>
      <c r="QMA61" s="608"/>
      <c r="QMB61" s="608"/>
      <c r="QMC61" s="608"/>
      <c r="QMD61" s="608"/>
      <c r="QME61" s="608"/>
      <c r="QMF61" s="608"/>
      <c r="QMG61" s="608"/>
      <c r="QMH61" s="608"/>
      <c r="QMI61" s="608"/>
      <c r="QMJ61" s="608"/>
      <c r="QMK61" s="608"/>
      <c r="QML61" s="608"/>
      <c r="QMM61" s="608"/>
      <c r="QMN61" s="608"/>
      <c r="QMO61" s="608"/>
      <c r="QMP61" s="608"/>
      <c r="QMQ61" s="608"/>
      <c r="QMR61" s="608"/>
      <c r="QMS61" s="608"/>
      <c r="QMT61" s="608"/>
      <c r="QMU61" s="608"/>
      <c r="QMV61" s="608"/>
      <c r="QMW61" s="608"/>
      <c r="QMX61" s="608"/>
      <c r="QMY61" s="608"/>
      <c r="QMZ61" s="608"/>
      <c r="QNA61" s="608"/>
      <c r="QNB61" s="608"/>
      <c r="QNC61" s="608"/>
      <c r="QND61" s="608"/>
      <c r="QNE61" s="608"/>
      <c r="QNF61" s="608"/>
      <c r="QNG61" s="608"/>
      <c r="QNH61" s="608"/>
      <c r="QNI61" s="608"/>
      <c r="QNJ61" s="608"/>
      <c r="QNK61" s="608"/>
      <c r="QNL61" s="608"/>
      <c r="QNM61" s="608"/>
      <c r="QNN61" s="608"/>
      <c r="QNO61" s="608"/>
      <c r="QNP61" s="608"/>
      <c r="QNQ61" s="608"/>
      <c r="QNR61" s="608"/>
      <c r="QNS61" s="608"/>
      <c r="QNT61" s="608"/>
      <c r="QNU61" s="608"/>
      <c r="QNV61" s="608"/>
      <c r="QNW61" s="608"/>
      <c r="QNX61" s="608"/>
      <c r="QNY61" s="608"/>
      <c r="QNZ61" s="608"/>
      <c r="QOA61" s="608"/>
      <c r="QOB61" s="608"/>
      <c r="QOC61" s="608"/>
      <c r="QOD61" s="608"/>
      <c r="QOE61" s="608"/>
      <c r="QOF61" s="608"/>
      <c r="QOG61" s="608"/>
      <c r="QOH61" s="608"/>
      <c r="QOI61" s="608"/>
      <c r="QOJ61" s="608"/>
      <c r="QOK61" s="608"/>
      <c r="QOL61" s="608"/>
      <c r="QOM61" s="608"/>
      <c r="QON61" s="608"/>
      <c r="QOO61" s="608"/>
      <c r="QOP61" s="608"/>
      <c r="QOQ61" s="608"/>
      <c r="QOR61" s="608"/>
      <c r="QOS61" s="608"/>
      <c r="QOT61" s="608"/>
      <c r="QOU61" s="608"/>
      <c r="QOV61" s="608"/>
      <c r="QOW61" s="608"/>
      <c r="QOX61" s="608"/>
      <c r="QOY61" s="608"/>
      <c r="QOZ61" s="608"/>
      <c r="QPA61" s="608"/>
      <c r="QPB61" s="608"/>
      <c r="QPC61" s="608"/>
      <c r="QPD61" s="608"/>
      <c r="QPE61" s="608"/>
      <c r="QPF61" s="608"/>
      <c r="QPG61" s="608"/>
      <c r="QPH61" s="608"/>
      <c r="QPI61" s="608"/>
      <c r="QPJ61" s="608"/>
      <c r="QPK61" s="608"/>
      <c r="QPL61" s="608"/>
      <c r="QPM61" s="608"/>
      <c r="QPN61" s="608"/>
      <c r="QPO61" s="608"/>
      <c r="QPP61" s="608"/>
      <c r="QPQ61" s="608"/>
      <c r="QPR61" s="608"/>
      <c r="QPS61" s="608"/>
      <c r="QPT61" s="608"/>
      <c r="QPU61" s="608"/>
      <c r="QPV61" s="608"/>
      <c r="QPW61" s="608"/>
      <c r="QPX61" s="608"/>
      <c r="QPY61" s="608"/>
      <c r="QPZ61" s="608"/>
      <c r="QQA61" s="608"/>
      <c r="QQB61" s="608"/>
      <c r="QQC61" s="608"/>
      <c r="QQD61" s="608"/>
      <c r="QQE61" s="608"/>
      <c r="QQF61" s="608"/>
      <c r="QQG61" s="608"/>
      <c r="QQH61" s="608"/>
      <c r="QQI61" s="608"/>
      <c r="QQJ61" s="608"/>
      <c r="QQK61" s="608"/>
      <c r="QQL61" s="608"/>
      <c r="QQM61" s="608"/>
      <c r="QQN61" s="608"/>
      <c r="QQO61" s="608"/>
      <c r="QQP61" s="608"/>
      <c r="QQQ61" s="608"/>
      <c r="QQR61" s="608"/>
      <c r="QQS61" s="608"/>
      <c r="QQT61" s="608"/>
      <c r="QQU61" s="608"/>
      <c r="QQV61" s="608"/>
      <c r="QQW61" s="608"/>
      <c r="QQX61" s="608"/>
      <c r="QQY61" s="608"/>
      <c r="QQZ61" s="608"/>
      <c r="QRA61" s="608"/>
      <c r="QRB61" s="608"/>
      <c r="QRC61" s="608"/>
      <c r="QRD61" s="608"/>
      <c r="QRE61" s="608"/>
      <c r="QRF61" s="608"/>
      <c r="QRG61" s="608"/>
      <c r="QRH61" s="608"/>
      <c r="QRI61" s="608"/>
      <c r="QRJ61" s="608"/>
      <c r="QRK61" s="608"/>
      <c r="QRL61" s="608"/>
      <c r="QRM61" s="608"/>
      <c r="QRN61" s="608"/>
      <c r="QRO61" s="608"/>
      <c r="QRP61" s="608"/>
      <c r="QRQ61" s="608"/>
      <c r="QRR61" s="608"/>
      <c r="QRS61" s="608"/>
      <c r="QRT61" s="608"/>
      <c r="QRU61" s="608"/>
      <c r="QRV61" s="608"/>
      <c r="QRW61" s="608"/>
      <c r="QRX61" s="608"/>
      <c r="QRY61" s="608"/>
      <c r="QRZ61" s="608"/>
      <c r="QSA61" s="608"/>
      <c r="QSB61" s="608"/>
      <c r="QSC61" s="608"/>
      <c r="QSD61" s="608"/>
      <c r="QSE61" s="608"/>
      <c r="QSF61" s="608"/>
      <c r="QSG61" s="608"/>
      <c r="QSH61" s="608"/>
      <c r="QSI61" s="608"/>
      <c r="QSJ61" s="608"/>
      <c r="QSK61" s="608"/>
      <c r="QSL61" s="608"/>
      <c r="QSM61" s="608"/>
      <c r="QSN61" s="608"/>
      <c r="QSO61" s="608"/>
      <c r="QSP61" s="608"/>
      <c r="QSQ61" s="608"/>
      <c r="QSR61" s="608"/>
      <c r="QSS61" s="608"/>
      <c r="QST61" s="608"/>
      <c r="QSU61" s="608"/>
      <c r="QSV61" s="608"/>
      <c r="QSW61" s="608"/>
      <c r="QSX61" s="608"/>
      <c r="QSY61" s="608"/>
      <c r="QSZ61" s="608"/>
      <c r="QTA61" s="608"/>
      <c r="QTB61" s="608"/>
      <c r="QTC61" s="608"/>
      <c r="QTD61" s="608"/>
      <c r="QTE61" s="608"/>
      <c r="QTF61" s="608"/>
      <c r="QTG61" s="608"/>
      <c r="QTH61" s="608"/>
      <c r="QTI61" s="608"/>
      <c r="QTJ61" s="608"/>
      <c r="QTK61" s="608"/>
      <c r="QTL61" s="608"/>
      <c r="QTM61" s="608"/>
      <c r="QTN61" s="608"/>
      <c r="QTO61" s="608"/>
      <c r="QTP61" s="608"/>
      <c r="QTQ61" s="608"/>
      <c r="QTR61" s="608"/>
      <c r="QTS61" s="608"/>
      <c r="QTT61" s="608"/>
      <c r="QTU61" s="608"/>
      <c r="QTV61" s="608"/>
      <c r="QTW61" s="608"/>
      <c r="QTX61" s="608"/>
      <c r="QTY61" s="608"/>
      <c r="QTZ61" s="608"/>
      <c r="QUA61" s="608"/>
      <c r="QUB61" s="608"/>
      <c r="QUC61" s="608"/>
      <c r="QUD61" s="608"/>
      <c r="QUE61" s="608"/>
      <c r="QUF61" s="608"/>
      <c r="QUG61" s="608"/>
      <c r="QUH61" s="608"/>
      <c r="QUI61" s="608"/>
      <c r="QUJ61" s="608"/>
      <c r="QUK61" s="608"/>
      <c r="QUL61" s="608"/>
      <c r="QUM61" s="608"/>
      <c r="QUN61" s="608"/>
      <c r="QUO61" s="608"/>
      <c r="QUP61" s="608"/>
      <c r="QUQ61" s="608"/>
      <c r="QUR61" s="608"/>
      <c r="QUS61" s="608"/>
      <c r="QUT61" s="608"/>
      <c r="QUU61" s="608"/>
      <c r="QUV61" s="608"/>
      <c r="QUW61" s="608"/>
      <c r="QUX61" s="608"/>
      <c r="QUY61" s="608"/>
      <c r="QUZ61" s="608"/>
      <c r="QVA61" s="608"/>
      <c r="QVB61" s="608"/>
      <c r="QVC61" s="608"/>
      <c r="QVD61" s="608"/>
      <c r="QVE61" s="608"/>
      <c r="QVF61" s="608"/>
      <c r="QVG61" s="608"/>
      <c r="QVH61" s="608"/>
      <c r="QVI61" s="608"/>
      <c r="QVJ61" s="608"/>
      <c r="QVK61" s="608"/>
      <c r="QVL61" s="608"/>
      <c r="QVM61" s="608"/>
      <c r="QVN61" s="608"/>
      <c r="QVO61" s="608"/>
      <c r="QVP61" s="608"/>
      <c r="QVQ61" s="608"/>
      <c r="QVR61" s="608"/>
      <c r="QVS61" s="608"/>
      <c r="QVT61" s="608"/>
      <c r="QVU61" s="608"/>
      <c r="QVV61" s="608"/>
      <c r="QVW61" s="608"/>
      <c r="QVX61" s="608"/>
      <c r="QVY61" s="608"/>
      <c r="QVZ61" s="608"/>
      <c r="QWA61" s="608"/>
      <c r="QWB61" s="608"/>
      <c r="QWC61" s="608"/>
      <c r="QWD61" s="608"/>
      <c r="QWE61" s="608"/>
      <c r="QWF61" s="608"/>
      <c r="QWG61" s="608"/>
      <c r="QWH61" s="608"/>
      <c r="QWI61" s="608"/>
      <c r="QWJ61" s="608"/>
      <c r="QWK61" s="608"/>
      <c r="QWL61" s="608"/>
      <c r="QWM61" s="608"/>
      <c r="QWN61" s="608"/>
      <c r="QWO61" s="608"/>
      <c r="QWP61" s="608"/>
      <c r="QWQ61" s="608"/>
      <c r="QWR61" s="608"/>
      <c r="QWS61" s="608"/>
      <c r="QWT61" s="608"/>
      <c r="QWU61" s="608"/>
      <c r="QWV61" s="608"/>
      <c r="QWW61" s="608"/>
      <c r="QWX61" s="608"/>
      <c r="QWY61" s="608"/>
      <c r="QWZ61" s="608"/>
      <c r="QXA61" s="608"/>
      <c r="QXB61" s="608"/>
      <c r="QXC61" s="608"/>
      <c r="QXD61" s="608"/>
      <c r="QXE61" s="608"/>
      <c r="QXF61" s="608"/>
      <c r="QXG61" s="608"/>
      <c r="QXH61" s="608"/>
      <c r="QXI61" s="608"/>
      <c r="QXJ61" s="608"/>
      <c r="QXK61" s="608"/>
      <c r="QXL61" s="608"/>
      <c r="QXM61" s="608"/>
      <c r="QXN61" s="608"/>
      <c r="QXO61" s="608"/>
      <c r="QXP61" s="608"/>
      <c r="QXQ61" s="608"/>
      <c r="QXR61" s="608"/>
      <c r="QXS61" s="608"/>
      <c r="QXT61" s="608"/>
      <c r="QXU61" s="608"/>
      <c r="QXV61" s="608"/>
      <c r="QXW61" s="608"/>
      <c r="QXX61" s="608"/>
      <c r="QXY61" s="608"/>
      <c r="QXZ61" s="608"/>
      <c r="QYA61" s="608"/>
      <c r="QYB61" s="608"/>
      <c r="QYC61" s="608"/>
      <c r="QYD61" s="608"/>
      <c r="QYE61" s="608"/>
      <c r="QYF61" s="608"/>
      <c r="QYG61" s="608"/>
      <c r="QYH61" s="608"/>
      <c r="QYI61" s="608"/>
      <c r="QYJ61" s="608"/>
      <c r="QYK61" s="608"/>
      <c r="QYL61" s="608"/>
      <c r="QYM61" s="608"/>
      <c r="QYN61" s="608"/>
      <c r="QYO61" s="608"/>
      <c r="QYP61" s="608"/>
      <c r="QYQ61" s="608"/>
      <c r="QYR61" s="608"/>
      <c r="QYS61" s="608"/>
      <c r="QYT61" s="608"/>
      <c r="QYU61" s="608"/>
      <c r="QYV61" s="608"/>
      <c r="QYW61" s="608"/>
      <c r="QYX61" s="608"/>
      <c r="QYY61" s="608"/>
      <c r="QYZ61" s="608"/>
      <c r="QZA61" s="608"/>
      <c r="QZB61" s="608"/>
      <c r="QZC61" s="608"/>
      <c r="QZD61" s="608"/>
      <c r="QZE61" s="608"/>
      <c r="QZF61" s="608"/>
      <c r="QZG61" s="608"/>
      <c r="QZH61" s="608"/>
      <c r="QZI61" s="608"/>
      <c r="QZJ61" s="608"/>
      <c r="QZK61" s="608"/>
      <c r="QZL61" s="608"/>
      <c r="QZM61" s="608"/>
      <c r="QZN61" s="608"/>
      <c r="QZO61" s="608"/>
      <c r="QZP61" s="608"/>
      <c r="QZQ61" s="608"/>
      <c r="QZR61" s="608"/>
      <c r="QZS61" s="608"/>
      <c r="QZT61" s="608"/>
      <c r="QZU61" s="608"/>
      <c r="QZV61" s="608"/>
      <c r="QZW61" s="608"/>
      <c r="QZX61" s="608"/>
      <c r="QZY61" s="608"/>
      <c r="QZZ61" s="608"/>
      <c r="RAA61" s="608"/>
      <c r="RAB61" s="608"/>
      <c r="RAC61" s="608"/>
      <c r="RAD61" s="608"/>
      <c r="RAE61" s="608"/>
      <c r="RAF61" s="608"/>
      <c r="RAG61" s="608"/>
      <c r="RAH61" s="608"/>
      <c r="RAI61" s="608"/>
      <c r="RAJ61" s="608"/>
      <c r="RAK61" s="608"/>
      <c r="RAL61" s="608"/>
      <c r="RAM61" s="608"/>
      <c r="RAN61" s="608"/>
      <c r="RAO61" s="608"/>
      <c r="RAP61" s="608"/>
      <c r="RAQ61" s="608"/>
      <c r="RAR61" s="608"/>
      <c r="RAS61" s="608"/>
      <c r="RAT61" s="608"/>
      <c r="RAU61" s="608"/>
      <c r="RAV61" s="608"/>
      <c r="RAW61" s="608"/>
      <c r="RAX61" s="608"/>
      <c r="RAY61" s="608"/>
      <c r="RAZ61" s="608"/>
      <c r="RBA61" s="608"/>
      <c r="RBB61" s="608"/>
      <c r="RBC61" s="608"/>
      <c r="RBD61" s="608"/>
      <c r="RBE61" s="608"/>
      <c r="RBF61" s="608"/>
      <c r="RBG61" s="608"/>
      <c r="RBH61" s="608"/>
      <c r="RBI61" s="608"/>
      <c r="RBJ61" s="608"/>
      <c r="RBK61" s="608"/>
      <c r="RBL61" s="608"/>
      <c r="RBM61" s="608"/>
      <c r="RBN61" s="608"/>
      <c r="RBO61" s="608"/>
      <c r="RBP61" s="608"/>
      <c r="RBQ61" s="608"/>
      <c r="RBR61" s="608"/>
      <c r="RBS61" s="608"/>
      <c r="RBT61" s="608"/>
      <c r="RBU61" s="608"/>
      <c r="RBV61" s="608"/>
      <c r="RBW61" s="608"/>
      <c r="RBX61" s="608"/>
      <c r="RBY61" s="608"/>
      <c r="RBZ61" s="608"/>
      <c r="RCA61" s="608"/>
      <c r="RCB61" s="608"/>
      <c r="RCC61" s="608"/>
      <c r="RCD61" s="608"/>
      <c r="RCE61" s="608"/>
      <c r="RCF61" s="608"/>
      <c r="RCG61" s="608"/>
      <c r="RCH61" s="608"/>
      <c r="RCI61" s="608"/>
      <c r="RCJ61" s="608"/>
      <c r="RCK61" s="608"/>
      <c r="RCL61" s="608"/>
      <c r="RCM61" s="608"/>
      <c r="RCN61" s="608"/>
      <c r="RCO61" s="608"/>
      <c r="RCP61" s="608"/>
      <c r="RCQ61" s="608"/>
      <c r="RCR61" s="608"/>
      <c r="RCS61" s="608"/>
      <c r="RCT61" s="608"/>
      <c r="RCU61" s="608"/>
      <c r="RCV61" s="608"/>
      <c r="RCW61" s="608"/>
      <c r="RCX61" s="608"/>
      <c r="RCY61" s="608"/>
      <c r="RCZ61" s="608"/>
      <c r="RDA61" s="608"/>
      <c r="RDB61" s="608"/>
      <c r="RDC61" s="608"/>
      <c r="RDD61" s="608"/>
      <c r="RDE61" s="608"/>
      <c r="RDF61" s="608"/>
      <c r="RDG61" s="608"/>
      <c r="RDH61" s="608"/>
      <c r="RDI61" s="608"/>
      <c r="RDJ61" s="608"/>
      <c r="RDK61" s="608"/>
      <c r="RDL61" s="608"/>
      <c r="RDM61" s="608"/>
      <c r="RDN61" s="608"/>
      <c r="RDO61" s="608"/>
      <c r="RDP61" s="608"/>
      <c r="RDQ61" s="608"/>
      <c r="RDR61" s="608"/>
      <c r="RDS61" s="608"/>
      <c r="RDT61" s="608"/>
      <c r="RDU61" s="608"/>
      <c r="RDV61" s="608"/>
      <c r="RDW61" s="608"/>
      <c r="RDX61" s="608"/>
      <c r="RDY61" s="608"/>
      <c r="RDZ61" s="608"/>
      <c r="REA61" s="608"/>
      <c r="REB61" s="608"/>
      <c r="REC61" s="608"/>
      <c r="RED61" s="608"/>
      <c r="REE61" s="608"/>
      <c r="REF61" s="608"/>
      <c r="REG61" s="608"/>
      <c r="REH61" s="608"/>
      <c r="REI61" s="608"/>
      <c r="REJ61" s="608"/>
      <c r="REK61" s="608"/>
      <c r="REL61" s="608"/>
      <c r="REM61" s="608"/>
      <c r="REN61" s="608"/>
      <c r="REO61" s="608"/>
      <c r="REP61" s="608"/>
      <c r="REQ61" s="608"/>
      <c r="RER61" s="608"/>
      <c r="RES61" s="608"/>
      <c r="RET61" s="608"/>
      <c r="REU61" s="608"/>
      <c r="REV61" s="608"/>
      <c r="REW61" s="608"/>
      <c r="REX61" s="608"/>
      <c r="REY61" s="608"/>
      <c r="REZ61" s="608"/>
      <c r="RFA61" s="608"/>
      <c r="RFB61" s="608"/>
      <c r="RFC61" s="608"/>
      <c r="RFD61" s="608"/>
      <c r="RFE61" s="608"/>
      <c r="RFF61" s="608"/>
      <c r="RFG61" s="608"/>
      <c r="RFH61" s="608"/>
      <c r="RFI61" s="608"/>
      <c r="RFJ61" s="608"/>
      <c r="RFK61" s="608"/>
      <c r="RFL61" s="608"/>
      <c r="RFM61" s="608"/>
      <c r="RFN61" s="608"/>
      <c r="RFO61" s="608"/>
      <c r="RFP61" s="608"/>
      <c r="RFQ61" s="608"/>
      <c r="RFR61" s="608"/>
      <c r="RFS61" s="608"/>
      <c r="RFT61" s="608"/>
      <c r="RFU61" s="608"/>
      <c r="RFV61" s="608"/>
      <c r="RFW61" s="608"/>
      <c r="RFX61" s="608"/>
      <c r="RFY61" s="608"/>
      <c r="RFZ61" s="608"/>
      <c r="RGA61" s="608"/>
      <c r="RGB61" s="608"/>
      <c r="RGC61" s="608"/>
      <c r="RGD61" s="608"/>
      <c r="RGE61" s="608"/>
      <c r="RGF61" s="608"/>
      <c r="RGG61" s="608"/>
      <c r="RGH61" s="608"/>
      <c r="RGI61" s="608"/>
      <c r="RGJ61" s="608"/>
      <c r="RGK61" s="608"/>
      <c r="RGL61" s="608"/>
      <c r="RGM61" s="608"/>
      <c r="RGN61" s="608"/>
      <c r="RGO61" s="608"/>
      <c r="RGP61" s="608"/>
      <c r="RGQ61" s="608"/>
      <c r="RGR61" s="608"/>
      <c r="RGS61" s="608"/>
      <c r="RGT61" s="608"/>
      <c r="RGU61" s="608"/>
      <c r="RGV61" s="608"/>
      <c r="RGW61" s="608"/>
      <c r="RGX61" s="608"/>
      <c r="RGY61" s="608"/>
      <c r="RGZ61" s="608"/>
      <c r="RHA61" s="608"/>
      <c r="RHB61" s="608"/>
      <c r="RHC61" s="608"/>
      <c r="RHD61" s="608"/>
      <c r="RHE61" s="608"/>
      <c r="RHF61" s="608"/>
      <c r="RHG61" s="608"/>
      <c r="RHH61" s="608"/>
      <c r="RHI61" s="608"/>
      <c r="RHJ61" s="608"/>
      <c r="RHK61" s="608"/>
      <c r="RHL61" s="608"/>
      <c r="RHM61" s="608"/>
      <c r="RHN61" s="608"/>
      <c r="RHO61" s="608"/>
      <c r="RHP61" s="608"/>
      <c r="RHQ61" s="608"/>
      <c r="RHR61" s="608"/>
      <c r="RHS61" s="608"/>
      <c r="RHT61" s="608"/>
      <c r="RHU61" s="608"/>
      <c r="RHV61" s="608"/>
      <c r="RHW61" s="608"/>
      <c r="RHX61" s="608"/>
      <c r="RHY61" s="608"/>
      <c r="RHZ61" s="608"/>
      <c r="RIA61" s="608"/>
      <c r="RIB61" s="608"/>
      <c r="RIC61" s="608"/>
      <c r="RID61" s="608"/>
      <c r="RIE61" s="608"/>
      <c r="RIF61" s="608"/>
      <c r="RIG61" s="608"/>
      <c r="RIH61" s="608"/>
      <c r="RII61" s="608"/>
      <c r="RIJ61" s="608"/>
      <c r="RIK61" s="608"/>
      <c r="RIL61" s="608"/>
      <c r="RIM61" s="608"/>
      <c r="RIN61" s="608"/>
      <c r="RIO61" s="608"/>
      <c r="RIP61" s="608"/>
      <c r="RIQ61" s="608"/>
      <c r="RIR61" s="608"/>
      <c r="RIS61" s="608"/>
      <c r="RIT61" s="608"/>
      <c r="RIU61" s="608"/>
      <c r="RIV61" s="608"/>
      <c r="RIW61" s="608"/>
      <c r="RIX61" s="608"/>
      <c r="RIY61" s="608"/>
      <c r="RIZ61" s="608"/>
      <c r="RJA61" s="608"/>
      <c r="RJB61" s="608"/>
      <c r="RJC61" s="608"/>
      <c r="RJD61" s="608"/>
      <c r="RJE61" s="608"/>
      <c r="RJF61" s="608"/>
      <c r="RJG61" s="608"/>
      <c r="RJH61" s="608"/>
      <c r="RJI61" s="608"/>
      <c r="RJJ61" s="608"/>
      <c r="RJK61" s="608"/>
      <c r="RJL61" s="608"/>
      <c r="RJM61" s="608"/>
      <c r="RJN61" s="608"/>
      <c r="RJO61" s="608"/>
      <c r="RJP61" s="608"/>
      <c r="RJQ61" s="608"/>
      <c r="RJR61" s="608"/>
      <c r="RJS61" s="608"/>
      <c r="RJT61" s="608"/>
      <c r="RJU61" s="608"/>
      <c r="RJV61" s="608"/>
      <c r="RJW61" s="608"/>
      <c r="RJX61" s="608"/>
      <c r="RJY61" s="608"/>
      <c r="RJZ61" s="608"/>
      <c r="RKA61" s="608"/>
      <c r="RKB61" s="608"/>
      <c r="RKC61" s="608"/>
      <c r="RKD61" s="608"/>
      <c r="RKE61" s="608"/>
      <c r="RKF61" s="608"/>
      <c r="RKG61" s="608"/>
      <c r="RKH61" s="608"/>
      <c r="RKI61" s="608"/>
      <c r="RKJ61" s="608"/>
      <c r="RKK61" s="608"/>
      <c r="RKL61" s="608"/>
      <c r="RKM61" s="608"/>
      <c r="RKN61" s="608"/>
      <c r="RKO61" s="608"/>
      <c r="RKP61" s="608"/>
      <c r="RKQ61" s="608"/>
      <c r="RKR61" s="608"/>
      <c r="RKS61" s="608"/>
      <c r="RKT61" s="608"/>
      <c r="RKU61" s="608"/>
      <c r="RKV61" s="608"/>
      <c r="RKW61" s="608"/>
      <c r="RKX61" s="608"/>
      <c r="RKY61" s="608"/>
      <c r="RKZ61" s="608"/>
      <c r="RLA61" s="608"/>
      <c r="RLB61" s="608"/>
      <c r="RLC61" s="608"/>
      <c r="RLD61" s="608"/>
      <c r="RLE61" s="608"/>
      <c r="RLF61" s="608"/>
      <c r="RLG61" s="608"/>
      <c r="RLH61" s="608"/>
      <c r="RLI61" s="608"/>
      <c r="RLJ61" s="608"/>
      <c r="RLK61" s="608"/>
      <c r="RLL61" s="608"/>
      <c r="RLM61" s="608"/>
      <c r="RLN61" s="608"/>
      <c r="RLO61" s="608"/>
      <c r="RLP61" s="608"/>
      <c r="RLQ61" s="608"/>
      <c r="RLR61" s="608"/>
      <c r="RLS61" s="608"/>
      <c r="RLT61" s="608"/>
      <c r="RLU61" s="608"/>
      <c r="RLV61" s="608"/>
      <c r="RLW61" s="608"/>
      <c r="RLX61" s="608"/>
      <c r="RLY61" s="608"/>
      <c r="RLZ61" s="608"/>
      <c r="RMA61" s="608"/>
      <c r="RMB61" s="608"/>
      <c r="RMC61" s="608"/>
      <c r="RMD61" s="608"/>
      <c r="RME61" s="608"/>
      <c r="RMF61" s="608"/>
      <c r="RMG61" s="608"/>
      <c r="RMH61" s="608"/>
      <c r="RMI61" s="608"/>
      <c r="RMJ61" s="608"/>
      <c r="RMK61" s="608"/>
      <c r="RML61" s="608"/>
      <c r="RMM61" s="608"/>
      <c r="RMN61" s="608"/>
      <c r="RMO61" s="608"/>
      <c r="RMP61" s="608"/>
      <c r="RMQ61" s="608"/>
      <c r="RMR61" s="608"/>
      <c r="RMS61" s="608"/>
      <c r="RMT61" s="608"/>
      <c r="RMU61" s="608"/>
      <c r="RMV61" s="608"/>
      <c r="RMW61" s="608"/>
      <c r="RMX61" s="608"/>
      <c r="RMY61" s="608"/>
      <c r="RMZ61" s="608"/>
      <c r="RNA61" s="608"/>
      <c r="RNB61" s="608"/>
      <c r="RNC61" s="608"/>
      <c r="RND61" s="608"/>
      <c r="RNE61" s="608"/>
      <c r="RNF61" s="608"/>
      <c r="RNG61" s="608"/>
      <c r="RNH61" s="608"/>
      <c r="RNI61" s="608"/>
      <c r="RNJ61" s="608"/>
      <c r="RNK61" s="608"/>
      <c r="RNL61" s="608"/>
      <c r="RNM61" s="608"/>
      <c r="RNN61" s="608"/>
      <c r="RNO61" s="608"/>
      <c r="RNP61" s="608"/>
      <c r="RNQ61" s="608"/>
      <c r="RNR61" s="608"/>
      <c r="RNS61" s="608"/>
      <c r="RNT61" s="608"/>
      <c r="RNU61" s="608"/>
      <c r="RNV61" s="608"/>
      <c r="RNW61" s="608"/>
      <c r="RNX61" s="608"/>
      <c r="RNY61" s="608"/>
      <c r="RNZ61" s="608"/>
      <c r="ROA61" s="608"/>
      <c r="ROB61" s="608"/>
      <c r="ROC61" s="608"/>
      <c r="ROD61" s="608"/>
      <c r="ROE61" s="608"/>
      <c r="ROF61" s="608"/>
      <c r="ROG61" s="608"/>
      <c r="ROH61" s="608"/>
      <c r="ROI61" s="608"/>
      <c r="ROJ61" s="608"/>
      <c r="ROK61" s="608"/>
      <c r="ROL61" s="608"/>
      <c r="ROM61" s="608"/>
      <c r="RON61" s="608"/>
      <c r="ROO61" s="608"/>
      <c r="ROP61" s="608"/>
      <c r="ROQ61" s="608"/>
      <c r="ROR61" s="608"/>
      <c r="ROS61" s="608"/>
      <c r="ROT61" s="608"/>
      <c r="ROU61" s="608"/>
      <c r="ROV61" s="608"/>
      <c r="ROW61" s="608"/>
      <c r="ROX61" s="608"/>
      <c r="ROY61" s="608"/>
      <c r="ROZ61" s="608"/>
      <c r="RPA61" s="608"/>
      <c r="RPB61" s="608"/>
      <c r="RPC61" s="608"/>
      <c r="RPD61" s="608"/>
      <c r="RPE61" s="608"/>
      <c r="RPF61" s="608"/>
      <c r="RPG61" s="608"/>
      <c r="RPH61" s="608"/>
      <c r="RPI61" s="608"/>
      <c r="RPJ61" s="608"/>
      <c r="RPK61" s="608"/>
      <c r="RPL61" s="608"/>
      <c r="RPM61" s="608"/>
      <c r="RPN61" s="608"/>
      <c r="RPO61" s="608"/>
      <c r="RPP61" s="608"/>
      <c r="RPQ61" s="608"/>
      <c r="RPR61" s="608"/>
      <c r="RPS61" s="608"/>
      <c r="RPT61" s="608"/>
      <c r="RPU61" s="608"/>
      <c r="RPV61" s="608"/>
      <c r="RPW61" s="608"/>
      <c r="RPX61" s="608"/>
      <c r="RPY61" s="608"/>
      <c r="RPZ61" s="608"/>
      <c r="RQA61" s="608"/>
      <c r="RQB61" s="608"/>
      <c r="RQC61" s="608"/>
      <c r="RQD61" s="608"/>
      <c r="RQE61" s="608"/>
      <c r="RQF61" s="608"/>
      <c r="RQG61" s="608"/>
      <c r="RQH61" s="608"/>
      <c r="RQI61" s="608"/>
      <c r="RQJ61" s="608"/>
      <c r="RQK61" s="608"/>
      <c r="RQL61" s="608"/>
      <c r="RQM61" s="608"/>
      <c r="RQN61" s="608"/>
      <c r="RQO61" s="608"/>
      <c r="RQP61" s="608"/>
      <c r="RQQ61" s="608"/>
      <c r="RQR61" s="608"/>
      <c r="RQS61" s="608"/>
      <c r="RQT61" s="608"/>
      <c r="RQU61" s="608"/>
      <c r="RQV61" s="608"/>
      <c r="RQW61" s="608"/>
      <c r="RQX61" s="608"/>
      <c r="RQY61" s="608"/>
      <c r="RQZ61" s="608"/>
      <c r="RRA61" s="608"/>
      <c r="RRB61" s="608"/>
      <c r="RRC61" s="608"/>
      <c r="RRD61" s="608"/>
      <c r="RRE61" s="608"/>
      <c r="RRF61" s="608"/>
      <c r="RRG61" s="608"/>
      <c r="RRH61" s="608"/>
      <c r="RRI61" s="608"/>
      <c r="RRJ61" s="608"/>
      <c r="RRK61" s="608"/>
      <c r="RRL61" s="608"/>
      <c r="RRM61" s="608"/>
      <c r="RRN61" s="608"/>
      <c r="RRO61" s="608"/>
      <c r="RRP61" s="608"/>
      <c r="RRQ61" s="608"/>
      <c r="RRR61" s="608"/>
      <c r="RRS61" s="608"/>
      <c r="RRT61" s="608"/>
      <c r="RRU61" s="608"/>
      <c r="RRV61" s="608"/>
      <c r="RRW61" s="608"/>
      <c r="RRX61" s="608"/>
      <c r="RRY61" s="608"/>
      <c r="RRZ61" s="608"/>
      <c r="RSA61" s="608"/>
      <c r="RSB61" s="608"/>
      <c r="RSC61" s="608"/>
      <c r="RSD61" s="608"/>
      <c r="RSE61" s="608"/>
      <c r="RSF61" s="608"/>
      <c r="RSG61" s="608"/>
      <c r="RSH61" s="608"/>
      <c r="RSI61" s="608"/>
      <c r="RSJ61" s="608"/>
      <c r="RSK61" s="608"/>
      <c r="RSL61" s="608"/>
      <c r="RSM61" s="608"/>
      <c r="RSN61" s="608"/>
      <c r="RSO61" s="608"/>
      <c r="RSP61" s="608"/>
      <c r="RSQ61" s="608"/>
      <c r="RSR61" s="608"/>
      <c r="RSS61" s="608"/>
      <c r="RST61" s="608"/>
      <c r="RSU61" s="608"/>
      <c r="RSV61" s="608"/>
      <c r="RSW61" s="608"/>
      <c r="RSX61" s="608"/>
      <c r="RSY61" s="608"/>
      <c r="RSZ61" s="608"/>
      <c r="RTA61" s="608"/>
      <c r="RTB61" s="608"/>
      <c r="RTC61" s="608"/>
      <c r="RTD61" s="608"/>
      <c r="RTE61" s="608"/>
      <c r="RTF61" s="608"/>
      <c r="RTG61" s="608"/>
      <c r="RTH61" s="608"/>
      <c r="RTI61" s="608"/>
      <c r="RTJ61" s="608"/>
      <c r="RTK61" s="608"/>
      <c r="RTL61" s="608"/>
      <c r="RTM61" s="608"/>
      <c r="RTN61" s="608"/>
      <c r="RTO61" s="608"/>
      <c r="RTP61" s="608"/>
      <c r="RTQ61" s="608"/>
      <c r="RTR61" s="608"/>
      <c r="RTS61" s="608"/>
      <c r="RTT61" s="608"/>
      <c r="RTU61" s="608"/>
      <c r="RTV61" s="608"/>
      <c r="RTW61" s="608"/>
      <c r="RTX61" s="608"/>
      <c r="RTY61" s="608"/>
      <c r="RTZ61" s="608"/>
      <c r="RUA61" s="608"/>
      <c r="RUB61" s="608"/>
      <c r="RUC61" s="608"/>
      <c r="RUD61" s="608"/>
      <c r="RUE61" s="608"/>
      <c r="RUF61" s="608"/>
      <c r="RUG61" s="608"/>
      <c r="RUH61" s="608"/>
      <c r="RUI61" s="608"/>
      <c r="RUJ61" s="608"/>
      <c r="RUK61" s="608"/>
      <c r="RUL61" s="608"/>
      <c r="RUM61" s="608"/>
      <c r="RUN61" s="608"/>
      <c r="RUO61" s="608"/>
      <c r="RUP61" s="608"/>
      <c r="RUQ61" s="608"/>
      <c r="RUR61" s="608"/>
      <c r="RUS61" s="608"/>
      <c r="RUT61" s="608"/>
      <c r="RUU61" s="608"/>
      <c r="RUV61" s="608"/>
      <c r="RUW61" s="608"/>
      <c r="RUX61" s="608"/>
      <c r="RUY61" s="608"/>
      <c r="RUZ61" s="608"/>
      <c r="RVA61" s="608"/>
      <c r="RVB61" s="608"/>
      <c r="RVC61" s="608"/>
      <c r="RVD61" s="608"/>
      <c r="RVE61" s="608"/>
      <c r="RVF61" s="608"/>
      <c r="RVG61" s="608"/>
      <c r="RVH61" s="608"/>
      <c r="RVI61" s="608"/>
      <c r="RVJ61" s="608"/>
      <c r="RVK61" s="608"/>
      <c r="RVL61" s="608"/>
      <c r="RVM61" s="608"/>
      <c r="RVN61" s="608"/>
      <c r="RVO61" s="608"/>
      <c r="RVP61" s="608"/>
      <c r="RVQ61" s="608"/>
      <c r="RVR61" s="608"/>
      <c r="RVS61" s="608"/>
      <c r="RVT61" s="608"/>
      <c r="RVU61" s="608"/>
      <c r="RVV61" s="608"/>
      <c r="RVW61" s="608"/>
      <c r="RVX61" s="608"/>
      <c r="RVY61" s="608"/>
      <c r="RVZ61" s="608"/>
      <c r="RWA61" s="608"/>
      <c r="RWB61" s="608"/>
      <c r="RWC61" s="608"/>
      <c r="RWD61" s="608"/>
      <c r="RWE61" s="608"/>
      <c r="RWF61" s="608"/>
      <c r="RWG61" s="608"/>
      <c r="RWH61" s="608"/>
      <c r="RWI61" s="608"/>
      <c r="RWJ61" s="608"/>
      <c r="RWK61" s="608"/>
      <c r="RWL61" s="608"/>
      <c r="RWM61" s="608"/>
      <c r="RWN61" s="608"/>
      <c r="RWO61" s="608"/>
      <c r="RWP61" s="608"/>
      <c r="RWQ61" s="608"/>
      <c r="RWR61" s="608"/>
      <c r="RWS61" s="608"/>
      <c r="RWT61" s="608"/>
      <c r="RWU61" s="608"/>
      <c r="RWV61" s="608"/>
      <c r="RWW61" s="608"/>
      <c r="RWX61" s="608"/>
      <c r="RWY61" s="608"/>
      <c r="RWZ61" s="608"/>
      <c r="RXA61" s="608"/>
      <c r="RXB61" s="608"/>
      <c r="RXC61" s="608"/>
      <c r="RXD61" s="608"/>
      <c r="RXE61" s="608"/>
      <c r="RXF61" s="608"/>
      <c r="RXG61" s="608"/>
      <c r="RXH61" s="608"/>
      <c r="RXI61" s="608"/>
      <c r="RXJ61" s="608"/>
      <c r="RXK61" s="608"/>
      <c r="RXL61" s="608"/>
      <c r="RXM61" s="608"/>
      <c r="RXN61" s="608"/>
      <c r="RXO61" s="608"/>
      <c r="RXP61" s="608"/>
      <c r="RXQ61" s="608"/>
      <c r="RXR61" s="608"/>
      <c r="RXS61" s="608"/>
      <c r="RXT61" s="608"/>
      <c r="RXU61" s="608"/>
      <c r="RXV61" s="608"/>
      <c r="RXW61" s="608"/>
      <c r="RXX61" s="608"/>
      <c r="RXY61" s="608"/>
      <c r="RXZ61" s="608"/>
      <c r="RYA61" s="608"/>
      <c r="RYB61" s="608"/>
      <c r="RYC61" s="608"/>
      <c r="RYD61" s="608"/>
      <c r="RYE61" s="608"/>
      <c r="RYF61" s="608"/>
      <c r="RYG61" s="608"/>
      <c r="RYH61" s="608"/>
      <c r="RYI61" s="608"/>
      <c r="RYJ61" s="608"/>
      <c r="RYK61" s="608"/>
      <c r="RYL61" s="608"/>
      <c r="RYM61" s="608"/>
      <c r="RYN61" s="608"/>
      <c r="RYO61" s="608"/>
      <c r="RYP61" s="608"/>
      <c r="RYQ61" s="608"/>
      <c r="RYR61" s="608"/>
      <c r="RYS61" s="608"/>
      <c r="RYT61" s="608"/>
      <c r="RYU61" s="608"/>
      <c r="RYV61" s="608"/>
      <c r="RYW61" s="608"/>
      <c r="RYX61" s="608"/>
      <c r="RYY61" s="608"/>
      <c r="RYZ61" s="608"/>
      <c r="RZA61" s="608"/>
      <c r="RZB61" s="608"/>
      <c r="RZC61" s="608"/>
      <c r="RZD61" s="608"/>
      <c r="RZE61" s="608"/>
      <c r="RZF61" s="608"/>
      <c r="RZG61" s="608"/>
      <c r="RZH61" s="608"/>
      <c r="RZI61" s="608"/>
      <c r="RZJ61" s="608"/>
      <c r="RZK61" s="608"/>
      <c r="RZL61" s="608"/>
      <c r="RZM61" s="608"/>
      <c r="RZN61" s="608"/>
      <c r="RZO61" s="608"/>
      <c r="RZP61" s="608"/>
      <c r="RZQ61" s="608"/>
      <c r="RZR61" s="608"/>
      <c r="RZS61" s="608"/>
      <c r="RZT61" s="608"/>
      <c r="RZU61" s="608"/>
      <c r="RZV61" s="608"/>
      <c r="RZW61" s="608"/>
      <c r="RZX61" s="608"/>
      <c r="RZY61" s="608"/>
      <c r="RZZ61" s="608"/>
      <c r="SAA61" s="608"/>
      <c r="SAB61" s="608"/>
      <c r="SAC61" s="608"/>
      <c r="SAD61" s="608"/>
      <c r="SAE61" s="608"/>
      <c r="SAF61" s="608"/>
      <c r="SAG61" s="608"/>
      <c r="SAH61" s="608"/>
      <c r="SAI61" s="608"/>
      <c r="SAJ61" s="608"/>
      <c r="SAK61" s="608"/>
      <c r="SAL61" s="608"/>
      <c r="SAM61" s="608"/>
      <c r="SAN61" s="608"/>
      <c r="SAO61" s="608"/>
      <c r="SAP61" s="608"/>
      <c r="SAQ61" s="608"/>
      <c r="SAR61" s="608"/>
      <c r="SAS61" s="608"/>
      <c r="SAT61" s="608"/>
      <c r="SAU61" s="608"/>
      <c r="SAV61" s="608"/>
      <c r="SAW61" s="608"/>
      <c r="SAX61" s="608"/>
      <c r="SAY61" s="608"/>
      <c r="SAZ61" s="608"/>
      <c r="SBA61" s="608"/>
      <c r="SBB61" s="608"/>
      <c r="SBC61" s="608"/>
      <c r="SBD61" s="608"/>
      <c r="SBE61" s="608"/>
      <c r="SBF61" s="608"/>
      <c r="SBG61" s="608"/>
      <c r="SBH61" s="608"/>
      <c r="SBI61" s="608"/>
      <c r="SBJ61" s="608"/>
      <c r="SBK61" s="608"/>
      <c r="SBL61" s="608"/>
      <c r="SBM61" s="608"/>
      <c r="SBN61" s="608"/>
      <c r="SBO61" s="608"/>
      <c r="SBP61" s="608"/>
      <c r="SBQ61" s="608"/>
      <c r="SBR61" s="608"/>
      <c r="SBS61" s="608"/>
      <c r="SBT61" s="608"/>
      <c r="SBU61" s="608"/>
      <c r="SBV61" s="608"/>
      <c r="SBW61" s="608"/>
      <c r="SBX61" s="608"/>
      <c r="SBY61" s="608"/>
      <c r="SBZ61" s="608"/>
      <c r="SCA61" s="608"/>
      <c r="SCB61" s="608"/>
      <c r="SCC61" s="608"/>
      <c r="SCD61" s="608"/>
      <c r="SCE61" s="608"/>
      <c r="SCF61" s="608"/>
      <c r="SCG61" s="608"/>
      <c r="SCH61" s="608"/>
      <c r="SCI61" s="608"/>
      <c r="SCJ61" s="608"/>
      <c r="SCK61" s="608"/>
      <c r="SCL61" s="608"/>
      <c r="SCM61" s="608"/>
      <c r="SCN61" s="608"/>
      <c r="SCO61" s="608"/>
      <c r="SCP61" s="608"/>
      <c r="SCQ61" s="608"/>
      <c r="SCR61" s="608"/>
      <c r="SCS61" s="608"/>
      <c r="SCT61" s="608"/>
      <c r="SCU61" s="608"/>
      <c r="SCV61" s="608"/>
      <c r="SCW61" s="608"/>
      <c r="SCX61" s="608"/>
      <c r="SCY61" s="608"/>
      <c r="SCZ61" s="608"/>
      <c r="SDA61" s="608"/>
      <c r="SDB61" s="608"/>
      <c r="SDC61" s="608"/>
      <c r="SDD61" s="608"/>
      <c r="SDE61" s="608"/>
      <c r="SDF61" s="608"/>
      <c r="SDG61" s="608"/>
      <c r="SDH61" s="608"/>
      <c r="SDI61" s="608"/>
      <c r="SDJ61" s="608"/>
      <c r="SDK61" s="608"/>
      <c r="SDL61" s="608"/>
      <c r="SDM61" s="608"/>
      <c r="SDN61" s="608"/>
      <c r="SDO61" s="608"/>
      <c r="SDP61" s="608"/>
      <c r="SDQ61" s="608"/>
      <c r="SDR61" s="608"/>
      <c r="SDS61" s="608"/>
      <c r="SDT61" s="608"/>
      <c r="SDU61" s="608"/>
      <c r="SDV61" s="608"/>
      <c r="SDW61" s="608"/>
      <c r="SDX61" s="608"/>
      <c r="SDY61" s="608"/>
      <c r="SDZ61" s="608"/>
      <c r="SEA61" s="608"/>
      <c r="SEB61" s="608"/>
      <c r="SEC61" s="608"/>
      <c r="SED61" s="608"/>
      <c r="SEE61" s="608"/>
      <c r="SEF61" s="608"/>
      <c r="SEG61" s="608"/>
      <c r="SEH61" s="608"/>
      <c r="SEI61" s="608"/>
      <c r="SEJ61" s="608"/>
      <c r="SEK61" s="608"/>
      <c r="SEL61" s="608"/>
      <c r="SEM61" s="608"/>
      <c r="SEN61" s="608"/>
      <c r="SEO61" s="608"/>
      <c r="SEP61" s="608"/>
      <c r="SEQ61" s="608"/>
      <c r="SER61" s="608"/>
      <c r="SES61" s="608"/>
      <c r="SET61" s="608"/>
      <c r="SEU61" s="608"/>
      <c r="SEV61" s="608"/>
      <c r="SEW61" s="608"/>
      <c r="SEX61" s="608"/>
      <c r="SEY61" s="608"/>
      <c r="SEZ61" s="608"/>
      <c r="SFA61" s="608"/>
      <c r="SFB61" s="608"/>
      <c r="SFC61" s="608"/>
      <c r="SFD61" s="608"/>
      <c r="SFE61" s="608"/>
      <c r="SFF61" s="608"/>
      <c r="SFG61" s="608"/>
      <c r="SFH61" s="608"/>
      <c r="SFI61" s="608"/>
      <c r="SFJ61" s="608"/>
      <c r="SFK61" s="608"/>
      <c r="SFL61" s="608"/>
      <c r="SFM61" s="608"/>
      <c r="SFN61" s="608"/>
      <c r="SFO61" s="608"/>
      <c r="SFP61" s="608"/>
      <c r="SFQ61" s="608"/>
      <c r="SFR61" s="608"/>
      <c r="SFS61" s="608"/>
      <c r="SFT61" s="608"/>
      <c r="SFU61" s="608"/>
      <c r="SFV61" s="608"/>
      <c r="SFW61" s="608"/>
      <c r="SFX61" s="608"/>
      <c r="SFY61" s="608"/>
      <c r="SFZ61" s="608"/>
      <c r="SGA61" s="608"/>
      <c r="SGB61" s="608"/>
      <c r="SGC61" s="608"/>
      <c r="SGD61" s="608"/>
      <c r="SGE61" s="608"/>
      <c r="SGF61" s="608"/>
      <c r="SGG61" s="608"/>
      <c r="SGH61" s="608"/>
      <c r="SGI61" s="608"/>
      <c r="SGJ61" s="608"/>
      <c r="SGK61" s="608"/>
      <c r="SGL61" s="608"/>
      <c r="SGM61" s="608"/>
      <c r="SGN61" s="608"/>
      <c r="SGO61" s="608"/>
      <c r="SGP61" s="608"/>
      <c r="SGQ61" s="608"/>
      <c r="SGR61" s="608"/>
      <c r="SGS61" s="608"/>
      <c r="SGT61" s="608"/>
      <c r="SGU61" s="608"/>
      <c r="SGV61" s="608"/>
      <c r="SGW61" s="608"/>
      <c r="SGX61" s="608"/>
      <c r="SGY61" s="608"/>
      <c r="SGZ61" s="608"/>
      <c r="SHA61" s="608"/>
      <c r="SHB61" s="608"/>
      <c r="SHC61" s="608"/>
      <c r="SHD61" s="608"/>
      <c r="SHE61" s="608"/>
      <c r="SHF61" s="608"/>
      <c r="SHG61" s="608"/>
      <c r="SHH61" s="608"/>
      <c r="SHI61" s="608"/>
      <c r="SHJ61" s="608"/>
      <c r="SHK61" s="608"/>
      <c r="SHL61" s="608"/>
      <c r="SHM61" s="608"/>
      <c r="SHN61" s="608"/>
      <c r="SHO61" s="608"/>
      <c r="SHP61" s="608"/>
      <c r="SHQ61" s="608"/>
      <c r="SHR61" s="608"/>
      <c r="SHS61" s="608"/>
      <c r="SHT61" s="608"/>
      <c r="SHU61" s="608"/>
      <c r="SHV61" s="608"/>
      <c r="SHW61" s="608"/>
      <c r="SHX61" s="608"/>
      <c r="SHY61" s="608"/>
      <c r="SHZ61" s="608"/>
      <c r="SIA61" s="608"/>
      <c r="SIB61" s="608"/>
      <c r="SIC61" s="608"/>
      <c r="SID61" s="608"/>
      <c r="SIE61" s="608"/>
      <c r="SIF61" s="608"/>
      <c r="SIG61" s="608"/>
      <c r="SIH61" s="608"/>
      <c r="SII61" s="608"/>
      <c r="SIJ61" s="608"/>
      <c r="SIK61" s="608"/>
      <c r="SIL61" s="608"/>
      <c r="SIM61" s="608"/>
      <c r="SIN61" s="608"/>
      <c r="SIO61" s="608"/>
      <c r="SIP61" s="608"/>
      <c r="SIQ61" s="608"/>
      <c r="SIR61" s="608"/>
      <c r="SIS61" s="608"/>
      <c r="SIT61" s="608"/>
      <c r="SIU61" s="608"/>
      <c r="SIV61" s="608"/>
      <c r="SIW61" s="608"/>
      <c r="SIX61" s="608"/>
      <c r="SIY61" s="608"/>
      <c r="SIZ61" s="608"/>
      <c r="SJA61" s="608"/>
      <c r="SJB61" s="608"/>
      <c r="SJC61" s="608"/>
      <c r="SJD61" s="608"/>
      <c r="SJE61" s="608"/>
      <c r="SJF61" s="608"/>
      <c r="SJG61" s="608"/>
      <c r="SJH61" s="608"/>
      <c r="SJI61" s="608"/>
      <c r="SJJ61" s="608"/>
      <c r="SJK61" s="608"/>
      <c r="SJL61" s="608"/>
      <c r="SJM61" s="608"/>
      <c r="SJN61" s="608"/>
      <c r="SJO61" s="608"/>
      <c r="SJP61" s="608"/>
      <c r="SJQ61" s="608"/>
      <c r="SJR61" s="608"/>
      <c r="SJS61" s="608"/>
      <c r="SJT61" s="608"/>
      <c r="SJU61" s="608"/>
      <c r="SJV61" s="608"/>
      <c r="SJW61" s="608"/>
      <c r="SJX61" s="608"/>
      <c r="SJY61" s="608"/>
      <c r="SJZ61" s="608"/>
      <c r="SKA61" s="608"/>
      <c r="SKB61" s="608"/>
      <c r="SKC61" s="608"/>
      <c r="SKD61" s="608"/>
      <c r="SKE61" s="608"/>
      <c r="SKF61" s="608"/>
      <c r="SKG61" s="608"/>
      <c r="SKH61" s="608"/>
      <c r="SKI61" s="608"/>
      <c r="SKJ61" s="608"/>
      <c r="SKK61" s="608"/>
      <c r="SKL61" s="608"/>
      <c r="SKM61" s="608"/>
      <c r="SKN61" s="608"/>
      <c r="SKO61" s="608"/>
      <c r="SKP61" s="608"/>
      <c r="SKQ61" s="608"/>
      <c r="SKR61" s="608"/>
      <c r="SKS61" s="608"/>
      <c r="SKT61" s="608"/>
      <c r="SKU61" s="608"/>
      <c r="SKV61" s="608"/>
      <c r="SKW61" s="608"/>
      <c r="SKX61" s="608"/>
      <c r="SKY61" s="608"/>
      <c r="SKZ61" s="608"/>
      <c r="SLA61" s="608"/>
      <c r="SLB61" s="608"/>
      <c r="SLC61" s="608"/>
      <c r="SLD61" s="608"/>
      <c r="SLE61" s="608"/>
      <c r="SLF61" s="608"/>
      <c r="SLG61" s="608"/>
      <c r="SLH61" s="608"/>
      <c r="SLI61" s="608"/>
      <c r="SLJ61" s="608"/>
      <c r="SLK61" s="608"/>
      <c r="SLL61" s="608"/>
      <c r="SLM61" s="608"/>
      <c r="SLN61" s="608"/>
      <c r="SLO61" s="608"/>
      <c r="SLP61" s="608"/>
      <c r="SLQ61" s="608"/>
      <c r="SLR61" s="608"/>
      <c r="SLS61" s="608"/>
      <c r="SLT61" s="608"/>
      <c r="SLU61" s="608"/>
      <c r="SLV61" s="608"/>
      <c r="SLW61" s="608"/>
      <c r="SLX61" s="608"/>
      <c r="SLY61" s="608"/>
      <c r="SLZ61" s="608"/>
      <c r="SMA61" s="608"/>
      <c r="SMB61" s="608"/>
      <c r="SMC61" s="608"/>
      <c r="SMD61" s="608"/>
      <c r="SME61" s="608"/>
      <c r="SMF61" s="608"/>
      <c r="SMG61" s="608"/>
      <c r="SMH61" s="608"/>
      <c r="SMI61" s="608"/>
      <c r="SMJ61" s="608"/>
      <c r="SMK61" s="608"/>
      <c r="SML61" s="608"/>
      <c r="SMM61" s="608"/>
      <c r="SMN61" s="608"/>
      <c r="SMO61" s="608"/>
      <c r="SMP61" s="608"/>
      <c r="SMQ61" s="608"/>
      <c r="SMR61" s="608"/>
      <c r="SMS61" s="608"/>
      <c r="SMT61" s="608"/>
      <c r="SMU61" s="608"/>
      <c r="SMV61" s="608"/>
      <c r="SMW61" s="608"/>
      <c r="SMX61" s="608"/>
      <c r="SMY61" s="608"/>
      <c r="SMZ61" s="608"/>
      <c r="SNA61" s="608"/>
      <c r="SNB61" s="608"/>
      <c r="SNC61" s="608"/>
      <c r="SND61" s="608"/>
      <c r="SNE61" s="608"/>
      <c r="SNF61" s="608"/>
      <c r="SNG61" s="608"/>
      <c r="SNH61" s="608"/>
      <c r="SNI61" s="608"/>
      <c r="SNJ61" s="608"/>
      <c r="SNK61" s="608"/>
      <c r="SNL61" s="608"/>
      <c r="SNM61" s="608"/>
      <c r="SNN61" s="608"/>
      <c r="SNO61" s="608"/>
      <c r="SNP61" s="608"/>
      <c r="SNQ61" s="608"/>
      <c r="SNR61" s="608"/>
      <c r="SNS61" s="608"/>
      <c r="SNT61" s="608"/>
      <c r="SNU61" s="608"/>
      <c r="SNV61" s="608"/>
      <c r="SNW61" s="608"/>
      <c r="SNX61" s="608"/>
      <c r="SNY61" s="608"/>
      <c r="SNZ61" s="608"/>
      <c r="SOA61" s="608"/>
      <c r="SOB61" s="608"/>
      <c r="SOC61" s="608"/>
      <c r="SOD61" s="608"/>
      <c r="SOE61" s="608"/>
      <c r="SOF61" s="608"/>
      <c r="SOG61" s="608"/>
      <c r="SOH61" s="608"/>
      <c r="SOI61" s="608"/>
      <c r="SOJ61" s="608"/>
      <c r="SOK61" s="608"/>
      <c r="SOL61" s="608"/>
      <c r="SOM61" s="608"/>
      <c r="SON61" s="608"/>
      <c r="SOO61" s="608"/>
      <c r="SOP61" s="608"/>
      <c r="SOQ61" s="608"/>
      <c r="SOR61" s="608"/>
      <c r="SOS61" s="608"/>
      <c r="SOT61" s="608"/>
      <c r="SOU61" s="608"/>
      <c r="SOV61" s="608"/>
      <c r="SOW61" s="608"/>
      <c r="SOX61" s="608"/>
      <c r="SOY61" s="608"/>
      <c r="SOZ61" s="608"/>
      <c r="SPA61" s="608"/>
      <c r="SPB61" s="608"/>
      <c r="SPC61" s="608"/>
      <c r="SPD61" s="608"/>
      <c r="SPE61" s="608"/>
      <c r="SPF61" s="608"/>
      <c r="SPG61" s="608"/>
      <c r="SPH61" s="608"/>
      <c r="SPI61" s="608"/>
      <c r="SPJ61" s="608"/>
      <c r="SPK61" s="608"/>
      <c r="SPL61" s="608"/>
      <c r="SPM61" s="608"/>
      <c r="SPN61" s="608"/>
      <c r="SPO61" s="608"/>
      <c r="SPP61" s="608"/>
      <c r="SPQ61" s="608"/>
      <c r="SPR61" s="608"/>
      <c r="SPS61" s="608"/>
      <c r="SPT61" s="608"/>
      <c r="SPU61" s="608"/>
      <c r="SPV61" s="608"/>
      <c r="SPW61" s="608"/>
      <c r="SPX61" s="608"/>
      <c r="SPY61" s="608"/>
      <c r="SPZ61" s="608"/>
      <c r="SQA61" s="608"/>
      <c r="SQB61" s="608"/>
      <c r="SQC61" s="608"/>
      <c r="SQD61" s="608"/>
      <c r="SQE61" s="608"/>
      <c r="SQF61" s="608"/>
      <c r="SQG61" s="608"/>
      <c r="SQH61" s="608"/>
      <c r="SQI61" s="608"/>
      <c r="SQJ61" s="608"/>
      <c r="SQK61" s="608"/>
      <c r="SQL61" s="608"/>
      <c r="SQM61" s="608"/>
      <c r="SQN61" s="608"/>
      <c r="SQO61" s="608"/>
      <c r="SQP61" s="608"/>
      <c r="SQQ61" s="608"/>
      <c r="SQR61" s="608"/>
      <c r="SQS61" s="608"/>
      <c r="SQT61" s="608"/>
      <c r="SQU61" s="608"/>
      <c r="SQV61" s="608"/>
      <c r="SQW61" s="608"/>
      <c r="SQX61" s="608"/>
      <c r="SQY61" s="608"/>
      <c r="SQZ61" s="608"/>
      <c r="SRA61" s="608"/>
      <c r="SRB61" s="608"/>
      <c r="SRC61" s="608"/>
      <c r="SRD61" s="608"/>
      <c r="SRE61" s="608"/>
      <c r="SRF61" s="608"/>
      <c r="SRG61" s="608"/>
      <c r="SRH61" s="608"/>
      <c r="SRI61" s="608"/>
      <c r="SRJ61" s="608"/>
      <c r="SRK61" s="608"/>
      <c r="SRL61" s="608"/>
      <c r="SRM61" s="608"/>
      <c r="SRN61" s="608"/>
      <c r="SRO61" s="608"/>
      <c r="SRP61" s="608"/>
      <c r="SRQ61" s="608"/>
      <c r="SRR61" s="608"/>
      <c r="SRS61" s="608"/>
      <c r="SRT61" s="608"/>
      <c r="SRU61" s="608"/>
      <c r="SRV61" s="608"/>
      <c r="SRW61" s="608"/>
      <c r="SRX61" s="608"/>
      <c r="SRY61" s="608"/>
      <c r="SRZ61" s="608"/>
      <c r="SSA61" s="608"/>
      <c r="SSB61" s="608"/>
      <c r="SSC61" s="608"/>
      <c r="SSD61" s="608"/>
      <c r="SSE61" s="608"/>
      <c r="SSF61" s="608"/>
      <c r="SSG61" s="608"/>
      <c r="SSH61" s="608"/>
      <c r="SSI61" s="608"/>
      <c r="SSJ61" s="608"/>
      <c r="SSK61" s="608"/>
      <c r="SSL61" s="608"/>
      <c r="SSM61" s="608"/>
      <c r="SSN61" s="608"/>
      <c r="SSO61" s="608"/>
      <c r="SSP61" s="608"/>
      <c r="SSQ61" s="608"/>
      <c r="SSR61" s="608"/>
      <c r="SSS61" s="608"/>
      <c r="SST61" s="608"/>
      <c r="SSU61" s="608"/>
      <c r="SSV61" s="608"/>
      <c r="SSW61" s="608"/>
      <c r="SSX61" s="608"/>
      <c r="SSY61" s="608"/>
      <c r="SSZ61" s="608"/>
      <c r="STA61" s="608"/>
      <c r="STB61" s="608"/>
      <c r="STC61" s="608"/>
      <c r="STD61" s="608"/>
      <c r="STE61" s="608"/>
      <c r="STF61" s="608"/>
      <c r="STG61" s="608"/>
      <c r="STH61" s="608"/>
      <c r="STI61" s="608"/>
      <c r="STJ61" s="608"/>
      <c r="STK61" s="608"/>
      <c r="STL61" s="608"/>
      <c r="STM61" s="608"/>
      <c r="STN61" s="608"/>
      <c r="STO61" s="608"/>
      <c r="STP61" s="608"/>
      <c r="STQ61" s="608"/>
      <c r="STR61" s="608"/>
      <c r="STS61" s="608"/>
      <c r="STT61" s="608"/>
      <c r="STU61" s="608"/>
      <c r="STV61" s="608"/>
      <c r="STW61" s="608"/>
      <c r="STX61" s="608"/>
      <c r="STY61" s="608"/>
      <c r="STZ61" s="608"/>
      <c r="SUA61" s="608"/>
      <c r="SUB61" s="608"/>
      <c r="SUC61" s="608"/>
      <c r="SUD61" s="608"/>
      <c r="SUE61" s="608"/>
      <c r="SUF61" s="608"/>
      <c r="SUG61" s="608"/>
      <c r="SUH61" s="608"/>
      <c r="SUI61" s="608"/>
      <c r="SUJ61" s="608"/>
      <c r="SUK61" s="608"/>
      <c r="SUL61" s="608"/>
      <c r="SUM61" s="608"/>
      <c r="SUN61" s="608"/>
      <c r="SUO61" s="608"/>
      <c r="SUP61" s="608"/>
      <c r="SUQ61" s="608"/>
      <c r="SUR61" s="608"/>
      <c r="SUS61" s="608"/>
      <c r="SUT61" s="608"/>
      <c r="SUU61" s="608"/>
      <c r="SUV61" s="608"/>
      <c r="SUW61" s="608"/>
      <c r="SUX61" s="608"/>
      <c r="SUY61" s="608"/>
      <c r="SUZ61" s="608"/>
      <c r="SVA61" s="608"/>
      <c r="SVB61" s="608"/>
      <c r="SVC61" s="608"/>
      <c r="SVD61" s="608"/>
      <c r="SVE61" s="608"/>
      <c r="SVF61" s="608"/>
      <c r="SVG61" s="608"/>
      <c r="SVH61" s="608"/>
      <c r="SVI61" s="608"/>
      <c r="SVJ61" s="608"/>
      <c r="SVK61" s="608"/>
      <c r="SVL61" s="608"/>
      <c r="SVM61" s="608"/>
      <c r="SVN61" s="608"/>
      <c r="SVO61" s="608"/>
      <c r="SVP61" s="608"/>
      <c r="SVQ61" s="608"/>
      <c r="SVR61" s="608"/>
      <c r="SVS61" s="608"/>
      <c r="SVT61" s="608"/>
      <c r="SVU61" s="608"/>
      <c r="SVV61" s="608"/>
      <c r="SVW61" s="608"/>
      <c r="SVX61" s="608"/>
      <c r="SVY61" s="608"/>
      <c r="SVZ61" s="608"/>
      <c r="SWA61" s="608"/>
      <c r="SWB61" s="608"/>
      <c r="SWC61" s="608"/>
      <c r="SWD61" s="608"/>
      <c r="SWE61" s="608"/>
      <c r="SWF61" s="608"/>
      <c r="SWG61" s="608"/>
      <c r="SWH61" s="608"/>
      <c r="SWI61" s="608"/>
      <c r="SWJ61" s="608"/>
      <c r="SWK61" s="608"/>
      <c r="SWL61" s="608"/>
      <c r="SWM61" s="608"/>
      <c r="SWN61" s="608"/>
      <c r="SWO61" s="608"/>
      <c r="SWP61" s="608"/>
      <c r="SWQ61" s="608"/>
      <c r="SWR61" s="608"/>
      <c r="SWS61" s="608"/>
      <c r="SWT61" s="608"/>
      <c r="SWU61" s="608"/>
      <c r="SWV61" s="608"/>
      <c r="SWW61" s="608"/>
      <c r="SWX61" s="608"/>
      <c r="SWY61" s="608"/>
      <c r="SWZ61" s="608"/>
      <c r="SXA61" s="608"/>
      <c r="SXB61" s="608"/>
      <c r="SXC61" s="608"/>
      <c r="SXD61" s="608"/>
      <c r="SXE61" s="608"/>
      <c r="SXF61" s="608"/>
      <c r="SXG61" s="608"/>
      <c r="SXH61" s="608"/>
      <c r="SXI61" s="608"/>
      <c r="SXJ61" s="608"/>
      <c r="SXK61" s="608"/>
      <c r="SXL61" s="608"/>
      <c r="SXM61" s="608"/>
      <c r="SXN61" s="608"/>
      <c r="SXO61" s="608"/>
      <c r="SXP61" s="608"/>
      <c r="SXQ61" s="608"/>
      <c r="SXR61" s="608"/>
      <c r="SXS61" s="608"/>
      <c r="SXT61" s="608"/>
      <c r="SXU61" s="608"/>
      <c r="SXV61" s="608"/>
      <c r="SXW61" s="608"/>
      <c r="SXX61" s="608"/>
      <c r="SXY61" s="608"/>
      <c r="SXZ61" s="608"/>
      <c r="SYA61" s="608"/>
      <c r="SYB61" s="608"/>
      <c r="SYC61" s="608"/>
      <c r="SYD61" s="608"/>
      <c r="SYE61" s="608"/>
      <c r="SYF61" s="608"/>
      <c r="SYG61" s="608"/>
      <c r="SYH61" s="608"/>
      <c r="SYI61" s="608"/>
      <c r="SYJ61" s="608"/>
      <c r="SYK61" s="608"/>
      <c r="SYL61" s="608"/>
      <c r="SYM61" s="608"/>
      <c r="SYN61" s="608"/>
      <c r="SYO61" s="608"/>
      <c r="SYP61" s="608"/>
      <c r="SYQ61" s="608"/>
      <c r="SYR61" s="608"/>
      <c r="SYS61" s="608"/>
      <c r="SYT61" s="608"/>
      <c r="SYU61" s="608"/>
      <c r="SYV61" s="608"/>
      <c r="SYW61" s="608"/>
      <c r="SYX61" s="608"/>
      <c r="SYY61" s="608"/>
      <c r="SYZ61" s="608"/>
      <c r="SZA61" s="608"/>
      <c r="SZB61" s="608"/>
      <c r="SZC61" s="608"/>
      <c r="SZD61" s="608"/>
      <c r="SZE61" s="608"/>
      <c r="SZF61" s="608"/>
      <c r="SZG61" s="608"/>
      <c r="SZH61" s="608"/>
      <c r="SZI61" s="608"/>
      <c r="SZJ61" s="608"/>
      <c r="SZK61" s="608"/>
      <c r="SZL61" s="608"/>
      <c r="SZM61" s="608"/>
      <c r="SZN61" s="608"/>
      <c r="SZO61" s="608"/>
      <c r="SZP61" s="608"/>
      <c r="SZQ61" s="608"/>
      <c r="SZR61" s="608"/>
      <c r="SZS61" s="608"/>
      <c r="SZT61" s="608"/>
      <c r="SZU61" s="608"/>
      <c r="SZV61" s="608"/>
      <c r="SZW61" s="608"/>
      <c r="SZX61" s="608"/>
      <c r="SZY61" s="608"/>
      <c r="SZZ61" s="608"/>
      <c r="TAA61" s="608"/>
      <c r="TAB61" s="608"/>
      <c r="TAC61" s="608"/>
      <c r="TAD61" s="608"/>
      <c r="TAE61" s="608"/>
      <c r="TAF61" s="608"/>
      <c r="TAG61" s="608"/>
      <c r="TAH61" s="608"/>
      <c r="TAI61" s="608"/>
      <c r="TAJ61" s="608"/>
      <c r="TAK61" s="608"/>
      <c r="TAL61" s="608"/>
      <c r="TAM61" s="608"/>
      <c r="TAN61" s="608"/>
      <c r="TAO61" s="608"/>
      <c r="TAP61" s="608"/>
      <c r="TAQ61" s="608"/>
      <c r="TAR61" s="608"/>
      <c r="TAS61" s="608"/>
      <c r="TAT61" s="608"/>
      <c r="TAU61" s="608"/>
      <c r="TAV61" s="608"/>
      <c r="TAW61" s="608"/>
      <c r="TAX61" s="608"/>
      <c r="TAY61" s="608"/>
      <c r="TAZ61" s="608"/>
      <c r="TBA61" s="608"/>
      <c r="TBB61" s="608"/>
      <c r="TBC61" s="608"/>
      <c r="TBD61" s="608"/>
      <c r="TBE61" s="608"/>
      <c r="TBF61" s="608"/>
      <c r="TBG61" s="608"/>
      <c r="TBH61" s="608"/>
      <c r="TBI61" s="608"/>
      <c r="TBJ61" s="608"/>
      <c r="TBK61" s="608"/>
      <c r="TBL61" s="608"/>
      <c r="TBM61" s="608"/>
      <c r="TBN61" s="608"/>
      <c r="TBO61" s="608"/>
      <c r="TBP61" s="608"/>
      <c r="TBQ61" s="608"/>
      <c r="TBR61" s="608"/>
      <c r="TBS61" s="608"/>
      <c r="TBT61" s="608"/>
      <c r="TBU61" s="608"/>
      <c r="TBV61" s="608"/>
      <c r="TBW61" s="608"/>
      <c r="TBX61" s="608"/>
      <c r="TBY61" s="608"/>
      <c r="TBZ61" s="608"/>
      <c r="TCA61" s="608"/>
      <c r="TCB61" s="608"/>
      <c r="TCC61" s="608"/>
      <c r="TCD61" s="608"/>
      <c r="TCE61" s="608"/>
      <c r="TCF61" s="608"/>
      <c r="TCG61" s="608"/>
      <c r="TCH61" s="608"/>
      <c r="TCI61" s="608"/>
      <c r="TCJ61" s="608"/>
      <c r="TCK61" s="608"/>
      <c r="TCL61" s="608"/>
      <c r="TCM61" s="608"/>
      <c r="TCN61" s="608"/>
      <c r="TCO61" s="608"/>
      <c r="TCP61" s="608"/>
      <c r="TCQ61" s="608"/>
      <c r="TCR61" s="608"/>
      <c r="TCS61" s="608"/>
      <c r="TCT61" s="608"/>
      <c r="TCU61" s="608"/>
      <c r="TCV61" s="608"/>
      <c r="TCW61" s="608"/>
      <c r="TCX61" s="608"/>
      <c r="TCY61" s="608"/>
      <c r="TCZ61" s="608"/>
      <c r="TDA61" s="608"/>
      <c r="TDB61" s="608"/>
      <c r="TDC61" s="608"/>
      <c r="TDD61" s="608"/>
      <c r="TDE61" s="608"/>
      <c r="TDF61" s="608"/>
      <c r="TDG61" s="608"/>
      <c r="TDH61" s="608"/>
      <c r="TDI61" s="608"/>
      <c r="TDJ61" s="608"/>
      <c r="TDK61" s="608"/>
      <c r="TDL61" s="608"/>
      <c r="TDM61" s="608"/>
      <c r="TDN61" s="608"/>
      <c r="TDO61" s="608"/>
      <c r="TDP61" s="608"/>
      <c r="TDQ61" s="608"/>
      <c r="TDR61" s="608"/>
      <c r="TDS61" s="608"/>
      <c r="TDT61" s="608"/>
      <c r="TDU61" s="608"/>
      <c r="TDV61" s="608"/>
      <c r="TDW61" s="608"/>
      <c r="TDX61" s="608"/>
      <c r="TDY61" s="608"/>
      <c r="TDZ61" s="608"/>
      <c r="TEA61" s="608"/>
      <c r="TEB61" s="608"/>
      <c r="TEC61" s="608"/>
      <c r="TED61" s="608"/>
      <c r="TEE61" s="608"/>
      <c r="TEF61" s="608"/>
      <c r="TEG61" s="608"/>
      <c r="TEH61" s="608"/>
      <c r="TEI61" s="608"/>
      <c r="TEJ61" s="608"/>
      <c r="TEK61" s="608"/>
      <c r="TEL61" s="608"/>
      <c r="TEM61" s="608"/>
      <c r="TEN61" s="608"/>
      <c r="TEO61" s="608"/>
      <c r="TEP61" s="608"/>
      <c r="TEQ61" s="608"/>
      <c r="TER61" s="608"/>
      <c r="TES61" s="608"/>
      <c r="TET61" s="608"/>
      <c r="TEU61" s="608"/>
      <c r="TEV61" s="608"/>
      <c r="TEW61" s="608"/>
      <c r="TEX61" s="608"/>
      <c r="TEY61" s="608"/>
      <c r="TEZ61" s="608"/>
      <c r="TFA61" s="608"/>
      <c r="TFB61" s="608"/>
      <c r="TFC61" s="608"/>
      <c r="TFD61" s="608"/>
      <c r="TFE61" s="608"/>
      <c r="TFF61" s="608"/>
      <c r="TFG61" s="608"/>
      <c r="TFH61" s="608"/>
      <c r="TFI61" s="608"/>
      <c r="TFJ61" s="608"/>
      <c r="TFK61" s="608"/>
      <c r="TFL61" s="608"/>
      <c r="TFM61" s="608"/>
      <c r="TFN61" s="608"/>
      <c r="TFO61" s="608"/>
      <c r="TFP61" s="608"/>
      <c r="TFQ61" s="608"/>
      <c r="TFR61" s="608"/>
      <c r="TFS61" s="608"/>
      <c r="TFT61" s="608"/>
      <c r="TFU61" s="608"/>
      <c r="TFV61" s="608"/>
      <c r="TFW61" s="608"/>
      <c r="TFX61" s="608"/>
      <c r="TFY61" s="608"/>
      <c r="TFZ61" s="608"/>
      <c r="TGA61" s="608"/>
      <c r="TGB61" s="608"/>
      <c r="TGC61" s="608"/>
      <c r="TGD61" s="608"/>
      <c r="TGE61" s="608"/>
      <c r="TGF61" s="608"/>
      <c r="TGG61" s="608"/>
      <c r="TGH61" s="608"/>
      <c r="TGI61" s="608"/>
      <c r="TGJ61" s="608"/>
      <c r="TGK61" s="608"/>
      <c r="TGL61" s="608"/>
      <c r="TGM61" s="608"/>
      <c r="TGN61" s="608"/>
      <c r="TGO61" s="608"/>
      <c r="TGP61" s="608"/>
      <c r="TGQ61" s="608"/>
      <c r="TGR61" s="608"/>
      <c r="TGS61" s="608"/>
      <c r="TGT61" s="608"/>
      <c r="TGU61" s="608"/>
      <c r="TGV61" s="608"/>
      <c r="TGW61" s="608"/>
      <c r="TGX61" s="608"/>
      <c r="TGY61" s="608"/>
      <c r="TGZ61" s="608"/>
      <c r="THA61" s="608"/>
      <c r="THB61" s="608"/>
      <c r="THC61" s="608"/>
      <c r="THD61" s="608"/>
      <c r="THE61" s="608"/>
      <c r="THF61" s="608"/>
      <c r="THG61" s="608"/>
      <c r="THH61" s="608"/>
      <c r="THI61" s="608"/>
      <c r="THJ61" s="608"/>
      <c r="THK61" s="608"/>
      <c r="THL61" s="608"/>
      <c r="THM61" s="608"/>
      <c r="THN61" s="608"/>
      <c r="THO61" s="608"/>
      <c r="THP61" s="608"/>
      <c r="THQ61" s="608"/>
      <c r="THR61" s="608"/>
      <c r="THS61" s="608"/>
      <c r="THT61" s="608"/>
      <c r="THU61" s="608"/>
      <c r="THV61" s="608"/>
      <c r="THW61" s="608"/>
      <c r="THX61" s="608"/>
      <c r="THY61" s="608"/>
      <c r="THZ61" s="608"/>
      <c r="TIA61" s="608"/>
      <c r="TIB61" s="608"/>
      <c r="TIC61" s="608"/>
      <c r="TID61" s="608"/>
      <c r="TIE61" s="608"/>
      <c r="TIF61" s="608"/>
      <c r="TIG61" s="608"/>
      <c r="TIH61" s="608"/>
      <c r="TII61" s="608"/>
      <c r="TIJ61" s="608"/>
      <c r="TIK61" s="608"/>
      <c r="TIL61" s="608"/>
      <c r="TIM61" s="608"/>
      <c r="TIN61" s="608"/>
      <c r="TIO61" s="608"/>
      <c r="TIP61" s="608"/>
      <c r="TIQ61" s="608"/>
      <c r="TIR61" s="608"/>
      <c r="TIS61" s="608"/>
      <c r="TIT61" s="608"/>
      <c r="TIU61" s="608"/>
      <c r="TIV61" s="608"/>
      <c r="TIW61" s="608"/>
      <c r="TIX61" s="608"/>
      <c r="TIY61" s="608"/>
      <c r="TIZ61" s="608"/>
      <c r="TJA61" s="608"/>
      <c r="TJB61" s="608"/>
      <c r="TJC61" s="608"/>
      <c r="TJD61" s="608"/>
      <c r="TJE61" s="608"/>
      <c r="TJF61" s="608"/>
      <c r="TJG61" s="608"/>
      <c r="TJH61" s="608"/>
      <c r="TJI61" s="608"/>
      <c r="TJJ61" s="608"/>
      <c r="TJK61" s="608"/>
      <c r="TJL61" s="608"/>
      <c r="TJM61" s="608"/>
      <c r="TJN61" s="608"/>
      <c r="TJO61" s="608"/>
      <c r="TJP61" s="608"/>
      <c r="TJQ61" s="608"/>
      <c r="TJR61" s="608"/>
      <c r="TJS61" s="608"/>
      <c r="TJT61" s="608"/>
      <c r="TJU61" s="608"/>
      <c r="TJV61" s="608"/>
      <c r="TJW61" s="608"/>
      <c r="TJX61" s="608"/>
      <c r="TJY61" s="608"/>
      <c r="TJZ61" s="608"/>
      <c r="TKA61" s="608"/>
      <c r="TKB61" s="608"/>
      <c r="TKC61" s="608"/>
      <c r="TKD61" s="608"/>
      <c r="TKE61" s="608"/>
      <c r="TKF61" s="608"/>
      <c r="TKG61" s="608"/>
      <c r="TKH61" s="608"/>
      <c r="TKI61" s="608"/>
      <c r="TKJ61" s="608"/>
      <c r="TKK61" s="608"/>
      <c r="TKL61" s="608"/>
      <c r="TKM61" s="608"/>
      <c r="TKN61" s="608"/>
      <c r="TKO61" s="608"/>
      <c r="TKP61" s="608"/>
      <c r="TKQ61" s="608"/>
      <c r="TKR61" s="608"/>
      <c r="TKS61" s="608"/>
      <c r="TKT61" s="608"/>
      <c r="TKU61" s="608"/>
      <c r="TKV61" s="608"/>
      <c r="TKW61" s="608"/>
      <c r="TKX61" s="608"/>
      <c r="TKY61" s="608"/>
      <c r="TKZ61" s="608"/>
      <c r="TLA61" s="608"/>
      <c r="TLB61" s="608"/>
      <c r="TLC61" s="608"/>
      <c r="TLD61" s="608"/>
      <c r="TLE61" s="608"/>
      <c r="TLF61" s="608"/>
      <c r="TLG61" s="608"/>
      <c r="TLH61" s="608"/>
      <c r="TLI61" s="608"/>
      <c r="TLJ61" s="608"/>
      <c r="TLK61" s="608"/>
      <c r="TLL61" s="608"/>
      <c r="TLM61" s="608"/>
      <c r="TLN61" s="608"/>
      <c r="TLO61" s="608"/>
      <c r="TLP61" s="608"/>
      <c r="TLQ61" s="608"/>
      <c r="TLR61" s="608"/>
      <c r="TLS61" s="608"/>
      <c r="TLT61" s="608"/>
      <c r="TLU61" s="608"/>
      <c r="TLV61" s="608"/>
      <c r="TLW61" s="608"/>
      <c r="TLX61" s="608"/>
      <c r="TLY61" s="608"/>
      <c r="TLZ61" s="608"/>
      <c r="TMA61" s="608"/>
      <c r="TMB61" s="608"/>
      <c r="TMC61" s="608"/>
      <c r="TMD61" s="608"/>
      <c r="TME61" s="608"/>
      <c r="TMF61" s="608"/>
      <c r="TMG61" s="608"/>
      <c r="TMH61" s="608"/>
      <c r="TMI61" s="608"/>
      <c r="TMJ61" s="608"/>
      <c r="TMK61" s="608"/>
      <c r="TML61" s="608"/>
      <c r="TMM61" s="608"/>
      <c r="TMN61" s="608"/>
      <c r="TMO61" s="608"/>
      <c r="TMP61" s="608"/>
      <c r="TMQ61" s="608"/>
      <c r="TMR61" s="608"/>
      <c r="TMS61" s="608"/>
      <c r="TMT61" s="608"/>
      <c r="TMU61" s="608"/>
      <c r="TMV61" s="608"/>
      <c r="TMW61" s="608"/>
      <c r="TMX61" s="608"/>
      <c r="TMY61" s="608"/>
      <c r="TMZ61" s="608"/>
      <c r="TNA61" s="608"/>
      <c r="TNB61" s="608"/>
      <c r="TNC61" s="608"/>
      <c r="TND61" s="608"/>
      <c r="TNE61" s="608"/>
      <c r="TNF61" s="608"/>
      <c r="TNG61" s="608"/>
      <c r="TNH61" s="608"/>
      <c r="TNI61" s="608"/>
      <c r="TNJ61" s="608"/>
      <c r="TNK61" s="608"/>
      <c r="TNL61" s="608"/>
      <c r="TNM61" s="608"/>
      <c r="TNN61" s="608"/>
      <c r="TNO61" s="608"/>
      <c r="TNP61" s="608"/>
      <c r="TNQ61" s="608"/>
      <c r="TNR61" s="608"/>
      <c r="TNS61" s="608"/>
      <c r="TNT61" s="608"/>
      <c r="TNU61" s="608"/>
      <c r="TNV61" s="608"/>
      <c r="TNW61" s="608"/>
      <c r="TNX61" s="608"/>
      <c r="TNY61" s="608"/>
      <c r="TNZ61" s="608"/>
      <c r="TOA61" s="608"/>
      <c r="TOB61" s="608"/>
      <c r="TOC61" s="608"/>
      <c r="TOD61" s="608"/>
      <c r="TOE61" s="608"/>
      <c r="TOF61" s="608"/>
      <c r="TOG61" s="608"/>
      <c r="TOH61" s="608"/>
      <c r="TOI61" s="608"/>
      <c r="TOJ61" s="608"/>
      <c r="TOK61" s="608"/>
      <c r="TOL61" s="608"/>
      <c r="TOM61" s="608"/>
      <c r="TON61" s="608"/>
      <c r="TOO61" s="608"/>
      <c r="TOP61" s="608"/>
      <c r="TOQ61" s="608"/>
      <c r="TOR61" s="608"/>
      <c r="TOS61" s="608"/>
      <c r="TOT61" s="608"/>
      <c r="TOU61" s="608"/>
      <c r="TOV61" s="608"/>
      <c r="TOW61" s="608"/>
      <c r="TOX61" s="608"/>
      <c r="TOY61" s="608"/>
      <c r="TOZ61" s="608"/>
      <c r="TPA61" s="608"/>
      <c r="TPB61" s="608"/>
      <c r="TPC61" s="608"/>
      <c r="TPD61" s="608"/>
      <c r="TPE61" s="608"/>
      <c r="TPF61" s="608"/>
      <c r="TPG61" s="608"/>
      <c r="TPH61" s="608"/>
      <c r="TPI61" s="608"/>
      <c r="TPJ61" s="608"/>
      <c r="TPK61" s="608"/>
      <c r="TPL61" s="608"/>
      <c r="TPM61" s="608"/>
      <c r="TPN61" s="608"/>
      <c r="TPO61" s="608"/>
      <c r="TPP61" s="608"/>
      <c r="TPQ61" s="608"/>
      <c r="TPR61" s="608"/>
      <c r="TPS61" s="608"/>
      <c r="TPT61" s="608"/>
      <c r="TPU61" s="608"/>
      <c r="TPV61" s="608"/>
      <c r="TPW61" s="608"/>
      <c r="TPX61" s="608"/>
      <c r="TPY61" s="608"/>
      <c r="TPZ61" s="608"/>
      <c r="TQA61" s="608"/>
      <c r="TQB61" s="608"/>
      <c r="TQC61" s="608"/>
      <c r="TQD61" s="608"/>
      <c r="TQE61" s="608"/>
      <c r="TQF61" s="608"/>
      <c r="TQG61" s="608"/>
      <c r="TQH61" s="608"/>
      <c r="TQI61" s="608"/>
      <c r="TQJ61" s="608"/>
      <c r="TQK61" s="608"/>
      <c r="TQL61" s="608"/>
      <c r="TQM61" s="608"/>
      <c r="TQN61" s="608"/>
      <c r="TQO61" s="608"/>
      <c r="TQP61" s="608"/>
      <c r="TQQ61" s="608"/>
      <c r="TQR61" s="608"/>
      <c r="TQS61" s="608"/>
      <c r="TQT61" s="608"/>
      <c r="TQU61" s="608"/>
      <c r="TQV61" s="608"/>
      <c r="TQW61" s="608"/>
      <c r="TQX61" s="608"/>
      <c r="TQY61" s="608"/>
      <c r="TQZ61" s="608"/>
      <c r="TRA61" s="608"/>
      <c r="TRB61" s="608"/>
      <c r="TRC61" s="608"/>
      <c r="TRD61" s="608"/>
      <c r="TRE61" s="608"/>
      <c r="TRF61" s="608"/>
      <c r="TRG61" s="608"/>
      <c r="TRH61" s="608"/>
      <c r="TRI61" s="608"/>
      <c r="TRJ61" s="608"/>
      <c r="TRK61" s="608"/>
      <c r="TRL61" s="608"/>
      <c r="TRM61" s="608"/>
      <c r="TRN61" s="608"/>
      <c r="TRO61" s="608"/>
      <c r="TRP61" s="608"/>
      <c r="TRQ61" s="608"/>
      <c r="TRR61" s="608"/>
      <c r="TRS61" s="608"/>
      <c r="TRT61" s="608"/>
      <c r="TRU61" s="608"/>
      <c r="TRV61" s="608"/>
      <c r="TRW61" s="608"/>
      <c r="TRX61" s="608"/>
      <c r="TRY61" s="608"/>
      <c r="TRZ61" s="608"/>
      <c r="TSA61" s="608"/>
      <c r="TSB61" s="608"/>
      <c r="TSC61" s="608"/>
      <c r="TSD61" s="608"/>
      <c r="TSE61" s="608"/>
      <c r="TSF61" s="608"/>
      <c r="TSG61" s="608"/>
      <c r="TSH61" s="608"/>
      <c r="TSI61" s="608"/>
      <c r="TSJ61" s="608"/>
      <c r="TSK61" s="608"/>
      <c r="TSL61" s="608"/>
      <c r="TSM61" s="608"/>
      <c r="TSN61" s="608"/>
      <c r="TSO61" s="608"/>
      <c r="TSP61" s="608"/>
      <c r="TSQ61" s="608"/>
      <c r="TSR61" s="608"/>
      <c r="TSS61" s="608"/>
      <c r="TST61" s="608"/>
      <c r="TSU61" s="608"/>
      <c r="TSV61" s="608"/>
      <c r="TSW61" s="608"/>
      <c r="TSX61" s="608"/>
      <c r="TSY61" s="608"/>
      <c r="TSZ61" s="608"/>
      <c r="TTA61" s="608"/>
      <c r="TTB61" s="608"/>
      <c r="TTC61" s="608"/>
      <c r="TTD61" s="608"/>
      <c r="TTE61" s="608"/>
      <c r="TTF61" s="608"/>
      <c r="TTG61" s="608"/>
      <c r="TTH61" s="608"/>
      <c r="TTI61" s="608"/>
      <c r="TTJ61" s="608"/>
      <c r="TTK61" s="608"/>
      <c r="TTL61" s="608"/>
      <c r="TTM61" s="608"/>
      <c r="TTN61" s="608"/>
      <c r="TTO61" s="608"/>
      <c r="TTP61" s="608"/>
      <c r="TTQ61" s="608"/>
      <c r="TTR61" s="608"/>
      <c r="TTS61" s="608"/>
      <c r="TTT61" s="608"/>
      <c r="TTU61" s="608"/>
      <c r="TTV61" s="608"/>
      <c r="TTW61" s="608"/>
      <c r="TTX61" s="608"/>
      <c r="TTY61" s="608"/>
      <c r="TTZ61" s="608"/>
      <c r="TUA61" s="608"/>
      <c r="TUB61" s="608"/>
      <c r="TUC61" s="608"/>
      <c r="TUD61" s="608"/>
      <c r="TUE61" s="608"/>
      <c r="TUF61" s="608"/>
      <c r="TUG61" s="608"/>
      <c r="TUH61" s="608"/>
      <c r="TUI61" s="608"/>
      <c r="TUJ61" s="608"/>
      <c r="TUK61" s="608"/>
      <c r="TUL61" s="608"/>
      <c r="TUM61" s="608"/>
      <c r="TUN61" s="608"/>
      <c r="TUO61" s="608"/>
      <c r="TUP61" s="608"/>
      <c r="TUQ61" s="608"/>
      <c r="TUR61" s="608"/>
      <c r="TUS61" s="608"/>
      <c r="TUT61" s="608"/>
      <c r="TUU61" s="608"/>
      <c r="TUV61" s="608"/>
      <c r="TUW61" s="608"/>
      <c r="TUX61" s="608"/>
      <c r="TUY61" s="608"/>
      <c r="TUZ61" s="608"/>
      <c r="TVA61" s="608"/>
      <c r="TVB61" s="608"/>
      <c r="TVC61" s="608"/>
      <c r="TVD61" s="608"/>
      <c r="TVE61" s="608"/>
      <c r="TVF61" s="608"/>
      <c r="TVG61" s="608"/>
      <c r="TVH61" s="608"/>
      <c r="TVI61" s="608"/>
      <c r="TVJ61" s="608"/>
      <c r="TVK61" s="608"/>
      <c r="TVL61" s="608"/>
      <c r="TVM61" s="608"/>
      <c r="TVN61" s="608"/>
      <c r="TVO61" s="608"/>
      <c r="TVP61" s="608"/>
      <c r="TVQ61" s="608"/>
      <c r="TVR61" s="608"/>
      <c r="TVS61" s="608"/>
      <c r="TVT61" s="608"/>
      <c r="TVU61" s="608"/>
      <c r="TVV61" s="608"/>
      <c r="TVW61" s="608"/>
      <c r="TVX61" s="608"/>
      <c r="TVY61" s="608"/>
      <c r="TVZ61" s="608"/>
      <c r="TWA61" s="608"/>
      <c r="TWB61" s="608"/>
      <c r="TWC61" s="608"/>
      <c r="TWD61" s="608"/>
      <c r="TWE61" s="608"/>
      <c r="TWF61" s="608"/>
      <c r="TWG61" s="608"/>
      <c r="TWH61" s="608"/>
      <c r="TWI61" s="608"/>
      <c r="TWJ61" s="608"/>
      <c r="TWK61" s="608"/>
      <c r="TWL61" s="608"/>
      <c r="TWM61" s="608"/>
      <c r="TWN61" s="608"/>
      <c r="TWO61" s="608"/>
      <c r="TWP61" s="608"/>
      <c r="TWQ61" s="608"/>
      <c r="TWR61" s="608"/>
      <c r="TWS61" s="608"/>
      <c r="TWT61" s="608"/>
      <c r="TWU61" s="608"/>
      <c r="TWV61" s="608"/>
      <c r="TWW61" s="608"/>
      <c r="TWX61" s="608"/>
      <c r="TWY61" s="608"/>
      <c r="TWZ61" s="608"/>
      <c r="TXA61" s="608"/>
      <c r="TXB61" s="608"/>
      <c r="TXC61" s="608"/>
      <c r="TXD61" s="608"/>
      <c r="TXE61" s="608"/>
      <c r="TXF61" s="608"/>
      <c r="TXG61" s="608"/>
      <c r="TXH61" s="608"/>
      <c r="TXI61" s="608"/>
      <c r="TXJ61" s="608"/>
      <c r="TXK61" s="608"/>
      <c r="TXL61" s="608"/>
      <c r="TXM61" s="608"/>
      <c r="TXN61" s="608"/>
      <c r="TXO61" s="608"/>
      <c r="TXP61" s="608"/>
      <c r="TXQ61" s="608"/>
      <c r="TXR61" s="608"/>
      <c r="TXS61" s="608"/>
      <c r="TXT61" s="608"/>
      <c r="TXU61" s="608"/>
      <c r="TXV61" s="608"/>
      <c r="TXW61" s="608"/>
      <c r="TXX61" s="608"/>
      <c r="TXY61" s="608"/>
      <c r="TXZ61" s="608"/>
      <c r="TYA61" s="608"/>
      <c r="TYB61" s="608"/>
      <c r="TYC61" s="608"/>
      <c r="TYD61" s="608"/>
      <c r="TYE61" s="608"/>
      <c r="TYF61" s="608"/>
      <c r="TYG61" s="608"/>
      <c r="TYH61" s="608"/>
      <c r="TYI61" s="608"/>
      <c r="TYJ61" s="608"/>
      <c r="TYK61" s="608"/>
      <c r="TYL61" s="608"/>
      <c r="TYM61" s="608"/>
      <c r="TYN61" s="608"/>
      <c r="TYO61" s="608"/>
      <c r="TYP61" s="608"/>
      <c r="TYQ61" s="608"/>
      <c r="TYR61" s="608"/>
      <c r="TYS61" s="608"/>
      <c r="TYT61" s="608"/>
      <c r="TYU61" s="608"/>
      <c r="TYV61" s="608"/>
      <c r="TYW61" s="608"/>
      <c r="TYX61" s="608"/>
      <c r="TYY61" s="608"/>
      <c r="TYZ61" s="608"/>
      <c r="TZA61" s="608"/>
      <c r="TZB61" s="608"/>
      <c r="TZC61" s="608"/>
      <c r="TZD61" s="608"/>
      <c r="TZE61" s="608"/>
      <c r="TZF61" s="608"/>
      <c r="TZG61" s="608"/>
      <c r="TZH61" s="608"/>
      <c r="TZI61" s="608"/>
      <c r="TZJ61" s="608"/>
      <c r="TZK61" s="608"/>
      <c r="TZL61" s="608"/>
      <c r="TZM61" s="608"/>
      <c r="TZN61" s="608"/>
      <c r="TZO61" s="608"/>
      <c r="TZP61" s="608"/>
      <c r="TZQ61" s="608"/>
      <c r="TZR61" s="608"/>
      <c r="TZS61" s="608"/>
      <c r="TZT61" s="608"/>
      <c r="TZU61" s="608"/>
      <c r="TZV61" s="608"/>
      <c r="TZW61" s="608"/>
      <c r="TZX61" s="608"/>
      <c r="TZY61" s="608"/>
      <c r="TZZ61" s="608"/>
      <c r="UAA61" s="608"/>
      <c r="UAB61" s="608"/>
      <c r="UAC61" s="608"/>
      <c r="UAD61" s="608"/>
      <c r="UAE61" s="608"/>
      <c r="UAF61" s="608"/>
      <c r="UAG61" s="608"/>
      <c r="UAH61" s="608"/>
      <c r="UAI61" s="608"/>
      <c r="UAJ61" s="608"/>
      <c r="UAK61" s="608"/>
      <c r="UAL61" s="608"/>
      <c r="UAM61" s="608"/>
      <c r="UAN61" s="608"/>
      <c r="UAO61" s="608"/>
      <c r="UAP61" s="608"/>
      <c r="UAQ61" s="608"/>
      <c r="UAR61" s="608"/>
      <c r="UAS61" s="608"/>
      <c r="UAT61" s="608"/>
      <c r="UAU61" s="608"/>
      <c r="UAV61" s="608"/>
      <c r="UAW61" s="608"/>
      <c r="UAX61" s="608"/>
      <c r="UAY61" s="608"/>
      <c r="UAZ61" s="608"/>
      <c r="UBA61" s="608"/>
      <c r="UBB61" s="608"/>
      <c r="UBC61" s="608"/>
      <c r="UBD61" s="608"/>
      <c r="UBE61" s="608"/>
      <c r="UBF61" s="608"/>
      <c r="UBG61" s="608"/>
      <c r="UBH61" s="608"/>
      <c r="UBI61" s="608"/>
      <c r="UBJ61" s="608"/>
      <c r="UBK61" s="608"/>
      <c r="UBL61" s="608"/>
      <c r="UBM61" s="608"/>
      <c r="UBN61" s="608"/>
      <c r="UBO61" s="608"/>
      <c r="UBP61" s="608"/>
      <c r="UBQ61" s="608"/>
      <c r="UBR61" s="608"/>
      <c r="UBS61" s="608"/>
      <c r="UBT61" s="608"/>
      <c r="UBU61" s="608"/>
      <c r="UBV61" s="608"/>
      <c r="UBW61" s="608"/>
      <c r="UBX61" s="608"/>
      <c r="UBY61" s="608"/>
      <c r="UBZ61" s="608"/>
      <c r="UCA61" s="608"/>
      <c r="UCB61" s="608"/>
      <c r="UCC61" s="608"/>
      <c r="UCD61" s="608"/>
      <c r="UCE61" s="608"/>
      <c r="UCF61" s="608"/>
      <c r="UCG61" s="608"/>
      <c r="UCH61" s="608"/>
      <c r="UCI61" s="608"/>
      <c r="UCJ61" s="608"/>
      <c r="UCK61" s="608"/>
      <c r="UCL61" s="608"/>
      <c r="UCM61" s="608"/>
      <c r="UCN61" s="608"/>
      <c r="UCO61" s="608"/>
      <c r="UCP61" s="608"/>
      <c r="UCQ61" s="608"/>
      <c r="UCR61" s="608"/>
      <c r="UCS61" s="608"/>
      <c r="UCT61" s="608"/>
      <c r="UCU61" s="608"/>
      <c r="UCV61" s="608"/>
      <c r="UCW61" s="608"/>
      <c r="UCX61" s="608"/>
      <c r="UCY61" s="608"/>
      <c r="UCZ61" s="608"/>
      <c r="UDA61" s="608"/>
      <c r="UDB61" s="608"/>
      <c r="UDC61" s="608"/>
      <c r="UDD61" s="608"/>
      <c r="UDE61" s="608"/>
      <c r="UDF61" s="608"/>
      <c r="UDG61" s="608"/>
      <c r="UDH61" s="608"/>
      <c r="UDI61" s="608"/>
      <c r="UDJ61" s="608"/>
      <c r="UDK61" s="608"/>
      <c r="UDL61" s="608"/>
      <c r="UDM61" s="608"/>
      <c r="UDN61" s="608"/>
      <c r="UDO61" s="608"/>
      <c r="UDP61" s="608"/>
      <c r="UDQ61" s="608"/>
      <c r="UDR61" s="608"/>
      <c r="UDS61" s="608"/>
      <c r="UDT61" s="608"/>
      <c r="UDU61" s="608"/>
      <c r="UDV61" s="608"/>
      <c r="UDW61" s="608"/>
      <c r="UDX61" s="608"/>
      <c r="UDY61" s="608"/>
      <c r="UDZ61" s="608"/>
      <c r="UEA61" s="608"/>
      <c r="UEB61" s="608"/>
      <c r="UEC61" s="608"/>
      <c r="UED61" s="608"/>
      <c r="UEE61" s="608"/>
      <c r="UEF61" s="608"/>
      <c r="UEG61" s="608"/>
      <c r="UEH61" s="608"/>
      <c r="UEI61" s="608"/>
      <c r="UEJ61" s="608"/>
      <c r="UEK61" s="608"/>
      <c r="UEL61" s="608"/>
      <c r="UEM61" s="608"/>
      <c r="UEN61" s="608"/>
      <c r="UEO61" s="608"/>
      <c r="UEP61" s="608"/>
      <c r="UEQ61" s="608"/>
      <c r="UER61" s="608"/>
      <c r="UES61" s="608"/>
      <c r="UET61" s="608"/>
      <c r="UEU61" s="608"/>
      <c r="UEV61" s="608"/>
      <c r="UEW61" s="608"/>
      <c r="UEX61" s="608"/>
      <c r="UEY61" s="608"/>
      <c r="UEZ61" s="608"/>
      <c r="UFA61" s="608"/>
      <c r="UFB61" s="608"/>
      <c r="UFC61" s="608"/>
      <c r="UFD61" s="608"/>
      <c r="UFE61" s="608"/>
      <c r="UFF61" s="608"/>
      <c r="UFG61" s="608"/>
      <c r="UFH61" s="608"/>
      <c r="UFI61" s="608"/>
      <c r="UFJ61" s="608"/>
      <c r="UFK61" s="608"/>
      <c r="UFL61" s="608"/>
      <c r="UFM61" s="608"/>
      <c r="UFN61" s="608"/>
      <c r="UFO61" s="608"/>
      <c r="UFP61" s="608"/>
      <c r="UFQ61" s="608"/>
      <c r="UFR61" s="608"/>
      <c r="UFS61" s="608"/>
      <c r="UFT61" s="608"/>
      <c r="UFU61" s="608"/>
      <c r="UFV61" s="608"/>
      <c r="UFW61" s="608"/>
      <c r="UFX61" s="608"/>
      <c r="UFY61" s="608"/>
      <c r="UFZ61" s="608"/>
      <c r="UGA61" s="608"/>
      <c r="UGB61" s="608"/>
      <c r="UGC61" s="608"/>
      <c r="UGD61" s="608"/>
      <c r="UGE61" s="608"/>
      <c r="UGF61" s="608"/>
      <c r="UGG61" s="608"/>
      <c r="UGH61" s="608"/>
      <c r="UGI61" s="608"/>
      <c r="UGJ61" s="608"/>
      <c r="UGK61" s="608"/>
      <c r="UGL61" s="608"/>
      <c r="UGM61" s="608"/>
      <c r="UGN61" s="608"/>
      <c r="UGO61" s="608"/>
      <c r="UGP61" s="608"/>
      <c r="UGQ61" s="608"/>
      <c r="UGR61" s="608"/>
      <c r="UGS61" s="608"/>
      <c r="UGT61" s="608"/>
      <c r="UGU61" s="608"/>
      <c r="UGV61" s="608"/>
      <c r="UGW61" s="608"/>
      <c r="UGX61" s="608"/>
      <c r="UGY61" s="608"/>
      <c r="UGZ61" s="608"/>
      <c r="UHA61" s="608"/>
      <c r="UHB61" s="608"/>
      <c r="UHC61" s="608"/>
      <c r="UHD61" s="608"/>
      <c r="UHE61" s="608"/>
      <c r="UHF61" s="608"/>
      <c r="UHG61" s="608"/>
      <c r="UHH61" s="608"/>
      <c r="UHI61" s="608"/>
      <c r="UHJ61" s="608"/>
      <c r="UHK61" s="608"/>
      <c r="UHL61" s="608"/>
      <c r="UHM61" s="608"/>
      <c r="UHN61" s="608"/>
      <c r="UHO61" s="608"/>
      <c r="UHP61" s="608"/>
      <c r="UHQ61" s="608"/>
      <c r="UHR61" s="608"/>
      <c r="UHS61" s="608"/>
      <c r="UHT61" s="608"/>
      <c r="UHU61" s="608"/>
      <c r="UHV61" s="608"/>
      <c r="UHW61" s="608"/>
      <c r="UHX61" s="608"/>
      <c r="UHY61" s="608"/>
      <c r="UHZ61" s="608"/>
      <c r="UIA61" s="608"/>
      <c r="UIB61" s="608"/>
      <c r="UIC61" s="608"/>
      <c r="UID61" s="608"/>
      <c r="UIE61" s="608"/>
      <c r="UIF61" s="608"/>
      <c r="UIG61" s="608"/>
      <c r="UIH61" s="608"/>
      <c r="UII61" s="608"/>
      <c r="UIJ61" s="608"/>
      <c r="UIK61" s="608"/>
      <c r="UIL61" s="608"/>
      <c r="UIM61" s="608"/>
      <c r="UIN61" s="608"/>
      <c r="UIO61" s="608"/>
      <c r="UIP61" s="608"/>
      <c r="UIQ61" s="608"/>
      <c r="UIR61" s="608"/>
      <c r="UIS61" s="608"/>
      <c r="UIT61" s="608"/>
      <c r="UIU61" s="608"/>
      <c r="UIV61" s="608"/>
      <c r="UIW61" s="608"/>
      <c r="UIX61" s="608"/>
      <c r="UIY61" s="608"/>
      <c r="UIZ61" s="608"/>
      <c r="UJA61" s="608"/>
      <c r="UJB61" s="608"/>
      <c r="UJC61" s="608"/>
      <c r="UJD61" s="608"/>
      <c r="UJE61" s="608"/>
      <c r="UJF61" s="608"/>
      <c r="UJG61" s="608"/>
      <c r="UJH61" s="608"/>
      <c r="UJI61" s="608"/>
      <c r="UJJ61" s="608"/>
      <c r="UJK61" s="608"/>
      <c r="UJL61" s="608"/>
      <c r="UJM61" s="608"/>
      <c r="UJN61" s="608"/>
      <c r="UJO61" s="608"/>
      <c r="UJP61" s="608"/>
      <c r="UJQ61" s="608"/>
      <c r="UJR61" s="608"/>
      <c r="UJS61" s="608"/>
      <c r="UJT61" s="608"/>
      <c r="UJU61" s="608"/>
      <c r="UJV61" s="608"/>
      <c r="UJW61" s="608"/>
      <c r="UJX61" s="608"/>
      <c r="UJY61" s="608"/>
      <c r="UJZ61" s="608"/>
      <c r="UKA61" s="608"/>
      <c r="UKB61" s="608"/>
      <c r="UKC61" s="608"/>
      <c r="UKD61" s="608"/>
      <c r="UKE61" s="608"/>
      <c r="UKF61" s="608"/>
      <c r="UKG61" s="608"/>
      <c r="UKH61" s="608"/>
      <c r="UKI61" s="608"/>
      <c r="UKJ61" s="608"/>
      <c r="UKK61" s="608"/>
      <c r="UKL61" s="608"/>
      <c r="UKM61" s="608"/>
      <c r="UKN61" s="608"/>
      <c r="UKO61" s="608"/>
      <c r="UKP61" s="608"/>
      <c r="UKQ61" s="608"/>
      <c r="UKR61" s="608"/>
      <c r="UKS61" s="608"/>
      <c r="UKT61" s="608"/>
      <c r="UKU61" s="608"/>
      <c r="UKV61" s="608"/>
      <c r="UKW61" s="608"/>
      <c r="UKX61" s="608"/>
      <c r="UKY61" s="608"/>
      <c r="UKZ61" s="608"/>
      <c r="ULA61" s="608"/>
      <c r="ULB61" s="608"/>
      <c r="ULC61" s="608"/>
      <c r="ULD61" s="608"/>
      <c r="ULE61" s="608"/>
      <c r="ULF61" s="608"/>
      <c r="ULG61" s="608"/>
      <c r="ULH61" s="608"/>
      <c r="ULI61" s="608"/>
      <c r="ULJ61" s="608"/>
      <c r="ULK61" s="608"/>
      <c r="ULL61" s="608"/>
      <c r="ULM61" s="608"/>
      <c r="ULN61" s="608"/>
      <c r="ULO61" s="608"/>
      <c r="ULP61" s="608"/>
      <c r="ULQ61" s="608"/>
      <c r="ULR61" s="608"/>
      <c r="ULS61" s="608"/>
      <c r="ULT61" s="608"/>
      <c r="ULU61" s="608"/>
      <c r="ULV61" s="608"/>
      <c r="ULW61" s="608"/>
      <c r="ULX61" s="608"/>
      <c r="ULY61" s="608"/>
      <c r="ULZ61" s="608"/>
      <c r="UMA61" s="608"/>
      <c r="UMB61" s="608"/>
      <c r="UMC61" s="608"/>
      <c r="UMD61" s="608"/>
      <c r="UME61" s="608"/>
      <c r="UMF61" s="608"/>
      <c r="UMG61" s="608"/>
      <c r="UMH61" s="608"/>
      <c r="UMI61" s="608"/>
      <c r="UMJ61" s="608"/>
      <c r="UMK61" s="608"/>
      <c r="UML61" s="608"/>
      <c r="UMM61" s="608"/>
      <c r="UMN61" s="608"/>
      <c r="UMO61" s="608"/>
      <c r="UMP61" s="608"/>
      <c r="UMQ61" s="608"/>
      <c r="UMR61" s="608"/>
      <c r="UMS61" s="608"/>
      <c r="UMT61" s="608"/>
      <c r="UMU61" s="608"/>
      <c r="UMV61" s="608"/>
      <c r="UMW61" s="608"/>
      <c r="UMX61" s="608"/>
      <c r="UMY61" s="608"/>
      <c r="UMZ61" s="608"/>
      <c r="UNA61" s="608"/>
      <c r="UNB61" s="608"/>
      <c r="UNC61" s="608"/>
      <c r="UND61" s="608"/>
      <c r="UNE61" s="608"/>
      <c r="UNF61" s="608"/>
      <c r="UNG61" s="608"/>
      <c r="UNH61" s="608"/>
      <c r="UNI61" s="608"/>
      <c r="UNJ61" s="608"/>
      <c r="UNK61" s="608"/>
      <c r="UNL61" s="608"/>
      <c r="UNM61" s="608"/>
      <c r="UNN61" s="608"/>
      <c r="UNO61" s="608"/>
      <c r="UNP61" s="608"/>
      <c r="UNQ61" s="608"/>
      <c r="UNR61" s="608"/>
      <c r="UNS61" s="608"/>
      <c r="UNT61" s="608"/>
      <c r="UNU61" s="608"/>
      <c r="UNV61" s="608"/>
      <c r="UNW61" s="608"/>
      <c r="UNX61" s="608"/>
      <c r="UNY61" s="608"/>
      <c r="UNZ61" s="608"/>
      <c r="UOA61" s="608"/>
      <c r="UOB61" s="608"/>
      <c r="UOC61" s="608"/>
      <c r="UOD61" s="608"/>
      <c r="UOE61" s="608"/>
      <c r="UOF61" s="608"/>
      <c r="UOG61" s="608"/>
      <c r="UOH61" s="608"/>
      <c r="UOI61" s="608"/>
      <c r="UOJ61" s="608"/>
      <c r="UOK61" s="608"/>
      <c r="UOL61" s="608"/>
      <c r="UOM61" s="608"/>
      <c r="UON61" s="608"/>
      <c r="UOO61" s="608"/>
      <c r="UOP61" s="608"/>
      <c r="UOQ61" s="608"/>
      <c r="UOR61" s="608"/>
      <c r="UOS61" s="608"/>
      <c r="UOT61" s="608"/>
      <c r="UOU61" s="608"/>
      <c r="UOV61" s="608"/>
      <c r="UOW61" s="608"/>
      <c r="UOX61" s="608"/>
      <c r="UOY61" s="608"/>
      <c r="UOZ61" s="608"/>
      <c r="UPA61" s="608"/>
      <c r="UPB61" s="608"/>
      <c r="UPC61" s="608"/>
      <c r="UPD61" s="608"/>
      <c r="UPE61" s="608"/>
      <c r="UPF61" s="608"/>
      <c r="UPG61" s="608"/>
      <c r="UPH61" s="608"/>
      <c r="UPI61" s="608"/>
      <c r="UPJ61" s="608"/>
      <c r="UPK61" s="608"/>
      <c r="UPL61" s="608"/>
      <c r="UPM61" s="608"/>
      <c r="UPN61" s="608"/>
      <c r="UPO61" s="608"/>
      <c r="UPP61" s="608"/>
      <c r="UPQ61" s="608"/>
      <c r="UPR61" s="608"/>
      <c r="UPS61" s="608"/>
      <c r="UPT61" s="608"/>
      <c r="UPU61" s="608"/>
      <c r="UPV61" s="608"/>
      <c r="UPW61" s="608"/>
      <c r="UPX61" s="608"/>
      <c r="UPY61" s="608"/>
      <c r="UPZ61" s="608"/>
      <c r="UQA61" s="608"/>
      <c r="UQB61" s="608"/>
      <c r="UQC61" s="608"/>
      <c r="UQD61" s="608"/>
      <c r="UQE61" s="608"/>
      <c r="UQF61" s="608"/>
      <c r="UQG61" s="608"/>
      <c r="UQH61" s="608"/>
      <c r="UQI61" s="608"/>
      <c r="UQJ61" s="608"/>
      <c r="UQK61" s="608"/>
      <c r="UQL61" s="608"/>
      <c r="UQM61" s="608"/>
      <c r="UQN61" s="608"/>
      <c r="UQO61" s="608"/>
      <c r="UQP61" s="608"/>
      <c r="UQQ61" s="608"/>
      <c r="UQR61" s="608"/>
      <c r="UQS61" s="608"/>
      <c r="UQT61" s="608"/>
      <c r="UQU61" s="608"/>
      <c r="UQV61" s="608"/>
      <c r="UQW61" s="608"/>
      <c r="UQX61" s="608"/>
      <c r="UQY61" s="608"/>
      <c r="UQZ61" s="608"/>
      <c r="URA61" s="608"/>
      <c r="URB61" s="608"/>
      <c r="URC61" s="608"/>
      <c r="URD61" s="608"/>
      <c r="URE61" s="608"/>
      <c r="URF61" s="608"/>
      <c r="URG61" s="608"/>
      <c r="URH61" s="608"/>
      <c r="URI61" s="608"/>
      <c r="URJ61" s="608"/>
      <c r="URK61" s="608"/>
      <c r="URL61" s="608"/>
      <c r="URM61" s="608"/>
      <c r="URN61" s="608"/>
      <c r="URO61" s="608"/>
      <c r="URP61" s="608"/>
      <c r="URQ61" s="608"/>
      <c r="URR61" s="608"/>
      <c r="URS61" s="608"/>
      <c r="URT61" s="608"/>
      <c r="URU61" s="608"/>
      <c r="URV61" s="608"/>
      <c r="URW61" s="608"/>
      <c r="URX61" s="608"/>
      <c r="URY61" s="608"/>
      <c r="URZ61" s="608"/>
      <c r="USA61" s="608"/>
      <c r="USB61" s="608"/>
      <c r="USC61" s="608"/>
      <c r="USD61" s="608"/>
      <c r="USE61" s="608"/>
      <c r="USF61" s="608"/>
      <c r="USG61" s="608"/>
      <c r="USH61" s="608"/>
      <c r="USI61" s="608"/>
      <c r="USJ61" s="608"/>
      <c r="USK61" s="608"/>
      <c r="USL61" s="608"/>
      <c r="USM61" s="608"/>
      <c r="USN61" s="608"/>
      <c r="USO61" s="608"/>
      <c r="USP61" s="608"/>
      <c r="USQ61" s="608"/>
      <c r="USR61" s="608"/>
      <c r="USS61" s="608"/>
      <c r="UST61" s="608"/>
      <c r="USU61" s="608"/>
      <c r="USV61" s="608"/>
      <c r="USW61" s="608"/>
      <c r="USX61" s="608"/>
      <c r="USY61" s="608"/>
      <c r="USZ61" s="608"/>
      <c r="UTA61" s="608"/>
      <c r="UTB61" s="608"/>
      <c r="UTC61" s="608"/>
      <c r="UTD61" s="608"/>
      <c r="UTE61" s="608"/>
      <c r="UTF61" s="608"/>
      <c r="UTG61" s="608"/>
      <c r="UTH61" s="608"/>
      <c r="UTI61" s="608"/>
      <c r="UTJ61" s="608"/>
      <c r="UTK61" s="608"/>
      <c r="UTL61" s="608"/>
      <c r="UTM61" s="608"/>
      <c r="UTN61" s="608"/>
      <c r="UTO61" s="608"/>
      <c r="UTP61" s="608"/>
      <c r="UTQ61" s="608"/>
      <c r="UTR61" s="608"/>
      <c r="UTS61" s="608"/>
      <c r="UTT61" s="608"/>
      <c r="UTU61" s="608"/>
      <c r="UTV61" s="608"/>
      <c r="UTW61" s="608"/>
      <c r="UTX61" s="608"/>
      <c r="UTY61" s="608"/>
      <c r="UTZ61" s="608"/>
      <c r="UUA61" s="608"/>
      <c r="UUB61" s="608"/>
      <c r="UUC61" s="608"/>
      <c r="UUD61" s="608"/>
      <c r="UUE61" s="608"/>
      <c r="UUF61" s="608"/>
      <c r="UUG61" s="608"/>
      <c r="UUH61" s="608"/>
      <c r="UUI61" s="608"/>
      <c r="UUJ61" s="608"/>
      <c r="UUK61" s="608"/>
      <c r="UUL61" s="608"/>
      <c r="UUM61" s="608"/>
      <c r="UUN61" s="608"/>
      <c r="UUO61" s="608"/>
      <c r="UUP61" s="608"/>
      <c r="UUQ61" s="608"/>
      <c r="UUR61" s="608"/>
      <c r="UUS61" s="608"/>
      <c r="UUT61" s="608"/>
      <c r="UUU61" s="608"/>
      <c r="UUV61" s="608"/>
      <c r="UUW61" s="608"/>
      <c r="UUX61" s="608"/>
      <c r="UUY61" s="608"/>
      <c r="UUZ61" s="608"/>
      <c r="UVA61" s="608"/>
      <c r="UVB61" s="608"/>
      <c r="UVC61" s="608"/>
      <c r="UVD61" s="608"/>
      <c r="UVE61" s="608"/>
      <c r="UVF61" s="608"/>
      <c r="UVG61" s="608"/>
      <c r="UVH61" s="608"/>
      <c r="UVI61" s="608"/>
      <c r="UVJ61" s="608"/>
      <c r="UVK61" s="608"/>
      <c r="UVL61" s="608"/>
      <c r="UVM61" s="608"/>
      <c r="UVN61" s="608"/>
      <c r="UVO61" s="608"/>
      <c r="UVP61" s="608"/>
      <c r="UVQ61" s="608"/>
      <c r="UVR61" s="608"/>
      <c r="UVS61" s="608"/>
      <c r="UVT61" s="608"/>
      <c r="UVU61" s="608"/>
      <c r="UVV61" s="608"/>
      <c r="UVW61" s="608"/>
      <c r="UVX61" s="608"/>
      <c r="UVY61" s="608"/>
      <c r="UVZ61" s="608"/>
      <c r="UWA61" s="608"/>
      <c r="UWB61" s="608"/>
      <c r="UWC61" s="608"/>
      <c r="UWD61" s="608"/>
      <c r="UWE61" s="608"/>
      <c r="UWF61" s="608"/>
      <c r="UWG61" s="608"/>
      <c r="UWH61" s="608"/>
      <c r="UWI61" s="608"/>
      <c r="UWJ61" s="608"/>
      <c r="UWK61" s="608"/>
      <c r="UWL61" s="608"/>
      <c r="UWM61" s="608"/>
      <c r="UWN61" s="608"/>
      <c r="UWO61" s="608"/>
      <c r="UWP61" s="608"/>
      <c r="UWQ61" s="608"/>
      <c r="UWR61" s="608"/>
      <c r="UWS61" s="608"/>
      <c r="UWT61" s="608"/>
      <c r="UWU61" s="608"/>
      <c r="UWV61" s="608"/>
      <c r="UWW61" s="608"/>
      <c r="UWX61" s="608"/>
      <c r="UWY61" s="608"/>
      <c r="UWZ61" s="608"/>
      <c r="UXA61" s="608"/>
      <c r="UXB61" s="608"/>
      <c r="UXC61" s="608"/>
      <c r="UXD61" s="608"/>
      <c r="UXE61" s="608"/>
      <c r="UXF61" s="608"/>
      <c r="UXG61" s="608"/>
      <c r="UXH61" s="608"/>
      <c r="UXI61" s="608"/>
      <c r="UXJ61" s="608"/>
      <c r="UXK61" s="608"/>
      <c r="UXL61" s="608"/>
      <c r="UXM61" s="608"/>
      <c r="UXN61" s="608"/>
      <c r="UXO61" s="608"/>
      <c r="UXP61" s="608"/>
      <c r="UXQ61" s="608"/>
      <c r="UXR61" s="608"/>
      <c r="UXS61" s="608"/>
      <c r="UXT61" s="608"/>
      <c r="UXU61" s="608"/>
      <c r="UXV61" s="608"/>
      <c r="UXW61" s="608"/>
      <c r="UXX61" s="608"/>
      <c r="UXY61" s="608"/>
      <c r="UXZ61" s="608"/>
      <c r="UYA61" s="608"/>
      <c r="UYB61" s="608"/>
      <c r="UYC61" s="608"/>
      <c r="UYD61" s="608"/>
      <c r="UYE61" s="608"/>
      <c r="UYF61" s="608"/>
      <c r="UYG61" s="608"/>
      <c r="UYH61" s="608"/>
      <c r="UYI61" s="608"/>
      <c r="UYJ61" s="608"/>
      <c r="UYK61" s="608"/>
      <c r="UYL61" s="608"/>
      <c r="UYM61" s="608"/>
      <c r="UYN61" s="608"/>
      <c r="UYO61" s="608"/>
      <c r="UYP61" s="608"/>
      <c r="UYQ61" s="608"/>
      <c r="UYR61" s="608"/>
      <c r="UYS61" s="608"/>
      <c r="UYT61" s="608"/>
      <c r="UYU61" s="608"/>
      <c r="UYV61" s="608"/>
      <c r="UYW61" s="608"/>
      <c r="UYX61" s="608"/>
      <c r="UYY61" s="608"/>
      <c r="UYZ61" s="608"/>
      <c r="UZA61" s="608"/>
      <c r="UZB61" s="608"/>
      <c r="UZC61" s="608"/>
      <c r="UZD61" s="608"/>
      <c r="UZE61" s="608"/>
      <c r="UZF61" s="608"/>
      <c r="UZG61" s="608"/>
      <c r="UZH61" s="608"/>
      <c r="UZI61" s="608"/>
      <c r="UZJ61" s="608"/>
      <c r="UZK61" s="608"/>
      <c r="UZL61" s="608"/>
      <c r="UZM61" s="608"/>
      <c r="UZN61" s="608"/>
      <c r="UZO61" s="608"/>
      <c r="UZP61" s="608"/>
      <c r="UZQ61" s="608"/>
      <c r="UZR61" s="608"/>
      <c r="UZS61" s="608"/>
      <c r="UZT61" s="608"/>
      <c r="UZU61" s="608"/>
      <c r="UZV61" s="608"/>
      <c r="UZW61" s="608"/>
      <c r="UZX61" s="608"/>
      <c r="UZY61" s="608"/>
      <c r="UZZ61" s="608"/>
      <c r="VAA61" s="608"/>
      <c r="VAB61" s="608"/>
      <c r="VAC61" s="608"/>
      <c r="VAD61" s="608"/>
      <c r="VAE61" s="608"/>
      <c r="VAF61" s="608"/>
      <c r="VAG61" s="608"/>
      <c r="VAH61" s="608"/>
      <c r="VAI61" s="608"/>
      <c r="VAJ61" s="608"/>
      <c r="VAK61" s="608"/>
      <c r="VAL61" s="608"/>
      <c r="VAM61" s="608"/>
      <c r="VAN61" s="608"/>
      <c r="VAO61" s="608"/>
      <c r="VAP61" s="608"/>
      <c r="VAQ61" s="608"/>
      <c r="VAR61" s="608"/>
      <c r="VAS61" s="608"/>
      <c r="VAT61" s="608"/>
      <c r="VAU61" s="608"/>
      <c r="VAV61" s="608"/>
      <c r="VAW61" s="608"/>
      <c r="VAX61" s="608"/>
      <c r="VAY61" s="608"/>
      <c r="VAZ61" s="608"/>
      <c r="VBA61" s="608"/>
      <c r="VBB61" s="608"/>
      <c r="VBC61" s="608"/>
      <c r="VBD61" s="608"/>
      <c r="VBE61" s="608"/>
      <c r="VBF61" s="608"/>
      <c r="VBG61" s="608"/>
      <c r="VBH61" s="608"/>
      <c r="VBI61" s="608"/>
      <c r="VBJ61" s="608"/>
      <c r="VBK61" s="608"/>
      <c r="VBL61" s="608"/>
      <c r="VBM61" s="608"/>
      <c r="VBN61" s="608"/>
      <c r="VBO61" s="608"/>
      <c r="VBP61" s="608"/>
      <c r="VBQ61" s="608"/>
      <c r="VBR61" s="608"/>
      <c r="VBS61" s="608"/>
      <c r="VBT61" s="608"/>
      <c r="VBU61" s="608"/>
      <c r="VBV61" s="608"/>
      <c r="VBW61" s="608"/>
      <c r="VBX61" s="608"/>
      <c r="VBY61" s="608"/>
      <c r="VBZ61" s="608"/>
      <c r="VCA61" s="608"/>
      <c r="VCB61" s="608"/>
      <c r="VCC61" s="608"/>
      <c r="VCD61" s="608"/>
      <c r="VCE61" s="608"/>
      <c r="VCF61" s="608"/>
      <c r="VCG61" s="608"/>
      <c r="VCH61" s="608"/>
      <c r="VCI61" s="608"/>
      <c r="VCJ61" s="608"/>
      <c r="VCK61" s="608"/>
      <c r="VCL61" s="608"/>
      <c r="VCM61" s="608"/>
      <c r="VCN61" s="608"/>
      <c r="VCO61" s="608"/>
      <c r="VCP61" s="608"/>
      <c r="VCQ61" s="608"/>
      <c r="VCR61" s="608"/>
      <c r="VCS61" s="608"/>
      <c r="VCT61" s="608"/>
      <c r="VCU61" s="608"/>
      <c r="VCV61" s="608"/>
      <c r="VCW61" s="608"/>
      <c r="VCX61" s="608"/>
      <c r="VCY61" s="608"/>
      <c r="VCZ61" s="608"/>
      <c r="VDA61" s="608"/>
      <c r="VDB61" s="608"/>
      <c r="VDC61" s="608"/>
      <c r="VDD61" s="608"/>
      <c r="VDE61" s="608"/>
      <c r="VDF61" s="608"/>
      <c r="VDG61" s="608"/>
      <c r="VDH61" s="608"/>
      <c r="VDI61" s="608"/>
      <c r="VDJ61" s="608"/>
      <c r="VDK61" s="608"/>
      <c r="VDL61" s="608"/>
      <c r="VDM61" s="608"/>
      <c r="VDN61" s="608"/>
      <c r="VDO61" s="608"/>
      <c r="VDP61" s="608"/>
      <c r="VDQ61" s="608"/>
      <c r="VDR61" s="608"/>
      <c r="VDS61" s="608"/>
      <c r="VDT61" s="608"/>
      <c r="VDU61" s="608"/>
      <c r="VDV61" s="608"/>
      <c r="VDW61" s="608"/>
      <c r="VDX61" s="608"/>
      <c r="VDY61" s="608"/>
      <c r="VDZ61" s="608"/>
      <c r="VEA61" s="608"/>
      <c r="VEB61" s="608"/>
      <c r="VEC61" s="608"/>
      <c r="VED61" s="608"/>
      <c r="VEE61" s="608"/>
      <c r="VEF61" s="608"/>
      <c r="VEG61" s="608"/>
      <c r="VEH61" s="608"/>
      <c r="VEI61" s="608"/>
      <c r="VEJ61" s="608"/>
      <c r="VEK61" s="608"/>
      <c r="VEL61" s="608"/>
      <c r="VEM61" s="608"/>
      <c r="VEN61" s="608"/>
      <c r="VEO61" s="608"/>
      <c r="VEP61" s="608"/>
      <c r="VEQ61" s="608"/>
      <c r="VER61" s="608"/>
      <c r="VES61" s="608"/>
      <c r="VET61" s="608"/>
      <c r="VEU61" s="608"/>
      <c r="VEV61" s="608"/>
      <c r="VEW61" s="608"/>
      <c r="VEX61" s="608"/>
      <c r="VEY61" s="608"/>
      <c r="VEZ61" s="608"/>
      <c r="VFA61" s="608"/>
      <c r="VFB61" s="608"/>
      <c r="VFC61" s="608"/>
      <c r="VFD61" s="608"/>
      <c r="VFE61" s="608"/>
      <c r="VFF61" s="608"/>
      <c r="VFG61" s="608"/>
      <c r="VFH61" s="608"/>
      <c r="VFI61" s="608"/>
      <c r="VFJ61" s="608"/>
      <c r="VFK61" s="608"/>
      <c r="VFL61" s="608"/>
      <c r="VFM61" s="608"/>
      <c r="VFN61" s="608"/>
      <c r="VFO61" s="608"/>
      <c r="VFP61" s="608"/>
      <c r="VFQ61" s="608"/>
      <c r="VFR61" s="608"/>
      <c r="VFS61" s="608"/>
      <c r="VFT61" s="608"/>
      <c r="VFU61" s="608"/>
      <c r="VFV61" s="608"/>
      <c r="VFW61" s="608"/>
      <c r="VFX61" s="608"/>
      <c r="VFY61" s="608"/>
      <c r="VFZ61" s="608"/>
      <c r="VGA61" s="608"/>
      <c r="VGB61" s="608"/>
      <c r="VGC61" s="608"/>
      <c r="VGD61" s="608"/>
      <c r="VGE61" s="608"/>
      <c r="VGF61" s="608"/>
      <c r="VGG61" s="608"/>
      <c r="VGH61" s="608"/>
      <c r="VGI61" s="608"/>
      <c r="VGJ61" s="608"/>
      <c r="VGK61" s="608"/>
      <c r="VGL61" s="608"/>
      <c r="VGM61" s="608"/>
      <c r="VGN61" s="608"/>
      <c r="VGO61" s="608"/>
      <c r="VGP61" s="608"/>
      <c r="VGQ61" s="608"/>
      <c r="VGR61" s="608"/>
      <c r="VGS61" s="608"/>
      <c r="VGT61" s="608"/>
      <c r="VGU61" s="608"/>
      <c r="VGV61" s="608"/>
      <c r="VGW61" s="608"/>
      <c r="VGX61" s="608"/>
      <c r="VGY61" s="608"/>
      <c r="VGZ61" s="608"/>
      <c r="VHA61" s="608"/>
      <c r="VHB61" s="608"/>
      <c r="VHC61" s="608"/>
      <c r="VHD61" s="608"/>
      <c r="VHE61" s="608"/>
      <c r="VHF61" s="608"/>
      <c r="VHG61" s="608"/>
      <c r="VHH61" s="608"/>
      <c r="VHI61" s="608"/>
      <c r="VHJ61" s="608"/>
      <c r="VHK61" s="608"/>
      <c r="VHL61" s="608"/>
      <c r="VHM61" s="608"/>
      <c r="VHN61" s="608"/>
      <c r="VHO61" s="608"/>
      <c r="VHP61" s="608"/>
      <c r="VHQ61" s="608"/>
      <c r="VHR61" s="608"/>
      <c r="VHS61" s="608"/>
      <c r="VHT61" s="608"/>
      <c r="VHU61" s="608"/>
      <c r="VHV61" s="608"/>
      <c r="VHW61" s="608"/>
      <c r="VHX61" s="608"/>
      <c r="VHY61" s="608"/>
      <c r="VHZ61" s="608"/>
      <c r="VIA61" s="608"/>
      <c r="VIB61" s="608"/>
      <c r="VIC61" s="608"/>
      <c r="VID61" s="608"/>
      <c r="VIE61" s="608"/>
      <c r="VIF61" s="608"/>
      <c r="VIG61" s="608"/>
      <c r="VIH61" s="608"/>
      <c r="VII61" s="608"/>
      <c r="VIJ61" s="608"/>
      <c r="VIK61" s="608"/>
      <c r="VIL61" s="608"/>
      <c r="VIM61" s="608"/>
      <c r="VIN61" s="608"/>
      <c r="VIO61" s="608"/>
      <c r="VIP61" s="608"/>
      <c r="VIQ61" s="608"/>
      <c r="VIR61" s="608"/>
      <c r="VIS61" s="608"/>
      <c r="VIT61" s="608"/>
      <c r="VIU61" s="608"/>
      <c r="VIV61" s="608"/>
      <c r="VIW61" s="608"/>
      <c r="VIX61" s="608"/>
      <c r="VIY61" s="608"/>
      <c r="VIZ61" s="608"/>
      <c r="VJA61" s="608"/>
      <c r="VJB61" s="608"/>
      <c r="VJC61" s="608"/>
      <c r="VJD61" s="608"/>
      <c r="VJE61" s="608"/>
      <c r="VJF61" s="608"/>
      <c r="VJG61" s="608"/>
      <c r="VJH61" s="608"/>
      <c r="VJI61" s="608"/>
      <c r="VJJ61" s="608"/>
      <c r="VJK61" s="608"/>
      <c r="VJL61" s="608"/>
      <c r="VJM61" s="608"/>
      <c r="VJN61" s="608"/>
      <c r="VJO61" s="608"/>
      <c r="VJP61" s="608"/>
      <c r="VJQ61" s="608"/>
      <c r="VJR61" s="608"/>
      <c r="VJS61" s="608"/>
      <c r="VJT61" s="608"/>
      <c r="VJU61" s="608"/>
      <c r="VJV61" s="608"/>
      <c r="VJW61" s="608"/>
      <c r="VJX61" s="608"/>
      <c r="VJY61" s="608"/>
      <c r="VJZ61" s="608"/>
      <c r="VKA61" s="608"/>
      <c r="VKB61" s="608"/>
      <c r="VKC61" s="608"/>
      <c r="VKD61" s="608"/>
      <c r="VKE61" s="608"/>
      <c r="VKF61" s="608"/>
      <c r="VKG61" s="608"/>
      <c r="VKH61" s="608"/>
      <c r="VKI61" s="608"/>
      <c r="VKJ61" s="608"/>
      <c r="VKK61" s="608"/>
      <c r="VKL61" s="608"/>
      <c r="VKM61" s="608"/>
      <c r="VKN61" s="608"/>
      <c r="VKO61" s="608"/>
      <c r="VKP61" s="608"/>
      <c r="VKQ61" s="608"/>
      <c r="VKR61" s="608"/>
      <c r="VKS61" s="608"/>
      <c r="VKT61" s="608"/>
      <c r="VKU61" s="608"/>
      <c r="VKV61" s="608"/>
      <c r="VKW61" s="608"/>
      <c r="VKX61" s="608"/>
      <c r="VKY61" s="608"/>
      <c r="VKZ61" s="608"/>
      <c r="VLA61" s="608"/>
      <c r="VLB61" s="608"/>
      <c r="VLC61" s="608"/>
      <c r="VLD61" s="608"/>
      <c r="VLE61" s="608"/>
      <c r="VLF61" s="608"/>
      <c r="VLG61" s="608"/>
      <c r="VLH61" s="608"/>
      <c r="VLI61" s="608"/>
      <c r="VLJ61" s="608"/>
      <c r="VLK61" s="608"/>
      <c r="VLL61" s="608"/>
      <c r="VLM61" s="608"/>
      <c r="VLN61" s="608"/>
      <c r="VLO61" s="608"/>
      <c r="VLP61" s="608"/>
      <c r="VLQ61" s="608"/>
      <c r="VLR61" s="608"/>
      <c r="VLS61" s="608"/>
      <c r="VLT61" s="608"/>
      <c r="VLU61" s="608"/>
      <c r="VLV61" s="608"/>
      <c r="VLW61" s="608"/>
      <c r="VLX61" s="608"/>
      <c r="VLY61" s="608"/>
      <c r="VLZ61" s="608"/>
      <c r="VMA61" s="608"/>
      <c r="VMB61" s="608"/>
      <c r="VMC61" s="608"/>
      <c r="VMD61" s="608"/>
      <c r="VME61" s="608"/>
      <c r="VMF61" s="608"/>
      <c r="VMG61" s="608"/>
      <c r="VMH61" s="608"/>
      <c r="VMI61" s="608"/>
      <c r="VMJ61" s="608"/>
      <c r="VMK61" s="608"/>
      <c r="VML61" s="608"/>
      <c r="VMM61" s="608"/>
      <c r="VMN61" s="608"/>
      <c r="VMO61" s="608"/>
      <c r="VMP61" s="608"/>
      <c r="VMQ61" s="608"/>
      <c r="VMR61" s="608"/>
      <c r="VMS61" s="608"/>
      <c r="VMT61" s="608"/>
      <c r="VMU61" s="608"/>
      <c r="VMV61" s="608"/>
      <c r="VMW61" s="608"/>
      <c r="VMX61" s="608"/>
      <c r="VMY61" s="608"/>
      <c r="VMZ61" s="608"/>
      <c r="VNA61" s="608"/>
      <c r="VNB61" s="608"/>
      <c r="VNC61" s="608"/>
      <c r="VND61" s="608"/>
      <c r="VNE61" s="608"/>
      <c r="VNF61" s="608"/>
      <c r="VNG61" s="608"/>
      <c r="VNH61" s="608"/>
      <c r="VNI61" s="608"/>
      <c r="VNJ61" s="608"/>
      <c r="VNK61" s="608"/>
      <c r="VNL61" s="608"/>
      <c r="VNM61" s="608"/>
      <c r="VNN61" s="608"/>
      <c r="VNO61" s="608"/>
      <c r="VNP61" s="608"/>
      <c r="VNQ61" s="608"/>
      <c r="VNR61" s="608"/>
      <c r="VNS61" s="608"/>
      <c r="VNT61" s="608"/>
      <c r="VNU61" s="608"/>
      <c r="VNV61" s="608"/>
      <c r="VNW61" s="608"/>
      <c r="VNX61" s="608"/>
      <c r="VNY61" s="608"/>
      <c r="VNZ61" s="608"/>
      <c r="VOA61" s="608"/>
      <c r="VOB61" s="608"/>
      <c r="VOC61" s="608"/>
      <c r="VOD61" s="608"/>
      <c r="VOE61" s="608"/>
      <c r="VOF61" s="608"/>
      <c r="VOG61" s="608"/>
      <c r="VOH61" s="608"/>
      <c r="VOI61" s="608"/>
      <c r="VOJ61" s="608"/>
      <c r="VOK61" s="608"/>
      <c r="VOL61" s="608"/>
      <c r="VOM61" s="608"/>
      <c r="VON61" s="608"/>
      <c r="VOO61" s="608"/>
      <c r="VOP61" s="608"/>
      <c r="VOQ61" s="608"/>
      <c r="VOR61" s="608"/>
      <c r="VOS61" s="608"/>
      <c r="VOT61" s="608"/>
      <c r="VOU61" s="608"/>
      <c r="VOV61" s="608"/>
      <c r="VOW61" s="608"/>
      <c r="VOX61" s="608"/>
      <c r="VOY61" s="608"/>
      <c r="VOZ61" s="608"/>
      <c r="VPA61" s="608"/>
      <c r="VPB61" s="608"/>
      <c r="VPC61" s="608"/>
      <c r="VPD61" s="608"/>
      <c r="VPE61" s="608"/>
      <c r="VPF61" s="608"/>
      <c r="VPG61" s="608"/>
      <c r="VPH61" s="608"/>
      <c r="VPI61" s="608"/>
      <c r="VPJ61" s="608"/>
      <c r="VPK61" s="608"/>
      <c r="VPL61" s="608"/>
      <c r="VPM61" s="608"/>
      <c r="VPN61" s="608"/>
      <c r="VPO61" s="608"/>
      <c r="VPP61" s="608"/>
      <c r="VPQ61" s="608"/>
      <c r="VPR61" s="608"/>
      <c r="VPS61" s="608"/>
      <c r="VPT61" s="608"/>
      <c r="VPU61" s="608"/>
      <c r="VPV61" s="608"/>
      <c r="VPW61" s="608"/>
      <c r="VPX61" s="608"/>
      <c r="VPY61" s="608"/>
      <c r="VPZ61" s="608"/>
      <c r="VQA61" s="608"/>
      <c r="VQB61" s="608"/>
      <c r="VQC61" s="608"/>
      <c r="VQD61" s="608"/>
      <c r="VQE61" s="608"/>
      <c r="VQF61" s="608"/>
      <c r="VQG61" s="608"/>
      <c r="VQH61" s="608"/>
      <c r="VQI61" s="608"/>
      <c r="VQJ61" s="608"/>
      <c r="VQK61" s="608"/>
      <c r="VQL61" s="608"/>
      <c r="VQM61" s="608"/>
      <c r="VQN61" s="608"/>
      <c r="VQO61" s="608"/>
      <c r="VQP61" s="608"/>
      <c r="VQQ61" s="608"/>
      <c r="VQR61" s="608"/>
      <c r="VQS61" s="608"/>
      <c r="VQT61" s="608"/>
      <c r="VQU61" s="608"/>
      <c r="VQV61" s="608"/>
      <c r="VQW61" s="608"/>
      <c r="VQX61" s="608"/>
      <c r="VQY61" s="608"/>
      <c r="VQZ61" s="608"/>
      <c r="VRA61" s="608"/>
      <c r="VRB61" s="608"/>
      <c r="VRC61" s="608"/>
      <c r="VRD61" s="608"/>
      <c r="VRE61" s="608"/>
      <c r="VRF61" s="608"/>
      <c r="VRG61" s="608"/>
      <c r="VRH61" s="608"/>
      <c r="VRI61" s="608"/>
      <c r="VRJ61" s="608"/>
      <c r="VRK61" s="608"/>
      <c r="VRL61" s="608"/>
      <c r="VRM61" s="608"/>
      <c r="VRN61" s="608"/>
      <c r="VRO61" s="608"/>
      <c r="VRP61" s="608"/>
      <c r="VRQ61" s="608"/>
      <c r="VRR61" s="608"/>
      <c r="VRS61" s="608"/>
      <c r="VRT61" s="608"/>
      <c r="VRU61" s="608"/>
      <c r="VRV61" s="608"/>
      <c r="VRW61" s="608"/>
      <c r="VRX61" s="608"/>
      <c r="VRY61" s="608"/>
      <c r="VRZ61" s="608"/>
      <c r="VSA61" s="608"/>
      <c r="VSB61" s="608"/>
      <c r="VSC61" s="608"/>
      <c r="VSD61" s="608"/>
      <c r="VSE61" s="608"/>
      <c r="VSF61" s="608"/>
      <c r="VSG61" s="608"/>
      <c r="VSH61" s="608"/>
      <c r="VSI61" s="608"/>
      <c r="VSJ61" s="608"/>
      <c r="VSK61" s="608"/>
      <c r="VSL61" s="608"/>
      <c r="VSM61" s="608"/>
      <c r="VSN61" s="608"/>
      <c r="VSO61" s="608"/>
      <c r="VSP61" s="608"/>
      <c r="VSQ61" s="608"/>
      <c r="VSR61" s="608"/>
      <c r="VSS61" s="608"/>
      <c r="VST61" s="608"/>
      <c r="VSU61" s="608"/>
      <c r="VSV61" s="608"/>
      <c r="VSW61" s="608"/>
      <c r="VSX61" s="608"/>
      <c r="VSY61" s="608"/>
      <c r="VSZ61" s="608"/>
      <c r="VTA61" s="608"/>
      <c r="VTB61" s="608"/>
      <c r="VTC61" s="608"/>
      <c r="VTD61" s="608"/>
      <c r="VTE61" s="608"/>
      <c r="VTF61" s="608"/>
      <c r="VTG61" s="608"/>
      <c r="VTH61" s="608"/>
      <c r="VTI61" s="608"/>
      <c r="VTJ61" s="608"/>
      <c r="VTK61" s="608"/>
      <c r="VTL61" s="608"/>
      <c r="VTM61" s="608"/>
      <c r="VTN61" s="608"/>
      <c r="VTO61" s="608"/>
      <c r="VTP61" s="608"/>
      <c r="VTQ61" s="608"/>
      <c r="VTR61" s="608"/>
      <c r="VTS61" s="608"/>
      <c r="VTT61" s="608"/>
      <c r="VTU61" s="608"/>
      <c r="VTV61" s="608"/>
      <c r="VTW61" s="608"/>
      <c r="VTX61" s="608"/>
      <c r="VTY61" s="608"/>
      <c r="VTZ61" s="608"/>
      <c r="VUA61" s="608"/>
      <c r="VUB61" s="608"/>
      <c r="VUC61" s="608"/>
      <c r="VUD61" s="608"/>
      <c r="VUE61" s="608"/>
      <c r="VUF61" s="608"/>
      <c r="VUG61" s="608"/>
      <c r="VUH61" s="608"/>
      <c r="VUI61" s="608"/>
      <c r="VUJ61" s="608"/>
      <c r="VUK61" s="608"/>
      <c r="VUL61" s="608"/>
      <c r="VUM61" s="608"/>
      <c r="VUN61" s="608"/>
      <c r="VUO61" s="608"/>
      <c r="VUP61" s="608"/>
      <c r="VUQ61" s="608"/>
      <c r="VUR61" s="608"/>
      <c r="VUS61" s="608"/>
      <c r="VUT61" s="608"/>
      <c r="VUU61" s="608"/>
      <c r="VUV61" s="608"/>
      <c r="VUW61" s="608"/>
      <c r="VUX61" s="608"/>
      <c r="VUY61" s="608"/>
      <c r="VUZ61" s="608"/>
      <c r="VVA61" s="608"/>
      <c r="VVB61" s="608"/>
      <c r="VVC61" s="608"/>
      <c r="VVD61" s="608"/>
      <c r="VVE61" s="608"/>
      <c r="VVF61" s="608"/>
      <c r="VVG61" s="608"/>
      <c r="VVH61" s="608"/>
      <c r="VVI61" s="608"/>
      <c r="VVJ61" s="608"/>
      <c r="VVK61" s="608"/>
      <c r="VVL61" s="608"/>
      <c r="VVM61" s="608"/>
      <c r="VVN61" s="608"/>
      <c r="VVO61" s="608"/>
      <c r="VVP61" s="608"/>
      <c r="VVQ61" s="608"/>
      <c r="VVR61" s="608"/>
      <c r="VVS61" s="608"/>
      <c r="VVT61" s="608"/>
      <c r="VVU61" s="608"/>
      <c r="VVV61" s="608"/>
      <c r="VVW61" s="608"/>
      <c r="VVX61" s="608"/>
      <c r="VVY61" s="608"/>
      <c r="VVZ61" s="608"/>
      <c r="VWA61" s="608"/>
      <c r="VWB61" s="608"/>
      <c r="VWC61" s="608"/>
      <c r="VWD61" s="608"/>
      <c r="VWE61" s="608"/>
      <c r="VWF61" s="608"/>
      <c r="VWG61" s="608"/>
      <c r="VWH61" s="608"/>
      <c r="VWI61" s="608"/>
      <c r="VWJ61" s="608"/>
      <c r="VWK61" s="608"/>
      <c r="VWL61" s="608"/>
      <c r="VWM61" s="608"/>
      <c r="VWN61" s="608"/>
      <c r="VWO61" s="608"/>
      <c r="VWP61" s="608"/>
      <c r="VWQ61" s="608"/>
      <c r="VWR61" s="608"/>
      <c r="VWS61" s="608"/>
      <c r="VWT61" s="608"/>
      <c r="VWU61" s="608"/>
      <c r="VWV61" s="608"/>
      <c r="VWW61" s="608"/>
      <c r="VWX61" s="608"/>
      <c r="VWY61" s="608"/>
      <c r="VWZ61" s="608"/>
      <c r="VXA61" s="608"/>
      <c r="VXB61" s="608"/>
      <c r="VXC61" s="608"/>
      <c r="VXD61" s="608"/>
      <c r="VXE61" s="608"/>
      <c r="VXF61" s="608"/>
      <c r="VXG61" s="608"/>
      <c r="VXH61" s="608"/>
      <c r="VXI61" s="608"/>
      <c r="VXJ61" s="608"/>
      <c r="VXK61" s="608"/>
      <c r="VXL61" s="608"/>
      <c r="VXM61" s="608"/>
      <c r="VXN61" s="608"/>
      <c r="VXO61" s="608"/>
      <c r="VXP61" s="608"/>
      <c r="VXQ61" s="608"/>
      <c r="VXR61" s="608"/>
      <c r="VXS61" s="608"/>
      <c r="VXT61" s="608"/>
      <c r="VXU61" s="608"/>
      <c r="VXV61" s="608"/>
      <c r="VXW61" s="608"/>
      <c r="VXX61" s="608"/>
      <c r="VXY61" s="608"/>
      <c r="VXZ61" s="608"/>
      <c r="VYA61" s="608"/>
      <c r="VYB61" s="608"/>
      <c r="VYC61" s="608"/>
      <c r="VYD61" s="608"/>
      <c r="VYE61" s="608"/>
      <c r="VYF61" s="608"/>
      <c r="VYG61" s="608"/>
      <c r="VYH61" s="608"/>
      <c r="VYI61" s="608"/>
      <c r="VYJ61" s="608"/>
      <c r="VYK61" s="608"/>
      <c r="VYL61" s="608"/>
      <c r="VYM61" s="608"/>
      <c r="VYN61" s="608"/>
      <c r="VYO61" s="608"/>
      <c r="VYP61" s="608"/>
      <c r="VYQ61" s="608"/>
      <c r="VYR61" s="608"/>
      <c r="VYS61" s="608"/>
      <c r="VYT61" s="608"/>
      <c r="VYU61" s="608"/>
      <c r="VYV61" s="608"/>
      <c r="VYW61" s="608"/>
      <c r="VYX61" s="608"/>
      <c r="VYY61" s="608"/>
      <c r="VYZ61" s="608"/>
      <c r="VZA61" s="608"/>
      <c r="VZB61" s="608"/>
      <c r="VZC61" s="608"/>
      <c r="VZD61" s="608"/>
      <c r="VZE61" s="608"/>
      <c r="VZF61" s="608"/>
      <c r="VZG61" s="608"/>
      <c r="VZH61" s="608"/>
      <c r="VZI61" s="608"/>
      <c r="VZJ61" s="608"/>
      <c r="VZK61" s="608"/>
      <c r="VZL61" s="608"/>
      <c r="VZM61" s="608"/>
      <c r="VZN61" s="608"/>
      <c r="VZO61" s="608"/>
      <c r="VZP61" s="608"/>
      <c r="VZQ61" s="608"/>
      <c r="VZR61" s="608"/>
      <c r="VZS61" s="608"/>
      <c r="VZT61" s="608"/>
      <c r="VZU61" s="608"/>
      <c r="VZV61" s="608"/>
      <c r="VZW61" s="608"/>
      <c r="VZX61" s="608"/>
      <c r="VZY61" s="608"/>
      <c r="VZZ61" s="608"/>
      <c r="WAA61" s="608"/>
      <c r="WAB61" s="608"/>
      <c r="WAC61" s="608"/>
      <c r="WAD61" s="608"/>
      <c r="WAE61" s="608"/>
      <c r="WAF61" s="608"/>
      <c r="WAG61" s="608"/>
      <c r="WAH61" s="608"/>
      <c r="WAI61" s="608"/>
      <c r="WAJ61" s="608"/>
      <c r="WAK61" s="608"/>
      <c r="WAL61" s="608"/>
      <c r="WAM61" s="608"/>
      <c r="WAN61" s="608"/>
      <c r="WAO61" s="608"/>
      <c r="WAP61" s="608"/>
      <c r="WAQ61" s="608"/>
      <c r="WAR61" s="608"/>
      <c r="WAS61" s="608"/>
      <c r="WAT61" s="608"/>
      <c r="WAU61" s="608"/>
      <c r="WAV61" s="608"/>
      <c r="WAW61" s="608"/>
      <c r="WAX61" s="608"/>
      <c r="WAY61" s="608"/>
      <c r="WAZ61" s="608"/>
      <c r="WBA61" s="608"/>
      <c r="WBB61" s="608"/>
      <c r="WBC61" s="608"/>
      <c r="WBD61" s="608"/>
      <c r="WBE61" s="608"/>
      <c r="WBF61" s="608"/>
      <c r="WBG61" s="608"/>
      <c r="WBH61" s="608"/>
      <c r="WBI61" s="608"/>
      <c r="WBJ61" s="608"/>
      <c r="WBK61" s="608"/>
      <c r="WBL61" s="608"/>
      <c r="WBM61" s="608"/>
      <c r="WBN61" s="608"/>
      <c r="WBO61" s="608"/>
      <c r="WBP61" s="608"/>
      <c r="WBQ61" s="608"/>
      <c r="WBR61" s="608"/>
      <c r="WBS61" s="608"/>
      <c r="WBT61" s="608"/>
      <c r="WBU61" s="608"/>
      <c r="WBV61" s="608"/>
      <c r="WBW61" s="608"/>
      <c r="WBX61" s="608"/>
      <c r="WBY61" s="608"/>
      <c r="WBZ61" s="608"/>
      <c r="WCA61" s="608"/>
      <c r="WCB61" s="608"/>
      <c r="WCC61" s="608"/>
      <c r="WCD61" s="608"/>
      <c r="WCE61" s="608"/>
      <c r="WCF61" s="608"/>
      <c r="WCG61" s="608"/>
      <c r="WCH61" s="608"/>
      <c r="WCI61" s="608"/>
      <c r="WCJ61" s="608"/>
      <c r="WCK61" s="608"/>
      <c r="WCL61" s="608"/>
      <c r="WCM61" s="608"/>
      <c r="WCN61" s="608"/>
      <c r="WCO61" s="608"/>
      <c r="WCP61" s="608"/>
      <c r="WCQ61" s="608"/>
      <c r="WCR61" s="608"/>
      <c r="WCS61" s="608"/>
      <c r="WCT61" s="608"/>
      <c r="WCU61" s="608"/>
      <c r="WCV61" s="608"/>
      <c r="WCW61" s="608"/>
      <c r="WCX61" s="608"/>
      <c r="WCY61" s="608"/>
      <c r="WCZ61" s="608"/>
      <c r="WDA61" s="608"/>
      <c r="WDB61" s="608"/>
      <c r="WDC61" s="608"/>
      <c r="WDD61" s="608"/>
      <c r="WDE61" s="608"/>
      <c r="WDF61" s="608"/>
      <c r="WDG61" s="608"/>
      <c r="WDH61" s="608"/>
      <c r="WDI61" s="608"/>
      <c r="WDJ61" s="608"/>
      <c r="WDK61" s="608"/>
      <c r="WDL61" s="608"/>
      <c r="WDM61" s="608"/>
      <c r="WDN61" s="608"/>
      <c r="WDO61" s="608"/>
      <c r="WDP61" s="608"/>
      <c r="WDQ61" s="608"/>
      <c r="WDR61" s="608"/>
      <c r="WDS61" s="608"/>
      <c r="WDT61" s="608"/>
      <c r="WDU61" s="608"/>
      <c r="WDV61" s="608"/>
      <c r="WDW61" s="608"/>
      <c r="WDX61" s="608"/>
      <c r="WDY61" s="608"/>
      <c r="WDZ61" s="608"/>
      <c r="WEA61" s="608"/>
      <c r="WEB61" s="608"/>
      <c r="WEC61" s="608"/>
      <c r="WED61" s="608"/>
      <c r="WEE61" s="608"/>
      <c r="WEF61" s="608"/>
      <c r="WEG61" s="608"/>
      <c r="WEH61" s="608"/>
      <c r="WEI61" s="608"/>
      <c r="WEJ61" s="608"/>
      <c r="WEK61" s="608"/>
      <c r="WEL61" s="608"/>
      <c r="WEM61" s="608"/>
      <c r="WEN61" s="608"/>
      <c r="WEO61" s="608"/>
      <c r="WEP61" s="608"/>
      <c r="WEQ61" s="608"/>
      <c r="WER61" s="608"/>
      <c r="WES61" s="608"/>
      <c r="WET61" s="608"/>
      <c r="WEU61" s="608"/>
      <c r="WEV61" s="608"/>
      <c r="WEW61" s="608"/>
      <c r="WEX61" s="608"/>
      <c r="WEY61" s="608"/>
      <c r="WEZ61" s="608"/>
      <c r="WFA61" s="608"/>
      <c r="WFB61" s="608"/>
      <c r="WFC61" s="608"/>
      <c r="WFD61" s="608"/>
      <c r="WFE61" s="608"/>
      <c r="WFF61" s="608"/>
      <c r="WFG61" s="608"/>
      <c r="WFH61" s="608"/>
      <c r="WFI61" s="608"/>
      <c r="WFJ61" s="608"/>
      <c r="WFK61" s="608"/>
      <c r="WFL61" s="608"/>
      <c r="WFM61" s="608"/>
      <c r="WFN61" s="608"/>
      <c r="WFO61" s="608"/>
      <c r="WFP61" s="608"/>
      <c r="WFQ61" s="608"/>
      <c r="WFR61" s="608"/>
      <c r="WFS61" s="608"/>
      <c r="WFT61" s="608"/>
      <c r="WFU61" s="608"/>
      <c r="WFV61" s="608"/>
      <c r="WFW61" s="608"/>
      <c r="WFX61" s="608"/>
      <c r="WFY61" s="608"/>
      <c r="WFZ61" s="608"/>
      <c r="WGA61" s="608"/>
      <c r="WGB61" s="608"/>
      <c r="WGC61" s="608"/>
      <c r="WGD61" s="608"/>
      <c r="WGE61" s="608"/>
      <c r="WGF61" s="608"/>
      <c r="WGG61" s="608"/>
      <c r="WGH61" s="608"/>
      <c r="WGI61" s="608"/>
      <c r="WGJ61" s="608"/>
      <c r="WGK61" s="608"/>
      <c r="WGL61" s="608"/>
      <c r="WGM61" s="608"/>
      <c r="WGN61" s="608"/>
      <c r="WGO61" s="608"/>
      <c r="WGP61" s="608"/>
      <c r="WGQ61" s="608"/>
      <c r="WGR61" s="608"/>
      <c r="WGS61" s="608"/>
      <c r="WGT61" s="608"/>
      <c r="WGU61" s="608"/>
      <c r="WGV61" s="608"/>
      <c r="WGW61" s="608"/>
      <c r="WGX61" s="608"/>
      <c r="WGY61" s="608"/>
      <c r="WGZ61" s="608"/>
      <c r="WHA61" s="608"/>
      <c r="WHB61" s="608"/>
      <c r="WHC61" s="608"/>
      <c r="WHD61" s="608"/>
      <c r="WHE61" s="608"/>
      <c r="WHF61" s="608"/>
      <c r="WHG61" s="608"/>
      <c r="WHH61" s="608"/>
      <c r="WHI61" s="608"/>
      <c r="WHJ61" s="608"/>
      <c r="WHK61" s="608"/>
      <c r="WHL61" s="608"/>
      <c r="WHM61" s="608"/>
      <c r="WHN61" s="608"/>
      <c r="WHO61" s="608"/>
      <c r="WHP61" s="608"/>
      <c r="WHQ61" s="608"/>
      <c r="WHR61" s="608"/>
      <c r="WHS61" s="608"/>
      <c r="WHT61" s="608"/>
      <c r="WHU61" s="608"/>
      <c r="WHV61" s="608"/>
      <c r="WHW61" s="608"/>
      <c r="WHX61" s="608"/>
      <c r="WHY61" s="608"/>
      <c r="WHZ61" s="608"/>
      <c r="WIA61" s="608"/>
      <c r="WIB61" s="608"/>
      <c r="WIC61" s="608"/>
      <c r="WID61" s="608"/>
      <c r="WIE61" s="608"/>
      <c r="WIF61" s="608"/>
      <c r="WIG61" s="608"/>
      <c r="WIH61" s="608"/>
      <c r="WII61" s="608"/>
      <c r="WIJ61" s="608"/>
      <c r="WIK61" s="608"/>
      <c r="WIL61" s="608"/>
      <c r="WIM61" s="608"/>
      <c r="WIN61" s="608"/>
      <c r="WIO61" s="608"/>
      <c r="WIP61" s="608"/>
      <c r="WIQ61" s="608"/>
      <c r="WIR61" s="608"/>
      <c r="WIS61" s="608"/>
      <c r="WIT61" s="608"/>
      <c r="WIU61" s="608"/>
      <c r="WIV61" s="608"/>
      <c r="WIW61" s="608"/>
      <c r="WIX61" s="608"/>
      <c r="WIY61" s="608"/>
      <c r="WIZ61" s="608"/>
      <c r="WJA61" s="608"/>
      <c r="WJB61" s="608"/>
      <c r="WJC61" s="608"/>
      <c r="WJD61" s="608"/>
      <c r="WJE61" s="608"/>
      <c r="WJF61" s="608"/>
      <c r="WJG61" s="608"/>
      <c r="WJH61" s="608"/>
      <c r="WJI61" s="608"/>
      <c r="WJJ61" s="608"/>
      <c r="WJK61" s="608"/>
      <c r="WJL61" s="608"/>
      <c r="WJM61" s="608"/>
      <c r="WJN61" s="608"/>
      <c r="WJO61" s="608"/>
      <c r="WJP61" s="608"/>
      <c r="WJQ61" s="608"/>
      <c r="WJR61" s="608"/>
      <c r="WJS61" s="608"/>
      <c r="WJT61" s="608"/>
      <c r="WJU61" s="608"/>
      <c r="WJV61" s="608"/>
      <c r="WJW61" s="608"/>
      <c r="WJX61" s="608"/>
      <c r="WJY61" s="608"/>
      <c r="WJZ61" s="608"/>
      <c r="WKA61" s="608"/>
      <c r="WKB61" s="608"/>
      <c r="WKC61" s="608"/>
      <c r="WKD61" s="608"/>
      <c r="WKE61" s="608"/>
      <c r="WKF61" s="608"/>
      <c r="WKG61" s="608"/>
      <c r="WKH61" s="608"/>
      <c r="WKI61" s="608"/>
      <c r="WKJ61" s="608"/>
      <c r="WKK61" s="608"/>
      <c r="WKL61" s="608"/>
      <c r="WKM61" s="608"/>
      <c r="WKN61" s="608"/>
      <c r="WKO61" s="608"/>
      <c r="WKP61" s="608"/>
      <c r="WKQ61" s="608"/>
      <c r="WKR61" s="608"/>
      <c r="WKS61" s="608"/>
      <c r="WKT61" s="608"/>
      <c r="WKU61" s="608"/>
      <c r="WKV61" s="608"/>
      <c r="WKW61" s="608"/>
      <c r="WKX61" s="608"/>
      <c r="WKY61" s="608"/>
      <c r="WKZ61" s="608"/>
      <c r="WLA61" s="608"/>
      <c r="WLB61" s="608"/>
      <c r="WLC61" s="608"/>
      <c r="WLD61" s="608"/>
      <c r="WLE61" s="608"/>
      <c r="WLF61" s="608"/>
      <c r="WLG61" s="608"/>
      <c r="WLH61" s="608"/>
      <c r="WLI61" s="608"/>
      <c r="WLJ61" s="608"/>
      <c r="WLK61" s="608"/>
      <c r="WLL61" s="608"/>
      <c r="WLM61" s="608"/>
      <c r="WLN61" s="608"/>
      <c r="WLO61" s="608"/>
      <c r="WLP61" s="608"/>
      <c r="WLQ61" s="608"/>
      <c r="WLR61" s="608"/>
      <c r="WLS61" s="608"/>
      <c r="WLT61" s="608"/>
      <c r="WLU61" s="608"/>
      <c r="WLV61" s="608"/>
      <c r="WLW61" s="608"/>
      <c r="WLX61" s="608"/>
      <c r="WLY61" s="608"/>
      <c r="WLZ61" s="608"/>
      <c r="WMA61" s="608"/>
      <c r="WMB61" s="608"/>
      <c r="WMC61" s="608"/>
      <c r="WMD61" s="608"/>
      <c r="WME61" s="608"/>
      <c r="WMF61" s="608"/>
      <c r="WMG61" s="608"/>
      <c r="WMH61" s="608"/>
      <c r="WMI61" s="608"/>
      <c r="WMJ61" s="608"/>
      <c r="WMK61" s="608"/>
      <c r="WML61" s="608"/>
      <c r="WMM61" s="608"/>
      <c r="WMN61" s="608"/>
      <c r="WMO61" s="608"/>
      <c r="WMP61" s="608"/>
      <c r="WMQ61" s="608"/>
      <c r="WMR61" s="608"/>
      <c r="WMS61" s="608"/>
      <c r="WMT61" s="608"/>
      <c r="WMU61" s="608"/>
      <c r="WMV61" s="608"/>
      <c r="WMW61" s="608"/>
      <c r="WMX61" s="608"/>
      <c r="WMY61" s="608"/>
      <c r="WMZ61" s="608"/>
      <c r="WNA61" s="608"/>
      <c r="WNB61" s="608"/>
      <c r="WNC61" s="608"/>
      <c r="WND61" s="608"/>
      <c r="WNE61" s="608"/>
      <c r="WNF61" s="608"/>
      <c r="WNG61" s="608"/>
      <c r="WNH61" s="608"/>
      <c r="WNI61" s="608"/>
      <c r="WNJ61" s="608"/>
      <c r="WNK61" s="608"/>
      <c r="WNL61" s="608"/>
      <c r="WNM61" s="608"/>
      <c r="WNN61" s="608"/>
      <c r="WNO61" s="608"/>
      <c r="WNP61" s="608"/>
      <c r="WNQ61" s="608"/>
      <c r="WNR61" s="608"/>
      <c r="WNS61" s="608"/>
      <c r="WNT61" s="608"/>
      <c r="WNU61" s="608"/>
      <c r="WNV61" s="608"/>
      <c r="WNW61" s="608"/>
      <c r="WNX61" s="608"/>
      <c r="WNY61" s="608"/>
      <c r="WNZ61" s="608"/>
      <c r="WOA61" s="608"/>
      <c r="WOB61" s="608"/>
      <c r="WOC61" s="608"/>
      <c r="WOD61" s="608"/>
      <c r="WOE61" s="608"/>
      <c r="WOF61" s="608"/>
      <c r="WOG61" s="608"/>
      <c r="WOH61" s="608"/>
      <c r="WOI61" s="608"/>
      <c r="WOJ61" s="608"/>
      <c r="WOK61" s="608"/>
      <c r="WOL61" s="608"/>
      <c r="WOM61" s="608"/>
      <c r="WON61" s="608"/>
      <c r="WOO61" s="608"/>
      <c r="WOP61" s="608"/>
      <c r="WOQ61" s="608"/>
      <c r="WOR61" s="608"/>
      <c r="WOS61" s="608"/>
      <c r="WOT61" s="608"/>
      <c r="WOU61" s="608"/>
      <c r="WOV61" s="608"/>
      <c r="WOW61" s="608"/>
      <c r="WOX61" s="608"/>
      <c r="WOY61" s="608"/>
      <c r="WOZ61" s="608"/>
      <c r="WPA61" s="608"/>
      <c r="WPB61" s="608"/>
      <c r="WPC61" s="608"/>
      <c r="WPD61" s="608"/>
      <c r="WPE61" s="608"/>
      <c r="WPF61" s="608"/>
      <c r="WPG61" s="608"/>
      <c r="WPH61" s="608"/>
      <c r="WPI61" s="608"/>
      <c r="WPJ61" s="608"/>
      <c r="WPK61" s="608"/>
      <c r="WPL61" s="608"/>
      <c r="WPM61" s="608"/>
      <c r="WPN61" s="608"/>
      <c r="WPO61" s="608"/>
      <c r="WPP61" s="608"/>
      <c r="WPQ61" s="608"/>
      <c r="WPR61" s="608"/>
      <c r="WPS61" s="608"/>
      <c r="WPT61" s="608"/>
      <c r="WPU61" s="608"/>
      <c r="WPV61" s="608"/>
      <c r="WPW61" s="608"/>
      <c r="WPX61" s="608"/>
      <c r="WPY61" s="608"/>
      <c r="WPZ61" s="608"/>
      <c r="WQA61" s="608"/>
      <c r="WQB61" s="608"/>
      <c r="WQC61" s="608"/>
      <c r="WQD61" s="608"/>
      <c r="WQE61" s="608"/>
      <c r="WQF61" s="608"/>
      <c r="WQG61" s="608"/>
      <c r="WQH61" s="608"/>
      <c r="WQI61" s="608"/>
      <c r="WQJ61" s="608"/>
      <c r="WQK61" s="608"/>
      <c r="WQL61" s="608"/>
      <c r="WQM61" s="608"/>
      <c r="WQN61" s="608"/>
      <c r="WQO61" s="608"/>
      <c r="WQP61" s="608"/>
      <c r="WQQ61" s="608"/>
      <c r="WQR61" s="608"/>
      <c r="WQS61" s="608"/>
      <c r="WQT61" s="608"/>
      <c r="WQU61" s="608"/>
      <c r="WQV61" s="608"/>
      <c r="WQW61" s="608"/>
      <c r="WQX61" s="608"/>
      <c r="WQY61" s="608"/>
      <c r="WQZ61" s="608"/>
      <c r="WRA61" s="608"/>
      <c r="WRB61" s="608"/>
      <c r="WRC61" s="608"/>
      <c r="WRD61" s="608"/>
      <c r="WRE61" s="608"/>
      <c r="WRF61" s="608"/>
      <c r="WRG61" s="608"/>
      <c r="WRH61" s="608"/>
      <c r="WRI61" s="608"/>
      <c r="WRJ61" s="608"/>
      <c r="WRK61" s="608"/>
      <c r="WRL61" s="608"/>
      <c r="WRM61" s="608"/>
      <c r="WRN61" s="608"/>
      <c r="WRO61" s="608"/>
      <c r="WRP61" s="608"/>
      <c r="WRQ61" s="608"/>
      <c r="WRR61" s="608"/>
      <c r="WRS61" s="608"/>
      <c r="WRT61" s="608"/>
      <c r="WRU61" s="608"/>
      <c r="WRV61" s="608"/>
      <c r="WRW61" s="608"/>
      <c r="WRX61" s="608"/>
      <c r="WRY61" s="608"/>
      <c r="WRZ61" s="608"/>
      <c r="WSA61" s="608"/>
      <c r="WSB61" s="608"/>
      <c r="WSC61" s="608"/>
      <c r="WSD61" s="608"/>
      <c r="WSE61" s="608"/>
      <c r="WSF61" s="608"/>
      <c r="WSG61" s="608"/>
      <c r="WSH61" s="608"/>
      <c r="WSI61" s="608"/>
      <c r="WSJ61" s="608"/>
      <c r="WSK61" s="608"/>
      <c r="WSL61" s="608"/>
      <c r="WSM61" s="608"/>
      <c r="WSN61" s="608"/>
      <c r="WSO61" s="608"/>
      <c r="WSP61" s="608"/>
      <c r="WSQ61" s="608"/>
      <c r="WSR61" s="608"/>
      <c r="WSS61" s="608"/>
      <c r="WST61" s="608"/>
      <c r="WSU61" s="608"/>
      <c r="WSV61" s="608"/>
      <c r="WSW61" s="608"/>
      <c r="WSX61" s="608"/>
      <c r="WSY61" s="608"/>
      <c r="WSZ61" s="608"/>
      <c r="WTA61" s="608"/>
      <c r="WTB61" s="608"/>
      <c r="WTC61" s="608"/>
      <c r="WTD61" s="608"/>
      <c r="WTE61" s="608"/>
      <c r="WTF61" s="608"/>
      <c r="WTG61" s="608"/>
      <c r="WTH61" s="608"/>
      <c r="WTI61" s="608"/>
      <c r="WTJ61" s="608"/>
      <c r="WTK61" s="608"/>
      <c r="WTL61" s="608"/>
      <c r="WTM61" s="608"/>
      <c r="WTN61" s="608"/>
      <c r="WTO61" s="608"/>
      <c r="WTP61" s="608"/>
      <c r="WTQ61" s="608"/>
      <c r="WTR61" s="608"/>
      <c r="WTS61" s="608"/>
      <c r="WTT61" s="608"/>
      <c r="WTU61" s="608"/>
      <c r="WTV61" s="608"/>
      <c r="WTW61" s="608"/>
      <c r="WTX61" s="608"/>
      <c r="WTY61" s="608"/>
      <c r="WTZ61" s="608"/>
      <c r="WUA61" s="608"/>
      <c r="WUB61" s="608"/>
      <c r="WUC61" s="608"/>
      <c r="WUD61" s="608"/>
      <c r="WUE61" s="608"/>
      <c r="WUF61" s="608"/>
      <c r="WUG61" s="608"/>
      <c r="WUH61" s="608"/>
      <c r="WUI61" s="608"/>
      <c r="WUJ61" s="608"/>
      <c r="WUK61" s="608"/>
      <c r="WUL61" s="608"/>
      <c r="WUM61" s="608"/>
      <c r="WUN61" s="608"/>
      <c r="WUO61" s="608"/>
      <c r="WUP61" s="608"/>
      <c r="WUQ61" s="608"/>
      <c r="WUR61" s="608"/>
      <c r="WUS61" s="608"/>
      <c r="WUT61" s="608"/>
      <c r="WUU61" s="608"/>
      <c r="WUV61" s="608"/>
      <c r="WUW61" s="608"/>
      <c r="WUX61" s="608"/>
      <c r="WUY61" s="608"/>
      <c r="WUZ61" s="608"/>
      <c r="WVA61" s="608"/>
      <c r="WVB61" s="608"/>
      <c r="WVC61" s="608"/>
      <c r="WVD61" s="608"/>
      <c r="WVE61" s="608"/>
      <c r="WVF61" s="608"/>
      <c r="WVG61" s="608"/>
      <c r="WVH61" s="608"/>
      <c r="WVI61" s="608"/>
      <c r="WVJ61" s="608"/>
      <c r="WVK61" s="608"/>
      <c r="WVL61" s="608"/>
      <c r="WVM61" s="608"/>
      <c r="WVN61" s="608"/>
      <c r="WVO61" s="608"/>
      <c r="WVP61" s="608"/>
      <c r="WVQ61" s="608"/>
      <c r="WVR61" s="608"/>
      <c r="WVS61" s="608"/>
      <c r="WVT61" s="608"/>
      <c r="WVU61" s="608"/>
      <c r="WVV61" s="608"/>
      <c r="WVW61" s="608"/>
      <c r="WVX61" s="608"/>
      <c r="WVY61" s="608"/>
      <c r="WVZ61" s="608"/>
      <c r="WWA61" s="608"/>
      <c r="WWB61" s="608"/>
      <c r="WWC61" s="608"/>
      <c r="WWD61" s="608"/>
      <c r="WWE61" s="608"/>
      <c r="WWF61" s="608"/>
      <c r="WWG61" s="608"/>
      <c r="WWH61" s="608"/>
      <c r="WWI61" s="608"/>
      <c r="WWJ61" s="608"/>
      <c r="WWK61" s="608"/>
      <c r="WWL61" s="608"/>
      <c r="WWM61" s="608"/>
      <c r="WWN61" s="608"/>
      <c r="WWO61" s="608"/>
      <c r="WWP61" s="608"/>
      <c r="WWQ61" s="608"/>
      <c r="WWR61" s="608"/>
      <c r="WWS61" s="608"/>
      <c r="WWT61" s="608"/>
      <c r="WWU61" s="608"/>
      <c r="WWV61" s="608"/>
      <c r="WWW61" s="608"/>
      <c r="WWX61" s="608"/>
      <c r="WWY61" s="608"/>
      <c r="WWZ61" s="608"/>
      <c r="WXA61" s="608"/>
      <c r="WXB61" s="608"/>
      <c r="WXC61" s="608"/>
      <c r="WXD61" s="608"/>
      <c r="WXE61" s="608"/>
      <c r="WXF61" s="608"/>
      <c r="WXG61" s="608"/>
      <c r="WXH61" s="608"/>
      <c r="WXI61" s="608"/>
      <c r="WXJ61" s="608"/>
      <c r="WXK61" s="608"/>
      <c r="WXL61" s="608"/>
      <c r="WXM61" s="608"/>
      <c r="WXN61" s="608"/>
      <c r="WXO61" s="608"/>
      <c r="WXP61" s="608"/>
      <c r="WXQ61" s="608"/>
      <c r="WXR61" s="608"/>
      <c r="WXS61" s="608"/>
      <c r="WXT61" s="608"/>
      <c r="WXU61" s="608"/>
      <c r="WXV61" s="608"/>
      <c r="WXW61" s="608"/>
      <c r="WXX61" s="608"/>
      <c r="WXY61" s="608"/>
      <c r="WXZ61" s="608"/>
      <c r="WYA61" s="608"/>
      <c r="WYB61" s="608"/>
      <c r="WYC61" s="608"/>
      <c r="WYD61" s="608"/>
      <c r="WYE61" s="608"/>
      <c r="WYF61" s="608"/>
      <c r="WYG61" s="608"/>
      <c r="WYH61" s="608"/>
      <c r="WYI61" s="608"/>
      <c r="WYJ61" s="608"/>
      <c r="WYK61" s="608"/>
      <c r="WYL61" s="608"/>
      <c r="WYM61" s="608"/>
      <c r="WYN61" s="608"/>
      <c r="WYO61" s="608"/>
      <c r="WYP61" s="608"/>
      <c r="WYQ61" s="608"/>
      <c r="WYR61" s="608"/>
      <c r="WYS61" s="608"/>
      <c r="WYT61" s="608"/>
      <c r="WYU61" s="608"/>
      <c r="WYV61" s="608"/>
      <c r="WYW61" s="608"/>
      <c r="WYX61" s="608"/>
      <c r="WYY61" s="608"/>
      <c r="WYZ61" s="608"/>
      <c r="WZA61" s="608"/>
      <c r="WZB61" s="608"/>
      <c r="WZC61" s="608"/>
      <c r="WZD61" s="608"/>
      <c r="WZE61" s="608"/>
      <c r="WZF61" s="608"/>
      <c r="WZG61" s="608"/>
      <c r="WZH61" s="608"/>
      <c r="WZI61" s="608"/>
      <c r="WZJ61" s="608"/>
      <c r="WZK61" s="608"/>
      <c r="WZL61" s="608"/>
      <c r="WZM61" s="608"/>
      <c r="WZN61" s="608"/>
      <c r="WZO61" s="608"/>
      <c r="WZP61" s="608"/>
      <c r="WZQ61" s="608"/>
      <c r="WZR61" s="608"/>
      <c r="WZS61" s="608"/>
      <c r="WZT61" s="608"/>
      <c r="WZU61" s="608"/>
      <c r="WZV61" s="608"/>
      <c r="WZW61" s="608"/>
      <c r="WZX61" s="608"/>
      <c r="WZY61" s="608"/>
      <c r="WZZ61" s="608"/>
      <c r="XAA61" s="608"/>
      <c r="XAB61" s="608"/>
      <c r="XAC61" s="608"/>
      <c r="XAD61" s="608"/>
      <c r="XAE61" s="608"/>
      <c r="XAF61" s="608"/>
      <c r="XAG61" s="608"/>
      <c r="XAH61" s="608"/>
      <c r="XAI61" s="608"/>
      <c r="XAJ61" s="608"/>
      <c r="XAK61" s="608"/>
      <c r="XAL61" s="608"/>
      <c r="XAM61" s="608"/>
      <c r="XAN61" s="608"/>
      <c r="XAO61" s="608"/>
      <c r="XAP61" s="608"/>
      <c r="XAQ61" s="608"/>
      <c r="XAR61" s="608"/>
      <c r="XAS61" s="608"/>
      <c r="XAT61" s="608"/>
      <c r="XAU61" s="608"/>
      <c r="XAV61" s="608"/>
      <c r="XAW61" s="608"/>
      <c r="XAX61" s="608"/>
      <c r="XAY61" s="608"/>
      <c r="XAZ61" s="608"/>
      <c r="XBA61" s="608"/>
      <c r="XBB61" s="608"/>
      <c r="XBC61" s="608"/>
      <c r="XBD61" s="608"/>
      <c r="XBE61" s="608"/>
      <c r="XBF61" s="608"/>
      <c r="XBG61" s="608"/>
      <c r="XBH61" s="608"/>
      <c r="XBI61" s="608"/>
      <c r="XBJ61" s="608"/>
      <c r="XBK61" s="608"/>
      <c r="XBL61" s="608"/>
      <c r="XBM61" s="608"/>
      <c r="XBN61" s="608"/>
      <c r="XBO61" s="608"/>
      <c r="XBP61" s="608"/>
      <c r="XBQ61" s="608"/>
      <c r="XBR61" s="608"/>
      <c r="XBS61" s="608"/>
      <c r="XBT61" s="608"/>
      <c r="XBU61" s="608"/>
      <c r="XBV61" s="608"/>
      <c r="XBW61" s="608"/>
      <c r="XBX61" s="608"/>
      <c r="XBY61" s="608"/>
      <c r="XBZ61" s="608"/>
      <c r="XCA61" s="608"/>
      <c r="XCB61" s="608"/>
      <c r="XCC61" s="608"/>
      <c r="XCD61" s="608"/>
      <c r="XCE61" s="608"/>
      <c r="XCF61" s="608"/>
      <c r="XCG61" s="608"/>
      <c r="XCH61" s="608"/>
      <c r="XCI61" s="608"/>
      <c r="XCJ61" s="608"/>
      <c r="XCK61" s="608"/>
      <c r="XCL61" s="608"/>
      <c r="XCM61" s="608"/>
      <c r="XCN61" s="608"/>
      <c r="XCO61" s="608"/>
      <c r="XCP61" s="608"/>
      <c r="XCQ61" s="608"/>
      <c r="XCR61" s="608"/>
      <c r="XCS61" s="608"/>
      <c r="XCT61" s="608"/>
      <c r="XCU61" s="608"/>
      <c r="XCV61" s="608"/>
      <c r="XCW61" s="608"/>
      <c r="XCX61" s="608"/>
      <c r="XCY61" s="608"/>
      <c r="XCZ61" s="608"/>
      <c r="XDA61" s="608"/>
      <c r="XDB61" s="608"/>
      <c r="XDC61" s="608"/>
      <c r="XDD61" s="608"/>
      <c r="XDE61" s="608"/>
      <c r="XDF61" s="608"/>
      <c r="XDG61" s="608"/>
      <c r="XDH61" s="608"/>
      <c r="XDI61" s="608"/>
      <c r="XDJ61" s="608"/>
      <c r="XDK61" s="608"/>
      <c r="XDL61" s="608"/>
      <c r="XDM61" s="608"/>
      <c r="XDN61" s="608"/>
      <c r="XDO61" s="608"/>
      <c r="XDP61" s="608"/>
      <c r="XDQ61" s="608"/>
      <c r="XDR61" s="608"/>
      <c r="XDS61" s="608"/>
      <c r="XDT61" s="608"/>
      <c r="XDU61" s="608"/>
      <c r="XDV61" s="608"/>
      <c r="XDW61" s="608"/>
      <c r="XDX61" s="608"/>
      <c r="XDY61" s="608"/>
      <c r="XDZ61" s="608"/>
      <c r="XEA61" s="608"/>
      <c r="XEB61" s="608"/>
      <c r="XEC61" s="608"/>
      <c r="XED61" s="608"/>
      <c r="XEE61" s="608"/>
      <c r="XEF61" s="608"/>
      <c r="XEG61" s="608"/>
      <c r="XEH61" s="608"/>
      <c r="XEI61" s="608"/>
      <c r="XEJ61" s="608"/>
      <c r="XEK61" s="608"/>
      <c r="XEL61" s="608"/>
      <c r="XEM61" s="608"/>
      <c r="XEN61" s="608"/>
      <c r="XEO61" s="608"/>
      <c r="XEP61" s="608"/>
      <c r="XEQ61" s="608"/>
      <c r="XER61" s="608"/>
      <c r="XES61" s="608"/>
      <c r="XET61" s="608"/>
      <c r="XEU61" s="608"/>
      <c r="XEV61" s="608"/>
      <c r="XEW61" s="608"/>
      <c r="XEX61" s="608"/>
      <c r="XEY61" s="608"/>
      <c r="XEZ61" s="615"/>
      <c r="XFA61" s="615"/>
      <c r="XFB61" s="615"/>
      <c r="XFC61" s="615"/>
      <c r="XFD61" s="615"/>
    </row>
    <row r="62" s="610" customFormat="1" spans="1:16384">
      <c r="A62" s="610" t="s">
        <v>2151</v>
      </c>
      <c r="B62" s="610" t="s">
        <v>2152</v>
      </c>
      <c r="C62" s="610" t="s">
        <v>2096</v>
      </c>
      <c r="D62" s="610">
        <v>85059.12</v>
      </c>
      <c r="E62" s="610">
        <v>242377.36</v>
      </c>
      <c r="F62" s="610" t="s">
        <v>2153</v>
      </c>
      <c r="G62" s="610" t="s">
        <v>1930</v>
      </c>
      <c r="H62" s="610" t="s">
        <v>2121</v>
      </c>
      <c r="I62" s="610" t="s">
        <v>2147</v>
      </c>
      <c r="J62" s="610" t="s">
        <v>2148</v>
      </c>
      <c r="K62" s="614">
        <v>44342.0004976852</v>
      </c>
      <c r="L62" s="610" t="s">
        <v>1932</v>
      </c>
      <c r="M62" s="610" t="s">
        <v>2154</v>
      </c>
      <c r="N62" s="610">
        <v>682000</v>
      </c>
      <c r="O62" s="610">
        <v>5345.3</v>
      </c>
      <c r="P62" s="610">
        <v>28138</v>
      </c>
      <c r="Q62" s="610">
        <v>15.01</v>
      </c>
      <c r="R62" s="610" t="s">
        <v>2150</v>
      </c>
      <c r="S62" s="608"/>
      <c r="T62" s="608"/>
      <c r="U62" s="608"/>
      <c r="V62" s="608"/>
      <c r="W62" s="608"/>
      <c r="X62" s="608"/>
      <c r="Y62" s="608"/>
      <c r="Z62" s="608"/>
      <c r="AA62" s="608"/>
      <c r="AB62" s="608"/>
      <c r="AC62" s="608"/>
      <c r="AD62" s="608"/>
      <c r="AE62" s="608"/>
      <c r="AF62" s="608"/>
      <c r="AG62" s="608"/>
      <c r="AH62" s="608"/>
      <c r="AI62" s="608"/>
      <c r="AJ62" s="608"/>
      <c r="AK62" s="608"/>
      <c r="AL62" s="608"/>
      <c r="AM62" s="608"/>
      <c r="AN62" s="608"/>
      <c r="AO62" s="608"/>
      <c r="AP62" s="608"/>
      <c r="AQ62" s="608"/>
      <c r="AR62" s="608"/>
      <c r="AS62" s="608"/>
      <c r="AT62" s="608"/>
      <c r="AU62" s="608"/>
      <c r="AV62" s="608"/>
      <c r="AW62" s="608"/>
      <c r="AX62" s="608"/>
      <c r="AY62" s="608"/>
      <c r="AZ62" s="608"/>
      <c r="BA62" s="608"/>
      <c r="BB62" s="608"/>
      <c r="BC62" s="608"/>
      <c r="BD62" s="608"/>
      <c r="BE62" s="608"/>
      <c r="BF62" s="608"/>
      <c r="BG62" s="608"/>
      <c r="BH62" s="608"/>
      <c r="BI62" s="608"/>
      <c r="BJ62" s="608"/>
      <c r="BK62" s="608"/>
      <c r="BL62" s="608"/>
      <c r="BM62" s="608"/>
      <c r="BN62" s="608"/>
      <c r="BO62" s="608"/>
      <c r="BP62" s="608"/>
      <c r="BQ62" s="608"/>
      <c r="BR62" s="608"/>
      <c r="BS62" s="608"/>
      <c r="BT62" s="608"/>
      <c r="BU62" s="608"/>
      <c r="BV62" s="608"/>
      <c r="BW62" s="608"/>
      <c r="BX62" s="608"/>
      <c r="BY62" s="608"/>
      <c r="BZ62" s="608"/>
      <c r="CA62" s="608"/>
      <c r="CB62" s="608"/>
      <c r="CC62" s="608"/>
      <c r="CD62" s="608"/>
      <c r="CE62" s="608"/>
      <c r="CF62" s="608"/>
      <c r="CG62" s="608"/>
      <c r="CH62" s="608"/>
      <c r="CI62" s="608"/>
      <c r="CJ62" s="608"/>
      <c r="CK62" s="608"/>
      <c r="CL62" s="608"/>
      <c r="CM62" s="608"/>
      <c r="CN62" s="608"/>
      <c r="CO62" s="608"/>
      <c r="CP62" s="608"/>
      <c r="CQ62" s="608"/>
      <c r="CR62" s="608"/>
      <c r="CS62" s="608"/>
      <c r="CT62" s="608"/>
      <c r="CU62" s="608"/>
      <c r="CV62" s="608"/>
      <c r="CW62" s="608"/>
      <c r="CX62" s="608"/>
      <c r="CY62" s="608"/>
      <c r="CZ62" s="608"/>
      <c r="DA62" s="608"/>
      <c r="DB62" s="608"/>
      <c r="DC62" s="608"/>
      <c r="DD62" s="608"/>
      <c r="DE62" s="608"/>
      <c r="DF62" s="608"/>
      <c r="DG62" s="608"/>
      <c r="DH62" s="608"/>
      <c r="DI62" s="608"/>
      <c r="DJ62" s="608"/>
      <c r="DK62" s="608"/>
      <c r="DL62" s="608"/>
      <c r="DM62" s="608"/>
      <c r="DN62" s="608"/>
      <c r="DO62" s="608"/>
      <c r="DP62" s="608"/>
      <c r="DQ62" s="608"/>
      <c r="DR62" s="608"/>
      <c r="DS62" s="608"/>
      <c r="DT62" s="608"/>
      <c r="DU62" s="608"/>
      <c r="DV62" s="608"/>
      <c r="DW62" s="608"/>
      <c r="DX62" s="608"/>
      <c r="DY62" s="608"/>
      <c r="DZ62" s="608"/>
      <c r="EA62" s="608"/>
      <c r="EB62" s="608"/>
      <c r="EC62" s="608"/>
      <c r="ED62" s="608"/>
      <c r="EE62" s="608"/>
      <c r="EF62" s="608"/>
      <c r="EG62" s="608"/>
      <c r="EH62" s="608"/>
      <c r="EI62" s="608"/>
      <c r="EJ62" s="608"/>
      <c r="EK62" s="608"/>
      <c r="EL62" s="608"/>
      <c r="EM62" s="608"/>
      <c r="EN62" s="608"/>
      <c r="EO62" s="608"/>
      <c r="EP62" s="608"/>
      <c r="EQ62" s="608"/>
      <c r="ER62" s="608"/>
      <c r="ES62" s="608"/>
      <c r="ET62" s="608"/>
      <c r="EU62" s="608"/>
      <c r="EV62" s="608"/>
      <c r="EW62" s="608"/>
      <c r="EX62" s="608"/>
      <c r="EY62" s="608"/>
      <c r="EZ62" s="608"/>
      <c r="FA62" s="608"/>
      <c r="FB62" s="608"/>
      <c r="FC62" s="608"/>
      <c r="FD62" s="608"/>
      <c r="FE62" s="608"/>
      <c r="FF62" s="608"/>
      <c r="FG62" s="608"/>
      <c r="FH62" s="608"/>
      <c r="FI62" s="608"/>
      <c r="FJ62" s="608"/>
      <c r="FK62" s="608"/>
      <c r="FL62" s="608"/>
      <c r="FM62" s="608"/>
      <c r="FN62" s="608"/>
      <c r="FO62" s="608"/>
      <c r="FP62" s="608"/>
      <c r="FQ62" s="608"/>
      <c r="FR62" s="608"/>
      <c r="FS62" s="608"/>
      <c r="FT62" s="608"/>
      <c r="FU62" s="608"/>
      <c r="FV62" s="608"/>
      <c r="FW62" s="608"/>
      <c r="FX62" s="608"/>
      <c r="FY62" s="608"/>
      <c r="FZ62" s="608"/>
      <c r="GA62" s="608"/>
      <c r="GB62" s="608"/>
      <c r="GC62" s="608"/>
      <c r="GD62" s="608"/>
      <c r="GE62" s="608"/>
      <c r="GF62" s="608"/>
      <c r="GG62" s="608"/>
      <c r="GH62" s="608"/>
      <c r="GI62" s="608"/>
      <c r="GJ62" s="608"/>
      <c r="GK62" s="608"/>
      <c r="GL62" s="608"/>
      <c r="GM62" s="608"/>
      <c r="GN62" s="608"/>
      <c r="GO62" s="608"/>
      <c r="GP62" s="608"/>
      <c r="GQ62" s="608"/>
      <c r="GR62" s="608"/>
      <c r="GS62" s="608"/>
      <c r="GT62" s="608"/>
      <c r="GU62" s="608"/>
      <c r="GV62" s="608"/>
      <c r="GW62" s="608"/>
      <c r="GX62" s="608"/>
      <c r="GY62" s="608"/>
      <c r="GZ62" s="608"/>
      <c r="HA62" s="608"/>
      <c r="HB62" s="608"/>
      <c r="HC62" s="608"/>
      <c r="HD62" s="608"/>
      <c r="HE62" s="608"/>
      <c r="HF62" s="608"/>
      <c r="HG62" s="608"/>
      <c r="HH62" s="608"/>
      <c r="HI62" s="608"/>
      <c r="HJ62" s="608"/>
      <c r="HK62" s="608"/>
      <c r="HL62" s="608"/>
      <c r="HM62" s="608"/>
      <c r="HN62" s="608"/>
      <c r="HO62" s="608"/>
      <c r="HP62" s="608"/>
      <c r="HQ62" s="608"/>
      <c r="HR62" s="608"/>
      <c r="HS62" s="608"/>
      <c r="HT62" s="608"/>
      <c r="HU62" s="608"/>
      <c r="HV62" s="608"/>
      <c r="HW62" s="608"/>
      <c r="HX62" s="608"/>
      <c r="HY62" s="608"/>
      <c r="HZ62" s="608"/>
      <c r="IA62" s="608"/>
      <c r="IB62" s="608"/>
      <c r="IC62" s="608"/>
      <c r="ID62" s="608"/>
      <c r="IE62" s="608"/>
      <c r="IF62" s="608"/>
      <c r="IG62" s="608"/>
      <c r="IH62" s="608"/>
      <c r="II62" s="608"/>
      <c r="IJ62" s="608"/>
      <c r="IK62" s="608"/>
      <c r="IL62" s="608"/>
      <c r="IM62" s="608"/>
      <c r="IN62" s="608"/>
      <c r="IO62" s="608"/>
      <c r="IP62" s="608"/>
      <c r="IQ62" s="608"/>
      <c r="IR62" s="608"/>
      <c r="IS62" s="608"/>
      <c r="IT62" s="608"/>
      <c r="IU62" s="608"/>
      <c r="IV62" s="608"/>
      <c r="IW62" s="608"/>
      <c r="IX62" s="608"/>
      <c r="IY62" s="608"/>
      <c r="IZ62" s="608"/>
      <c r="JA62" s="608"/>
      <c r="JB62" s="608"/>
      <c r="JC62" s="608"/>
      <c r="JD62" s="608"/>
      <c r="JE62" s="608"/>
      <c r="JF62" s="608"/>
      <c r="JG62" s="608"/>
      <c r="JH62" s="608"/>
      <c r="JI62" s="608"/>
      <c r="JJ62" s="608"/>
      <c r="JK62" s="608"/>
      <c r="JL62" s="608"/>
      <c r="JM62" s="608"/>
      <c r="JN62" s="608"/>
      <c r="JO62" s="608"/>
      <c r="JP62" s="608"/>
      <c r="JQ62" s="608"/>
      <c r="JR62" s="608"/>
      <c r="JS62" s="608"/>
      <c r="JT62" s="608"/>
      <c r="JU62" s="608"/>
      <c r="JV62" s="608"/>
      <c r="JW62" s="608"/>
      <c r="JX62" s="608"/>
      <c r="JY62" s="608"/>
      <c r="JZ62" s="608"/>
      <c r="KA62" s="608"/>
      <c r="KB62" s="608"/>
      <c r="KC62" s="608"/>
      <c r="KD62" s="608"/>
      <c r="KE62" s="608"/>
      <c r="KF62" s="608"/>
      <c r="KG62" s="608"/>
      <c r="KH62" s="608"/>
      <c r="KI62" s="608"/>
      <c r="KJ62" s="608"/>
      <c r="KK62" s="608"/>
      <c r="KL62" s="608"/>
      <c r="KM62" s="608"/>
      <c r="KN62" s="608"/>
      <c r="KO62" s="608"/>
      <c r="KP62" s="608"/>
      <c r="KQ62" s="608"/>
      <c r="KR62" s="608"/>
      <c r="KS62" s="608"/>
      <c r="KT62" s="608"/>
      <c r="KU62" s="608"/>
      <c r="KV62" s="608"/>
      <c r="KW62" s="608"/>
      <c r="KX62" s="608"/>
      <c r="KY62" s="608"/>
      <c r="KZ62" s="608"/>
      <c r="LA62" s="608"/>
      <c r="LB62" s="608"/>
      <c r="LC62" s="608"/>
      <c r="LD62" s="608"/>
      <c r="LE62" s="608"/>
      <c r="LF62" s="608"/>
      <c r="LG62" s="608"/>
      <c r="LH62" s="608"/>
      <c r="LI62" s="608"/>
      <c r="LJ62" s="608"/>
      <c r="LK62" s="608"/>
      <c r="LL62" s="608"/>
      <c r="LM62" s="608"/>
      <c r="LN62" s="608"/>
      <c r="LO62" s="608"/>
      <c r="LP62" s="608"/>
      <c r="LQ62" s="608"/>
      <c r="LR62" s="608"/>
      <c r="LS62" s="608"/>
      <c r="LT62" s="608"/>
      <c r="LU62" s="608"/>
      <c r="LV62" s="608"/>
      <c r="LW62" s="608"/>
      <c r="LX62" s="608"/>
      <c r="LY62" s="608"/>
      <c r="LZ62" s="608"/>
      <c r="MA62" s="608"/>
      <c r="MB62" s="608"/>
      <c r="MC62" s="608"/>
      <c r="MD62" s="608"/>
      <c r="ME62" s="608"/>
      <c r="MF62" s="608"/>
      <c r="MG62" s="608"/>
      <c r="MH62" s="608"/>
      <c r="MI62" s="608"/>
      <c r="MJ62" s="608"/>
      <c r="MK62" s="608"/>
      <c r="ML62" s="608"/>
      <c r="MM62" s="608"/>
      <c r="MN62" s="608"/>
      <c r="MO62" s="608"/>
      <c r="MP62" s="608"/>
      <c r="MQ62" s="608"/>
      <c r="MR62" s="608"/>
      <c r="MS62" s="608"/>
      <c r="MT62" s="608"/>
      <c r="MU62" s="608"/>
      <c r="MV62" s="608"/>
      <c r="MW62" s="608"/>
      <c r="MX62" s="608"/>
      <c r="MY62" s="608"/>
      <c r="MZ62" s="608"/>
      <c r="NA62" s="608"/>
      <c r="NB62" s="608"/>
      <c r="NC62" s="608"/>
      <c r="ND62" s="608"/>
      <c r="NE62" s="608"/>
      <c r="NF62" s="608"/>
      <c r="NG62" s="608"/>
      <c r="NH62" s="608"/>
      <c r="NI62" s="608"/>
      <c r="NJ62" s="608"/>
      <c r="NK62" s="608"/>
      <c r="NL62" s="608"/>
      <c r="NM62" s="608"/>
      <c r="NN62" s="608"/>
      <c r="NO62" s="608"/>
      <c r="NP62" s="608"/>
      <c r="NQ62" s="608"/>
      <c r="NR62" s="608"/>
      <c r="NS62" s="608"/>
      <c r="NT62" s="608"/>
      <c r="NU62" s="608"/>
      <c r="NV62" s="608"/>
      <c r="NW62" s="608"/>
      <c r="NX62" s="608"/>
      <c r="NY62" s="608"/>
      <c r="NZ62" s="608"/>
      <c r="OA62" s="608"/>
      <c r="OB62" s="608"/>
      <c r="OC62" s="608"/>
      <c r="OD62" s="608"/>
      <c r="OE62" s="608"/>
      <c r="OF62" s="608"/>
      <c r="OG62" s="608"/>
      <c r="OH62" s="608"/>
      <c r="OI62" s="608"/>
      <c r="OJ62" s="608"/>
      <c r="OK62" s="608"/>
      <c r="OL62" s="608"/>
      <c r="OM62" s="608"/>
      <c r="ON62" s="608"/>
      <c r="OO62" s="608"/>
      <c r="OP62" s="608"/>
      <c r="OQ62" s="608"/>
      <c r="OR62" s="608"/>
      <c r="OS62" s="608"/>
      <c r="OT62" s="608"/>
      <c r="OU62" s="608"/>
      <c r="OV62" s="608"/>
      <c r="OW62" s="608"/>
      <c r="OX62" s="608"/>
      <c r="OY62" s="608"/>
      <c r="OZ62" s="608"/>
      <c r="PA62" s="608"/>
      <c r="PB62" s="608"/>
      <c r="PC62" s="608"/>
      <c r="PD62" s="608"/>
      <c r="PE62" s="608"/>
      <c r="PF62" s="608"/>
      <c r="PG62" s="608"/>
      <c r="PH62" s="608"/>
      <c r="PI62" s="608"/>
      <c r="PJ62" s="608"/>
      <c r="PK62" s="608"/>
      <c r="PL62" s="608"/>
      <c r="PM62" s="608"/>
      <c r="PN62" s="608"/>
      <c r="PO62" s="608"/>
      <c r="PP62" s="608"/>
      <c r="PQ62" s="608"/>
      <c r="PR62" s="608"/>
      <c r="PS62" s="608"/>
      <c r="PT62" s="608"/>
      <c r="PU62" s="608"/>
      <c r="PV62" s="608"/>
      <c r="PW62" s="608"/>
      <c r="PX62" s="608"/>
      <c r="PY62" s="608"/>
      <c r="PZ62" s="608"/>
      <c r="QA62" s="608"/>
      <c r="QB62" s="608"/>
      <c r="QC62" s="608"/>
      <c r="QD62" s="608"/>
      <c r="QE62" s="608"/>
      <c r="QF62" s="608"/>
      <c r="QG62" s="608"/>
      <c r="QH62" s="608"/>
      <c r="QI62" s="608"/>
      <c r="QJ62" s="608"/>
      <c r="QK62" s="608"/>
      <c r="QL62" s="608"/>
      <c r="QM62" s="608"/>
      <c r="QN62" s="608"/>
      <c r="QO62" s="608"/>
      <c r="QP62" s="608"/>
      <c r="QQ62" s="608"/>
      <c r="QR62" s="608"/>
      <c r="QS62" s="608"/>
      <c r="QT62" s="608"/>
      <c r="QU62" s="608"/>
      <c r="QV62" s="608"/>
      <c r="QW62" s="608"/>
      <c r="QX62" s="608"/>
      <c r="QY62" s="608"/>
      <c r="QZ62" s="608"/>
      <c r="RA62" s="608"/>
      <c r="RB62" s="608"/>
      <c r="RC62" s="608"/>
      <c r="RD62" s="608"/>
      <c r="RE62" s="608"/>
      <c r="RF62" s="608"/>
      <c r="RG62" s="608"/>
      <c r="RH62" s="608"/>
      <c r="RI62" s="608"/>
      <c r="RJ62" s="608"/>
      <c r="RK62" s="608"/>
      <c r="RL62" s="608"/>
      <c r="RM62" s="608"/>
      <c r="RN62" s="608"/>
      <c r="RO62" s="608"/>
      <c r="RP62" s="608"/>
      <c r="RQ62" s="608"/>
      <c r="RR62" s="608"/>
      <c r="RS62" s="608"/>
      <c r="RT62" s="608"/>
      <c r="RU62" s="608"/>
      <c r="RV62" s="608"/>
      <c r="RW62" s="608"/>
      <c r="RX62" s="608"/>
      <c r="RY62" s="608"/>
      <c r="RZ62" s="608"/>
      <c r="SA62" s="608"/>
      <c r="SB62" s="608"/>
      <c r="SC62" s="608"/>
      <c r="SD62" s="608"/>
      <c r="SE62" s="608"/>
      <c r="SF62" s="608"/>
      <c r="SG62" s="608"/>
      <c r="SH62" s="608"/>
      <c r="SI62" s="608"/>
      <c r="SJ62" s="608"/>
      <c r="SK62" s="608"/>
      <c r="SL62" s="608"/>
      <c r="SM62" s="608"/>
      <c r="SN62" s="608"/>
      <c r="SO62" s="608"/>
      <c r="SP62" s="608"/>
      <c r="SQ62" s="608"/>
      <c r="SR62" s="608"/>
      <c r="SS62" s="608"/>
      <c r="ST62" s="608"/>
      <c r="SU62" s="608"/>
      <c r="SV62" s="608"/>
      <c r="SW62" s="608"/>
      <c r="SX62" s="608"/>
      <c r="SY62" s="608"/>
      <c r="SZ62" s="608"/>
      <c r="TA62" s="608"/>
      <c r="TB62" s="608"/>
      <c r="TC62" s="608"/>
      <c r="TD62" s="608"/>
      <c r="TE62" s="608"/>
      <c r="TF62" s="608"/>
      <c r="TG62" s="608"/>
      <c r="TH62" s="608"/>
      <c r="TI62" s="608"/>
      <c r="TJ62" s="608"/>
      <c r="TK62" s="608"/>
      <c r="TL62" s="608"/>
      <c r="TM62" s="608"/>
      <c r="TN62" s="608"/>
      <c r="TO62" s="608"/>
      <c r="TP62" s="608"/>
      <c r="TQ62" s="608"/>
      <c r="TR62" s="608"/>
      <c r="TS62" s="608"/>
      <c r="TT62" s="608"/>
      <c r="TU62" s="608"/>
      <c r="TV62" s="608"/>
      <c r="TW62" s="608"/>
      <c r="TX62" s="608"/>
      <c r="TY62" s="608"/>
      <c r="TZ62" s="608"/>
      <c r="UA62" s="608"/>
      <c r="UB62" s="608"/>
      <c r="UC62" s="608"/>
      <c r="UD62" s="608"/>
      <c r="UE62" s="608"/>
      <c r="UF62" s="608"/>
      <c r="UG62" s="608"/>
      <c r="UH62" s="608"/>
      <c r="UI62" s="608"/>
      <c r="UJ62" s="608"/>
      <c r="UK62" s="608"/>
      <c r="UL62" s="608"/>
      <c r="UM62" s="608"/>
      <c r="UN62" s="608"/>
      <c r="UO62" s="608"/>
      <c r="UP62" s="608"/>
      <c r="UQ62" s="608"/>
      <c r="UR62" s="608"/>
      <c r="US62" s="608"/>
      <c r="UT62" s="608"/>
      <c r="UU62" s="608"/>
      <c r="UV62" s="608"/>
      <c r="UW62" s="608"/>
      <c r="UX62" s="608"/>
      <c r="UY62" s="608"/>
      <c r="UZ62" s="608"/>
      <c r="VA62" s="608"/>
      <c r="VB62" s="608"/>
      <c r="VC62" s="608"/>
      <c r="VD62" s="608"/>
      <c r="VE62" s="608"/>
      <c r="VF62" s="608"/>
      <c r="VG62" s="608"/>
      <c r="VH62" s="608"/>
      <c r="VI62" s="608"/>
      <c r="VJ62" s="608"/>
      <c r="VK62" s="608"/>
      <c r="VL62" s="608"/>
      <c r="VM62" s="608"/>
      <c r="VN62" s="608"/>
      <c r="VO62" s="608"/>
      <c r="VP62" s="608"/>
      <c r="VQ62" s="608"/>
      <c r="VR62" s="608"/>
      <c r="VS62" s="608"/>
      <c r="VT62" s="608"/>
      <c r="VU62" s="608"/>
      <c r="VV62" s="608"/>
      <c r="VW62" s="608"/>
      <c r="VX62" s="608"/>
      <c r="VY62" s="608"/>
      <c r="VZ62" s="608"/>
      <c r="WA62" s="608"/>
      <c r="WB62" s="608"/>
      <c r="WC62" s="608"/>
      <c r="WD62" s="608"/>
      <c r="WE62" s="608"/>
      <c r="WF62" s="608"/>
      <c r="WG62" s="608"/>
      <c r="WH62" s="608"/>
      <c r="WI62" s="608"/>
      <c r="WJ62" s="608"/>
      <c r="WK62" s="608"/>
      <c r="WL62" s="608"/>
      <c r="WM62" s="608"/>
      <c r="WN62" s="608"/>
      <c r="WO62" s="608"/>
      <c r="WP62" s="608"/>
      <c r="WQ62" s="608"/>
      <c r="WR62" s="608"/>
      <c r="WS62" s="608"/>
      <c r="WT62" s="608"/>
      <c r="WU62" s="608"/>
      <c r="WV62" s="608"/>
      <c r="WW62" s="608"/>
      <c r="WX62" s="608"/>
      <c r="WY62" s="608"/>
      <c r="WZ62" s="608"/>
      <c r="XA62" s="608"/>
      <c r="XB62" s="608"/>
      <c r="XC62" s="608"/>
      <c r="XD62" s="608"/>
      <c r="XE62" s="608"/>
      <c r="XF62" s="608"/>
      <c r="XG62" s="608"/>
      <c r="XH62" s="608"/>
      <c r="XI62" s="608"/>
      <c r="XJ62" s="608"/>
      <c r="XK62" s="608"/>
      <c r="XL62" s="608"/>
      <c r="XM62" s="608"/>
      <c r="XN62" s="608"/>
      <c r="XO62" s="608"/>
      <c r="XP62" s="608"/>
      <c r="XQ62" s="608"/>
      <c r="XR62" s="608"/>
      <c r="XS62" s="608"/>
      <c r="XT62" s="608"/>
      <c r="XU62" s="608"/>
      <c r="XV62" s="608"/>
      <c r="XW62" s="608"/>
      <c r="XX62" s="608"/>
      <c r="XY62" s="608"/>
      <c r="XZ62" s="608"/>
      <c r="YA62" s="608"/>
      <c r="YB62" s="608"/>
      <c r="YC62" s="608"/>
      <c r="YD62" s="608"/>
      <c r="YE62" s="608"/>
      <c r="YF62" s="608"/>
      <c r="YG62" s="608"/>
      <c r="YH62" s="608"/>
      <c r="YI62" s="608"/>
      <c r="YJ62" s="608"/>
      <c r="YK62" s="608"/>
      <c r="YL62" s="608"/>
      <c r="YM62" s="608"/>
      <c r="YN62" s="608"/>
      <c r="YO62" s="608"/>
      <c r="YP62" s="608"/>
      <c r="YQ62" s="608"/>
      <c r="YR62" s="608"/>
      <c r="YS62" s="608"/>
      <c r="YT62" s="608"/>
      <c r="YU62" s="608"/>
      <c r="YV62" s="608"/>
      <c r="YW62" s="608"/>
      <c r="YX62" s="608"/>
      <c r="YY62" s="608"/>
      <c r="YZ62" s="608"/>
      <c r="ZA62" s="608"/>
      <c r="ZB62" s="608"/>
      <c r="ZC62" s="608"/>
      <c r="ZD62" s="608"/>
      <c r="ZE62" s="608"/>
      <c r="ZF62" s="608"/>
      <c r="ZG62" s="608"/>
      <c r="ZH62" s="608"/>
      <c r="ZI62" s="608"/>
      <c r="ZJ62" s="608"/>
      <c r="ZK62" s="608"/>
      <c r="ZL62" s="608"/>
      <c r="ZM62" s="608"/>
      <c r="ZN62" s="608"/>
      <c r="ZO62" s="608"/>
      <c r="ZP62" s="608"/>
      <c r="ZQ62" s="608"/>
      <c r="ZR62" s="608"/>
      <c r="ZS62" s="608"/>
      <c r="ZT62" s="608"/>
      <c r="ZU62" s="608"/>
      <c r="ZV62" s="608"/>
      <c r="ZW62" s="608"/>
      <c r="ZX62" s="608"/>
      <c r="ZY62" s="608"/>
      <c r="ZZ62" s="608"/>
      <c r="AAA62" s="608"/>
      <c r="AAB62" s="608"/>
      <c r="AAC62" s="608"/>
      <c r="AAD62" s="608"/>
      <c r="AAE62" s="608"/>
      <c r="AAF62" s="608"/>
      <c r="AAG62" s="608"/>
      <c r="AAH62" s="608"/>
      <c r="AAI62" s="608"/>
      <c r="AAJ62" s="608"/>
      <c r="AAK62" s="608"/>
      <c r="AAL62" s="608"/>
      <c r="AAM62" s="608"/>
      <c r="AAN62" s="608"/>
      <c r="AAO62" s="608"/>
      <c r="AAP62" s="608"/>
      <c r="AAQ62" s="608"/>
      <c r="AAR62" s="608"/>
      <c r="AAS62" s="608"/>
      <c r="AAT62" s="608"/>
      <c r="AAU62" s="608"/>
      <c r="AAV62" s="608"/>
      <c r="AAW62" s="608"/>
      <c r="AAX62" s="608"/>
      <c r="AAY62" s="608"/>
      <c r="AAZ62" s="608"/>
      <c r="ABA62" s="608"/>
      <c r="ABB62" s="608"/>
      <c r="ABC62" s="608"/>
      <c r="ABD62" s="608"/>
      <c r="ABE62" s="608"/>
      <c r="ABF62" s="608"/>
      <c r="ABG62" s="608"/>
      <c r="ABH62" s="608"/>
      <c r="ABI62" s="608"/>
      <c r="ABJ62" s="608"/>
      <c r="ABK62" s="608"/>
      <c r="ABL62" s="608"/>
      <c r="ABM62" s="608"/>
      <c r="ABN62" s="608"/>
      <c r="ABO62" s="608"/>
      <c r="ABP62" s="608"/>
      <c r="ABQ62" s="608"/>
      <c r="ABR62" s="608"/>
      <c r="ABS62" s="608"/>
      <c r="ABT62" s="608"/>
      <c r="ABU62" s="608"/>
      <c r="ABV62" s="608"/>
      <c r="ABW62" s="608"/>
      <c r="ABX62" s="608"/>
      <c r="ABY62" s="608"/>
      <c r="ABZ62" s="608"/>
      <c r="ACA62" s="608"/>
      <c r="ACB62" s="608"/>
      <c r="ACC62" s="608"/>
      <c r="ACD62" s="608"/>
      <c r="ACE62" s="608"/>
      <c r="ACF62" s="608"/>
      <c r="ACG62" s="608"/>
      <c r="ACH62" s="608"/>
      <c r="ACI62" s="608"/>
      <c r="ACJ62" s="608"/>
      <c r="ACK62" s="608"/>
      <c r="ACL62" s="608"/>
      <c r="ACM62" s="608"/>
      <c r="ACN62" s="608"/>
      <c r="ACO62" s="608"/>
      <c r="ACP62" s="608"/>
      <c r="ACQ62" s="608"/>
      <c r="ACR62" s="608"/>
      <c r="ACS62" s="608"/>
      <c r="ACT62" s="608"/>
      <c r="ACU62" s="608"/>
      <c r="ACV62" s="608"/>
      <c r="ACW62" s="608"/>
      <c r="ACX62" s="608"/>
      <c r="ACY62" s="608"/>
      <c r="ACZ62" s="608"/>
      <c r="ADA62" s="608"/>
      <c r="ADB62" s="608"/>
      <c r="ADC62" s="608"/>
      <c r="ADD62" s="608"/>
      <c r="ADE62" s="608"/>
      <c r="ADF62" s="608"/>
      <c r="ADG62" s="608"/>
      <c r="ADH62" s="608"/>
      <c r="ADI62" s="608"/>
      <c r="ADJ62" s="608"/>
      <c r="ADK62" s="608"/>
      <c r="ADL62" s="608"/>
      <c r="ADM62" s="608"/>
      <c r="ADN62" s="608"/>
      <c r="ADO62" s="608"/>
      <c r="ADP62" s="608"/>
      <c r="ADQ62" s="608"/>
      <c r="ADR62" s="608"/>
      <c r="ADS62" s="608"/>
      <c r="ADT62" s="608"/>
      <c r="ADU62" s="608"/>
      <c r="ADV62" s="608"/>
      <c r="ADW62" s="608"/>
      <c r="ADX62" s="608"/>
      <c r="ADY62" s="608"/>
      <c r="ADZ62" s="608"/>
      <c r="AEA62" s="608"/>
      <c r="AEB62" s="608"/>
      <c r="AEC62" s="608"/>
      <c r="AED62" s="608"/>
      <c r="AEE62" s="608"/>
      <c r="AEF62" s="608"/>
      <c r="AEG62" s="608"/>
      <c r="AEH62" s="608"/>
      <c r="AEI62" s="608"/>
      <c r="AEJ62" s="608"/>
      <c r="AEK62" s="608"/>
      <c r="AEL62" s="608"/>
      <c r="AEM62" s="608"/>
      <c r="AEN62" s="608"/>
      <c r="AEO62" s="608"/>
      <c r="AEP62" s="608"/>
      <c r="AEQ62" s="608"/>
      <c r="AER62" s="608"/>
      <c r="AES62" s="608"/>
      <c r="AET62" s="608"/>
      <c r="AEU62" s="608"/>
      <c r="AEV62" s="608"/>
      <c r="AEW62" s="608"/>
      <c r="AEX62" s="608"/>
      <c r="AEY62" s="608"/>
      <c r="AEZ62" s="608"/>
      <c r="AFA62" s="608"/>
      <c r="AFB62" s="608"/>
      <c r="AFC62" s="608"/>
      <c r="AFD62" s="608"/>
      <c r="AFE62" s="608"/>
      <c r="AFF62" s="608"/>
      <c r="AFG62" s="608"/>
      <c r="AFH62" s="608"/>
      <c r="AFI62" s="608"/>
      <c r="AFJ62" s="608"/>
      <c r="AFK62" s="608"/>
      <c r="AFL62" s="608"/>
      <c r="AFM62" s="608"/>
      <c r="AFN62" s="608"/>
      <c r="AFO62" s="608"/>
      <c r="AFP62" s="608"/>
      <c r="AFQ62" s="608"/>
      <c r="AFR62" s="608"/>
      <c r="AFS62" s="608"/>
      <c r="AFT62" s="608"/>
      <c r="AFU62" s="608"/>
      <c r="AFV62" s="608"/>
      <c r="AFW62" s="608"/>
      <c r="AFX62" s="608"/>
      <c r="AFY62" s="608"/>
      <c r="AFZ62" s="608"/>
      <c r="AGA62" s="608"/>
      <c r="AGB62" s="608"/>
      <c r="AGC62" s="608"/>
      <c r="AGD62" s="608"/>
      <c r="AGE62" s="608"/>
      <c r="AGF62" s="608"/>
      <c r="AGG62" s="608"/>
      <c r="AGH62" s="608"/>
      <c r="AGI62" s="608"/>
      <c r="AGJ62" s="608"/>
      <c r="AGK62" s="608"/>
      <c r="AGL62" s="608"/>
      <c r="AGM62" s="608"/>
      <c r="AGN62" s="608"/>
      <c r="AGO62" s="608"/>
      <c r="AGP62" s="608"/>
      <c r="AGQ62" s="608"/>
      <c r="AGR62" s="608"/>
      <c r="AGS62" s="608"/>
      <c r="AGT62" s="608"/>
      <c r="AGU62" s="608"/>
      <c r="AGV62" s="608"/>
      <c r="AGW62" s="608"/>
      <c r="AGX62" s="608"/>
      <c r="AGY62" s="608"/>
      <c r="AGZ62" s="608"/>
      <c r="AHA62" s="608"/>
      <c r="AHB62" s="608"/>
      <c r="AHC62" s="608"/>
      <c r="AHD62" s="608"/>
      <c r="AHE62" s="608"/>
      <c r="AHF62" s="608"/>
      <c r="AHG62" s="608"/>
      <c r="AHH62" s="608"/>
      <c r="AHI62" s="608"/>
      <c r="AHJ62" s="608"/>
      <c r="AHK62" s="608"/>
      <c r="AHL62" s="608"/>
      <c r="AHM62" s="608"/>
      <c r="AHN62" s="608"/>
      <c r="AHO62" s="608"/>
      <c r="AHP62" s="608"/>
      <c r="AHQ62" s="608"/>
      <c r="AHR62" s="608"/>
      <c r="AHS62" s="608"/>
      <c r="AHT62" s="608"/>
      <c r="AHU62" s="608"/>
      <c r="AHV62" s="608"/>
      <c r="AHW62" s="608"/>
      <c r="AHX62" s="608"/>
      <c r="AHY62" s="608"/>
      <c r="AHZ62" s="608"/>
      <c r="AIA62" s="608"/>
      <c r="AIB62" s="608"/>
      <c r="AIC62" s="608"/>
      <c r="AID62" s="608"/>
      <c r="AIE62" s="608"/>
      <c r="AIF62" s="608"/>
      <c r="AIG62" s="608"/>
      <c r="AIH62" s="608"/>
      <c r="AII62" s="608"/>
      <c r="AIJ62" s="608"/>
      <c r="AIK62" s="608"/>
      <c r="AIL62" s="608"/>
      <c r="AIM62" s="608"/>
      <c r="AIN62" s="608"/>
      <c r="AIO62" s="608"/>
      <c r="AIP62" s="608"/>
      <c r="AIQ62" s="608"/>
      <c r="AIR62" s="608"/>
      <c r="AIS62" s="608"/>
      <c r="AIT62" s="608"/>
      <c r="AIU62" s="608"/>
      <c r="AIV62" s="608"/>
      <c r="AIW62" s="608"/>
      <c r="AIX62" s="608"/>
      <c r="AIY62" s="608"/>
      <c r="AIZ62" s="608"/>
      <c r="AJA62" s="608"/>
      <c r="AJB62" s="608"/>
      <c r="AJC62" s="608"/>
      <c r="AJD62" s="608"/>
      <c r="AJE62" s="608"/>
      <c r="AJF62" s="608"/>
      <c r="AJG62" s="608"/>
      <c r="AJH62" s="608"/>
      <c r="AJI62" s="608"/>
      <c r="AJJ62" s="608"/>
      <c r="AJK62" s="608"/>
      <c r="AJL62" s="608"/>
      <c r="AJM62" s="608"/>
      <c r="AJN62" s="608"/>
      <c r="AJO62" s="608"/>
      <c r="AJP62" s="608"/>
      <c r="AJQ62" s="608"/>
      <c r="AJR62" s="608"/>
      <c r="AJS62" s="608"/>
      <c r="AJT62" s="608"/>
      <c r="AJU62" s="608"/>
      <c r="AJV62" s="608"/>
      <c r="AJW62" s="608"/>
      <c r="AJX62" s="608"/>
      <c r="AJY62" s="608"/>
      <c r="AJZ62" s="608"/>
      <c r="AKA62" s="608"/>
      <c r="AKB62" s="608"/>
      <c r="AKC62" s="608"/>
      <c r="AKD62" s="608"/>
      <c r="AKE62" s="608"/>
      <c r="AKF62" s="608"/>
      <c r="AKG62" s="608"/>
      <c r="AKH62" s="608"/>
      <c r="AKI62" s="608"/>
      <c r="AKJ62" s="608"/>
      <c r="AKK62" s="608"/>
      <c r="AKL62" s="608"/>
      <c r="AKM62" s="608"/>
      <c r="AKN62" s="608"/>
      <c r="AKO62" s="608"/>
      <c r="AKP62" s="608"/>
      <c r="AKQ62" s="608"/>
      <c r="AKR62" s="608"/>
      <c r="AKS62" s="608"/>
      <c r="AKT62" s="608"/>
      <c r="AKU62" s="608"/>
      <c r="AKV62" s="608"/>
      <c r="AKW62" s="608"/>
      <c r="AKX62" s="608"/>
      <c r="AKY62" s="608"/>
      <c r="AKZ62" s="608"/>
      <c r="ALA62" s="608"/>
      <c r="ALB62" s="608"/>
      <c r="ALC62" s="608"/>
      <c r="ALD62" s="608"/>
      <c r="ALE62" s="608"/>
      <c r="ALF62" s="608"/>
      <c r="ALG62" s="608"/>
      <c r="ALH62" s="608"/>
      <c r="ALI62" s="608"/>
      <c r="ALJ62" s="608"/>
      <c r="ALK62" s="608"/>
      <c r="ALL62" s="608"/>
      <c r="ALM62" s="608"/>
      <c r="ALN62" s="608"/>
      <c r="ALO62" s="608"/>
      <c r="ALP62" s="608"/>
      <c r="ALQ62" s="608"/>
      <c r="ALR62" s="608"/>
      <c r="ALS62" s="608"/>
      <c r="ALT62" s="608"/>
      <c r="ALU62" s="608"/>
      <c r="ALV62" s="608"/>
      <c r="ALW62" s="608"/>
      <c r="ALX62" s="608"/>
      <c r="ALY62" s="608"/>
      <c r="ALZ62" s="608"/>
      <c r="AMA62" s="608"/>
      <c r="AMB62" s="608"/>
      <c r="AMC62" s="608"/>
      <c r="AMD62" s="608"/>
      <c r="AME62" s="608"/>
      <c r="AMF62" s="608"/>
      <c r="AMG62" s="608"/>
      <c r="AMH62" s="608"/>
      <c r="AMI62" s="608"/>
      <c r="AMJ62" s="608"/>
      <c r="AMK62" s="608"/>
      <c r="AML62" s="608"/>
      <c r="AMM62" s="608"/>
      <c r="AMN62" s="608"/>
      <c r="AMO62" s="608"/>
      <c r="AMP62" s="608"/>
      <c r="AMQ62" s="608"/>
      <c r="AMR62" s="608"/>
      <c r="AMS62" s="608"/>
      <c r="AMT62" s="608"/>
      <c r="AMU62" s="608"/>
      <c r="AMV62" s="608"/>
      <c r="AMW62" s="608"/>
      <c r="AMX62" s="608"/>
      <c r="AMY62" s="608"/>
      <c r="AMZ62" s="608"/>
      <c r="ANA62" s="608"/>
      <c r="ANB62" s="608"/>
      <c r="ANC62" s="608"/>
      <c r="AND62" s="608"/>
      <c r="ANE62" s="608"/>
      <c r="ANF62" s="608"/>
      <c r="ANG62" s="608"/>
      <c r="ANH62" s="608"/>
      <c r="ANI62" s="608"/>
      <c r="ANJ62" s="608"/>
      <c r="ANK62" s="608"/>
      <c r="ANL62" s="608"/>
      <c r="ANM62" s="608"/>
      <c r="ANN62" s="608"/>
      <c r="ANO62" s="608"/>
      <c r="ANP62" s="608"/>
      <c r="ANQ62" s="608"/>
      <c r="ANR62" s="608"/>
      <c r="ANS62" s="608"/>
      <c r="ANT62" s="608"/>
      <c r="ANU62" s="608"/>
      <c r="ANV62" s="608"/>
      <c r="ANW62" s="608"/>
      <c r="ANX62" s="608"/>
      <c r="ANY62" s="608"/>
      <c r="ANZ62" s="608"/>
      <c r="AOA62" s="608"/>
      <c r="AOB62" s="608"/>
      <c r="AOC62" s="608"/>
      <c r="AOD62" s="608"/>
      <c r="AOE62" s="608"/>
      <c r="AOF62" s="608"/>
      <c r="AOG62" s="608"/>
      <c r="AOH62" s="608"/>
      <c r="AOI62" s="608"/>
      <c r="AOJ62" s="608"/>
      <c r="AOK62" s="608"/>
      <c r="AOL62" s="608"/>
      <c r="AOM62" s="608"/>
      <c r="AON62" s="608"/>
      <c r="AOO62" s="608"/>
      <c r="AOP62" s="608"/>
      <c r="AOQ62" s="608"/>
      <c r="AOR62" s="608"/>
      <c r="AOS62" s="608"/>
      <c r="AOT62" s="608"/>
      <c r="AOU62" s="608"/>
      <c r="AOV62" s="608"/>
      <c r="AOW62" s="608"/>
      <c r="AOX62" s="608"/>
      <c r="AOY62" s="608"/>
      <c r="AOZ62" s="608"/>
      <c r="APA62" s="608"/>
      <c r="APB62" s="608"/>
      <c r="APC62" s="608"/>
      <c r="APD62" s="608"/>
      <c r="APE62" s="608"/>
      <c r="APF62" s="608"/>
      <c r="APG62" s="608"/>
      <c r="APH62" s="608"/>
      <c r="API62" s="608"/>
      <c r="APJ62" s="608"/>
      <c r="APK62" s="608"/>
      <c r="APL62" s="608"/>
      <c r="APM62" s="608"/>
      <c r="APN62" s="608"/>
      <c r="APO62" s="608"/>
      <c r="APP62" s="608"/>
      <c r="APQ62" s="608"/>
      <c r="APR62" s="608"/>
      <c r="APS62" s="608"/>
      <c r="APT62" s="608"/>
      <c r="APU62" s="608"/>
      <c r="APV62" s="608"/>
      <c r="APW62" s="608"/>
      <c r="APX62" s="608"/>
      <c r="APY62" s="608"/>
      <c r="APZ62" s="608"/>
      <c r="AQA62" s="608"/>
      <c r="AQB62" s="608"/>
      <c r="AQC62" s="608"/>
      <c r="AQD62" s="608"/>
      <c r="AQE62" s="608"/>
      <c r="AQF62" s="608"/>
      <c r="AQG62" s="608"/>
      <c r="AQH62" s="608"/>
      <c r="AQI62" s="608"/>
      <c r="AQJ62" s="608"/>
      <c r="AQK62" s="608"/>
      <c r="AQL62" s="608"/>
      <c r="AQM62" s="608"/>
      <c r="AQN62" s="608"/>
      <c r="AQO62" s="608"/>
      <c r="AQP62" s="608"/>
      <c r="AQQ62" s="608"/>
      <c r="AQR62" s="608"/>
      <c r="AQS62" s="608"/>
      <c r="AQT62" s="608"/>
      <c r="AQU62" s="608"/>
      <c r="AQV62" s="608"/>
      <c r="AQW62" s="608"/>
      <c r="AQX62" s="608"/>
      <c r="AQY62" s="608"/>
      <c r="AQZ62" s="608"/>
      <c r="ARA62" s="608"/>
      <c r="ARB62" s="608"/>
      <c r="ARC62" s="608"/>
      <c r="ARD62" s="608"/>
      <c r="ARE62" s="608"/>
      <c r="ARF62" s="608"/>
      <c r="ARG62" s="608"/>
      <c r="ARH62" s="608"/>
      <c r="ARI62" s="608"/>
      <c r="ARJ62" s="608"/>
      <c r="ARK62" s="608"/>
      <c r="ARL62" s="608"/>
      <c r="ARM62" s="608"/>
      <c r="ARN62" s="608"/>
      <c r="ARO62" s="608"/>
      <c r="ARP62" s="608"/>
      <c r="ARQ62" s="608"/>
      <c r="ARR62" s="608"/>
      <c r="ARS62" s="608"/>
      <c r="ART62" s="608"/>
      <c r="ARU62" s="608"/>
      <c r="ARV62" s="608"/>
      <c r="ARW62" s="608"/>
      <c r="ARX62" s="608"/>
      <c r="ARY62" s="608"/>
      <c r="ARZ62" s="608"/>
      <c r="ASA62" s="608"/>
      <c r="ASB62" s="608"/>
      <c r="ASC62" s="608"/>
      <c r="ASD62" s="608"/>
      <c r="ASE62" s="608"/>
      <c r="ASF62" s="608"/>
      <c r="ASG62" s="608"/>
      <c r="ASH62" s="608"/>
      <c r="ASI62" s="608"/>
      <c r="ASJ62" s="608"/>
      <c r="ASK62" s="608"/>
      <c r="ASL62" s="608"/>
      <c r="ASM62" s="608"/>
      <c r="ASN62" s="608"/>
      <c r="ASO62" s="608"/>
      <c r="ASP62" s="608"/>
      <c r="ASQ62" s="608"/>
      <c r="ASR62" s="608"/>
      <c r="ASS62" s="608"/>
      <c r="AST62" s="608"/>
      <c r="ASU62" s="608"/>
      <c r="ASV62" s="608"/>
      <c r="ASW62" s="608"/>
      <c r="ASX62" s="608"/>
      <c r="ASY62" s="608"/>
      <c r="ASZ62" s="608"/>
      <c r="ATA62" s="608"/>
      <c r="ATB62" s="608"/>
      <c r="ATC62" s="608"/>
      <c r="ATD62" s="608"/>
      <c r="ATE62" s="608"/>
      <c r="ATF62" s="608"/>
      <c r="ATG62" s="608"/>
      <c r="ATH62" s="608"/>
      <c r="ATI62" s="608"/>
      <c r="ATJ62" s="608"/>
      <c r="ATK62" s="608"/>
      <c r="ATL62" s="608"/>
      <c r="ATM62" s="608"/>
      <c r="ATN62" s="608"/>
      <c r="ATO62" s="608"/>
      <c r="ATP62" s="608"/>
      <c r="ATQ62" s="608"/>
      <c r="ATR62" s="608"/>
      <c r="ATS62" s="608"/>
      <c r="ATT62" s="608"/>
      <c r="ATU62" s="608"/>
      <c r="ATV62" s="608"/>
      <c r="ATW62" s="608"/>
      <c r="ATX62" s="608"/>
      <c r="ATY62" s="608"/>
      <c r="ATZ62" s="608"/>
      <c r="AUA62" s="608"/>
      <c r="AUB62" s="608"/>
      <c r="AUC62" s="608"/>
      <c r="AUD62" s="608"/>
      <c r="AUE62" s="608"/>
      <c r="AUF62" s="608"/>
      <c r="AUG62" s="608"/>
      <c r="AUH62" s="608"/>
      <c r="AUI62" s="608"/>
      <c r="AUJ62" s="608"/>
      <c r="AUK62" s="608"/>
      <c r="AUL62" s="608"/>
      <c r="AUM62" s="608"/>
      <c r="AUN62" s="608"/>
      <c r="AUO62" s="608"/>
      <c r="AUP62" s="608"/>
      <c r="AUQ62" s="608"/>
      <c r="AUR62" s="608"/>
      <c r="AUS62" s="608"/>
      <c r="AUT62" s="608"/>
      <c r="AUU62" s="608"/>
      <c r="AUV62" s="608"/>
      <c r="AUW62" s="608"/>
      <c r="AUX62" s="608"/>
      <c r="AUY62" s="608"/>
      <c r="AUZ62" s="608"/>
      <c r="AVA62" s="608"/>
      <c r="AVB62" s="608"/>
      <c r="AVC62" s="608"/>
      <c r="AVD62" s="608"/>
      <c r="AVE62" s="608"/>
      <c r="AVF62" s="608"/>
      <c r="AVG62" s="608"/>
      <c r="AVH62" s="608"/>
      <c r="AVI62" s="608"/>
      <c r="AVJ62" s="608"/>
      <c r="AVK62" s="608"/>
      <c r="AVL62" s="608"/>
      <c r="AVM62" s="608"/>
      <c r="AVN62" s="608"/>
      <c r="AVO62" s="608"/>
      <c r="AVP62" s="608"/>
      <c r="AVQ62" s="608"/>
      <c r="AVR62" s="608"/>
      <c r="AVS62" s="608"/>
      <c r="AVT62" s="608"/>
      <c r="AVU62" s="608"/>
      <c r="AVV62" s="608"/>
      <c r="AVW62" s="608"/>
      <c r="AVX62" s="608"/>
      <c r="AVY62" s="608"/>
      <c r="AVZ62" s="608"/>
      <c r="AWA62" s="608"/>
      <c r="AWB62" s="608"/>
      <c r="AWC62" s="608"/>
      <c r="AWD62" s="608"/>
      <c r="AWE62" s="608"/>
      <c r="AWF62" s="608"/>
      <c r="AWG62" s="608"/>
      <c r="AWH62" s="608"/>
      <c r="AWI62" s="608"/>
      <c r="AWJ62" s="608"/>
      <c r="AWK62" s="608"/>
      <c r="AWL62" s="608"/>
      <c r="AWM62" s="608"/>
      <c r="AWN62" s="608"/>
      <c r="AWO62" s="608"/>
      <c r="AWP62" s="608"/>
      <c r="AWQ62" s="608"/>
      <c r="AWR62" s="608"/>
      <c r="AWS62" s="608"/>
      <c r="AWT62" s="608"/>
      <c r="AWU62" s="608"/>
      <c r="AWV62" s="608"/>
      <c r="AWW62" s="608"/>
      <c r="AWX62" s="608"/>
      <c r="AWY62" s="608"/>
      <c r="AWZ62" s="608"/>
      <c r="AXA62" s="608"/>
      <c r="AXB62" s="608"/>
      <c r="AXC62" s="608"/>
      <c r="AXD62" s="608"/>
      <c r="AXE62" s="608"/>
      <c r="AXF62" s="608"/>
      <c r="AXG62" s="608"/>
      <c r="AXH62" s="608"/>
      <c r="AXI62" s="608"/>
      <c r="AXJ62" s="608"/>
      <c r="AXK62" s="608"/>
      <c r="AXL62" s="608"/>
      <c r="AXM62" s="608"/>
      <c r="AXN62" s="608"/>
      <c r="AXO62" s="608"/>
      <c r="AXP62" s="608"/>
      <c r="AXQ62" s="608"/>
      <c r="AXR62" s="608"/>
      <c r="AXS62" s="608"/>
      <c r="AXT62" s="608"/>
      <c r="AXU62" s="608"/>
      <c r="AXV62" s="608"/>
      <c r="AXW62" s="608"/>
      <c r="AXX62" s="608"/>
      <c r="AXY62" s="608"/>
      <c r="AXZ62" s="608"/>
      <c r="AYA62" s="608"/>
      <c r="AYB62" s="608"/>
      <c r="AYC62" s="608"/>
      <c r="AYD62" s="608"/>
      <c r="AYE62" s="608"/>
      <c r="AYF62" s="608"/>
      <c r="AYG62" s="608"/>
      <c r="AYH62" s="608"/>
      <c r="AYI62" s="608"/>
      <c r="AYJ62" s="608"/>
      <c r="AYK62" s="608"/>
      <c r="AYL62" s="608"/>
      <c r="AYM62" s="608"/>
      <c r="AYN62" s="608"/>
      <c r="AYO62" s="608"/>
      <c r="AYP62" s="608"/>
      <c r="AYQ62" s="608"/>
      <c r="AYR62" s="608"/>
      <c r="AYS62" s="608"/>
      <c r="AYT62" s="608"/>
      <c r="AYU62" s="608"/>
      <c r="AYV62" s="608"/>
      <c r="AYW62" s="608"/>
      <c r="AYX62" s="608"/>
      <c r="AYY62" s="608"/>
      <c r="AYZ62" s="608"/>
      <c r="AZA62" s="608"/>
      <c r="AZB62" s="608"/>
      <c r="AZC62" s="608"/>
      <c r="AZD62" s="608"/>
      <c r="AZE62" s="608"/>
      <c r="AZF62" s="608"/>
      <c r="AZG62" s="608"/>
      <c r="AZH62" s="608"/>
      <c r="AZI62" s="608"/>
      <c r="AZJ62" s="608"/>
      <c r="AZK62" s="608"/>
      <c r="AZL62" s="608"/>
      <c r="AZM62" s="608"/>
      <c r="AZN62" s="608"/>
      <c r="AZO62" s="608"/>
      <c r="AZP62" s="608"/>
      <c r="AZQ62" s="608"/>
      <c r="AZR62" s="608"/>
      <c r="AZS62" s="608"/>
      <c r="AZT62" s="608"/>
      <c r="AZU62" s="608"/>
      <c r="AZV62" s="608"/>
      <c r="AZW62" s="608"/>
      <c r="AZX62" s="608"/>
      <c r="AZY62" s="608"/>
      <c r="AZZ62" s="608"/>
      <c r="BAA62" s="608"/>
      <c r="BAB62" s="608"/>
      <c r="BAC62" s="608"/>
      <c r="BAD62" s="608"/>
      <c r="BAE62" s="608"/>
      <c r="BAF62" s="608"/>
      <c r="BAG62" s="608"/>
      <c r="BAH62" s="608"/>
      <c r="BAI62" s="608"/>
      <c r="BAJ62" s="608"/>
      <c r="BAK62" s="608"/>
      <c r="BAL62" s="608"/>
      <c r="BAM62" s="608"/>
      <c r="BAN62" s="608"/>
      <c r="BAO62" s="608"/>
      <c r="BAP62" s="608"/>
      <c r="BAQ62" s="608"/>
      <c r="BAR62" s="608"/>
      <c r="BAS62" s="608"/>
      <c r="BAT62" s="608"/>
      <c r="BAU62" s="608"/>
      <c r="BAV62" s="608"/>
      <c r="BAW62" s="608"/>
      <c r="BAX62" s="608"/>
      <c r="BAY62" s="608"/>
      <c r="BAZ62" s="608"/>
      <c r="BBA62" s="608"/>
      <c r="BBB62" s="608"/>
      <c r="BBC62" s="608"/>
      <c r="BBD62" s="608"/>
      <c r="BBE62" s="608"/>
      <c r="BBF62" s="608"/>
      <c r="BBG62" s="608"/>
      <c r="BBH62" s="608"/>
      <c r="BBI62" s="608"/>
      <c r="BBJ62" s="608"/>
      <c r="BBK62" s="608"/>
      <c r="BBL62" s="608"/>
      <c r="BBM62" s="608"/>
      <c r="BBN62" s="608"/>
      <c r="BBO62" s="608"/>
      <c r="BBP62" s="608"/>
      <c r="BBQ62" s="608"/>
      <c r="BBR62" s="608"/>
      <c r="BBS62" s="608"/>
      <c r="BBT62" s="608"/>
      <c r="BBU62" s="608"/>
      <c r="BBV62" s="608"/>
      <c r="BBW62" s="608"/>
      <c r="BBX62" s="608"/>
      <c r="BBY62" s="608"/>
      <c r="BBZ62" s="608"/>
      <c r="BCA62" s="608"/>
      <c r="BCB62" s="608"/>
      <c r="BCC62" s="608"/>
      <c r="BCD62" s="608"/>
      <c r="BCE62" s="608"/>
      <c r="BCF62" s="608"/>
      <c r="BCG62" s="608"/>
      <c r="BCH62" s="608"/>
      <c r="BCI62" s="608"/>
      <c r="BCJ62" s="608"/>
      <c r="BCK62" s="608"/>
      <c r="BCL62" s="608"/>
      <c r="BCM62" s="608"/>
      <c r="BCN62" s="608"/>
      <c r="BCO62" s="608"/>
      <c r="BCP62" s="608"/>
      <c r="BCQ62" s="608"/>
      <c r="BCR62" s="608"/>
      <c r="BCS62" s="608"/>
      <c r="BCT62" s="608"/>
      <c r="BCU62" s="608"/>
      <c r="BCV62" s="608"/>
      <c r="BCW62" s="608"/>
      <c r="BCX62" s="608"/>
      <c r="BCY62" s="608"/>
      <c r="BCZ62" s="608"/>
      <c r="BDA62" s="608"/>
      <c r="BDB62" s="608"/>
      <c r="BDC62" s="608"/>
      <c r="BDD62" s="608"/>
      <c r="BDE62" s="608"/>
      <c r="BDF62" s="608"/>
      <c r="BDG62" s="608"/>
      <c r="BDH62" s="608"/>
      <c r="BDI62" s="608"/>
      <c r="BDJ62" s="608"/>
      <c r="BDK62" s="608"/>
      <c r="BDL62" s="608"/>
      <c r="BDM62" s="608"/>
      <c r="BDN62" s="608"/>
      <c r="BDO62" s="608"/>
      <c r="BDP62" s="608"/>
      <c r="BDQ62" s="608"/>
      <c r="BDR62" s="608"/>
      <c r="BDS62" s="608"/>
      <c r="BDT62" s="608"/>
      <c r="BDU62" s="608"/>
      <c r="BDV62" s="608"/>
      <c r="BDW62" s="608"/>
      <c r="BDX62" s="608"/>
      <c r="BDY62" s="608"/>
      <c r="BDZ62" s="608"/>
      <c r="BEA62" s="608"/>
      <c r="BEB62" s="608"/>
      <c r="BEC62" s="608"/>
      <c r="BED62" s="608"/>
      <c r="BEE62" s="608"/>
      <c r="BEF62" s="608"/>
      <c r="BEG62" s="608"/>
      <c r="BEH62" s="608"/>
      <c r="BEI62" s="608"/>
      <c r="BEJ62" s="608"/>
      <c r="BEK62" s="608"/>
      <c r="BEL62" s="608"/>
      <c r="BEM62" s="608"/>
      <c r="BEN62" s="608"/>
      <c r="BEO62" s="608"/>
      <c r="BEP62" s="608"/>
      <c r="BEQ62" s="608"/>
      <c r="BER62" s="608"/>
      <c r="BES62" s="608"/>
      <c r="BET62" s="608"/>
      <c r="BEU62" s="608"/>
      <c r="BEV62" s="608"/>
      <c r="BEW62" s="608"/>
      <c r="BEX62" s="608"/>
      <c r="BEY62" s="608"/>
      <c r="BEZ62" s="608"/>
      <c r="BFA62" s="608"/>
      <c r="BFB62" s="608"/>
      <c r="BFC62" s="608"/>
      <c r="BFD62" s="608"/>
      <c r="BFE62" s="608"/>
      <c r="BFF62" s="608"/>
      <c r="BFG62" s="608"/>
      <c r="BFH62" s="608"/>
      <c r="BFI62" s="608"/>
      <c r="BFJ62" s="608"/>
      <c r="BFK62" s="608"/>
      <c r="BFL62" s="608"/>
      <c r="BFM62" s="608"/>
      <c r="BFN62" s="608"/>
      <c r="BFO62" s="608"/>
      <c r="BFP62" s="608"/>
      <c r="BFQ62" s="608"/>
      <c r="BFR62" s="608"/>
      <c r="BFS62" s="608"/>
      <c r="BFT62" s="608"/>
      <c r="BFU62" s="608"/>
      <c r="BFV62" s="608"/>
      <c r="BFW62" s="608"/>
      <c r="BFX62" s="608"/>
      <c r="BFY62" s="608"/>
      <c r="BFZ62" s="608"/>
      <c r="BGA62" s="608"/>
      <c r="BGB62" s="608"/>
      <c r="BGC62" s="608"/>
      <c r="BGD62" s="608"/>
      <c r="BGE62" s="608"/>
      <c r="BGF62" s="608"/>
      <c r="BGG62" s="608"/>
      <c r="BGH62" s="608"/>
      <c r="BGI62" s="608"/>
      <c r="BGJ62" s="608"/>
      <c r="BGK62" s="608"/>
      <c r="BGL62" s="608"/>
      <c r="BGM62" s="608"/>
      <c r="BGN62" s="608"/>
      <c r="BGO62" s="608"/>
      <c r="BGP62" s="608"/>
      <c r="BGQ62" s="608"/>
      <c r="BGR62" s="608"/>
      <c r="BGS62" s="608"/>
      <c r="BGT62" s="608"/>
      <c r="BGU62" s="608"/>
      <c r="BGV62" s="608"/>
      <c r="BGW62" s="608"/>
      <c r="BGX62" s="608"/>
      <c r="BGY62" s="608"/>
      <c r="BGZ62" s="608"/>
      <c r="BHA62" s="608"/>
      <c r="BHB62" s="608"/>
      <c r="BHC62" s="608"/>
      <c r="BHD62" s="608"/>
      <c r="BHE62" s="608"/>
      <c r="BHF62" s="608"/>
      <c r="BHG62" s="608"/>
      <c r="BHH62" s="608"/>
      <c r="BHI62" s="608"/>
      <c r="BHJ62" s="608"/>
      <c r="BHK62" s="608"/>
      <c r="BHL62" s="608"/>
      <c r="BHM62" s="608"/>
      <c r="BHN62" s="608"/>
      <c r="BHO62" s="608"/>
      <c r="BHP62" s="608"/>
      <c r="BHQ62" s="608"/>
      <c r="BHR62" s="608"/>
      <c r="BHS62" s="608"/>
      <c r="BHT62" s="608"/>
      <c r="BHU62" s="608"/>
      <c r="BHV62" s="608"/>
      <c r="BHW62" s="608"/>
      <c r="BHX62" s="608"/>
      <c r="BHY62" s="608"/>
      <c r="BHZ62" s="608"/>
      <c r="BIA62" s="608"/>
      <c r="BIB62" s="608"/>
      <c r="BIC62" s="608"/>
      <c r="BID62" s="608"/>
      <c r="BIE62" s="608"/>
      <c r="BIF62" s="608"/>
      <c r="BIG62" s="608"/>
      <c r="BIH62" s="608"/>
      <c r="BII62" s="608"/>
      <c r="BIJ62" s="608"/>
      <c r="BIK62" s="608"/>
      <c r="BIL62" s="608"/>
      <c r="BIM62" s="608"/>
      <c r="BIN62" s="608"/>
      <c r="BIO62" s="608"/>
      <c r="BIP62" s="608"/>
      <c r="BIQ62" s="608"/>
      <c r="BIR62" s="608"/>
      <c r="BIS62" s="608"/>
      <c r="BIT62" s="608"/>
      <c r="BIU62" s="608"/>
      <c r="BIV62" s="608"/>
      <c r="BIW62" s="608"/>
      <c r="BIX62" s="608"/>
      <c r="BIY62" s="608"/>
      <c r="BIZ62" s="608"/>
      <c r="BJA62" s="608"/>
      <c r="BJB62" s="608"/>
      <c r="BJC62" s="608"/>
      <c r="BJD62" s="608"/>
      <c r="BJE62" s="608"/>
      <c r="BJF62" s="608"/>
      <c r="BJG62" s="608"/>
      <c r="BJH62" s="608"/>
      <c r="BJI62" s="608"/>
      <c r="BJJ62" s="608"/>
      <c r="BJK62" s="608"/>
      <c r="BJL62" s="608"/>
      <c r="BJM62" s="608"/>
      <c r="BJN62" s="608"/>
      <c r="BJO62" s="608"/>
      <c r="BJP62" s="608"/>
      <c r="BJQ62" s="608"/>
      <c r="BJR62" s="608"/>
      <c r="BJS62" s="608"/>
      <c r="BJT62" s="608"/>
      <c r="BJU62" s="608"/>
      <c r="BJV62" s="608"/>
      <c r="BJW62" s="608"/>
      <c r="BJX62" s="608"/>
      <c r="BJY62" s="608"/>
      <c r="BJZ62" s="608"/>
      <c r="BKA62" s="608"/>
      <c r="BKB62" s="608"/>
      <c r="BKC62" s="608"/>
      <c r="BKD62" s="608"/>
      <c r="BKE62" s="608"/>
      <c r="BKF62" s="608"/>
      <c r="BKG62" s="608"/>
      <c r="BKH62" s="608"/>
      <c r="BKI62" s="608"/>
      <c r="BKJ62" s="608"/>
      <c r="BKK62" s="608"/>
      <c r="BKL62" s="608"/>
      <c r="BKM62" s="608"/>
      <c r="BKN62" s="608"/>
      <c r="BKO62" s="608"/>
      <c r="BKP62" s="608"/>
      <c r="BKQ62" s="608"/>
      <c r="BKR62" s="608"/>
      <c r="BKS62" s="608"/>
      <c r="BKT62" s="608"/>
      <c r="BKU62" s="608"/>
      <c r="BKV62" s="608"/>
      <c r="BKW62" s="608"/>
      <c r="BKX62" s="608"/>
      <c r="BKY62" s="608"/>
      <c r="BKZ62" s="608"/>
      <c r="BLA62" s="608"/>
      <c r="BLB62" s="608"/>
      <c r="BLC62" s="608"/>
      <c r="BLD62" s="608"/>
      <c r="BLE62" s="608"/>
      <c r="BLF62" s="608"/>
      <c r="BLG62" s="608"/>
      <c r="BLH62" s="608"/>
      <c r="BLI62" s="608"/>
      <c r="BLJ62" s="608"/>
      <c r="BLK62" s="608"/>
      <c r="BLL62" s="608"/>
      <c r="BLM62" s="608"/>
      <c r="BLN62" s="608"/>
      <c r="BLO62" s="608"/>
      <c r="BLP62" s="608"/>
      <c r="BLQ62" s="608"/>
      <c r="BLR62" s="608"/>
      <c r="BLS62" s="608"/>
      <c r="BLT62" s="608"/>
      <c r="BLU62" s="608"/>
      <c r="BLV62" s="608"/>
      <c r="BLW62" s="608"/>
      <c r="BLX62" s="608"/>
      <c r="BLY62" s="608"/>
      <c r="BLZ62" s="608"/>
      <c r="BMA62" s="608"/>
      <c r="BMB62" s="608"/>
      <c r="BMC62" s="608"/>
      <c r="BMD62" s="608"/>
      <c r="BME62" s="608"/>
      <c r="BMF62" s="608"/>
      <c r="BMG62" s="608"/>
      <c r="BMH62" s="608"/>
      <c r="BMI62" s="608"/>
      <c r="BMJ62" s="608"/>
      <c r="BMK62" s="608"/>
      <c r="BML62" s="608"/>
      <c r="BMM62" s="608"/>
      <c r="BMN62" s="608"/>
      <c r="BMO62" s="608"/>
      <c r="BMP62" s="608"/>
      <c r="BMQ62" s="608"/>
      <c r="BMR62" s="608"/>
      <c r="BMS62" s="608"/>
      <c r="BMT62" s="608"/>
      <c r="BMU62" s="608"/>
      <c r="BMV62" s="608"/>
      <c r="BMW62" s="608"/>
      <c r="BMX62" s="608"/>
      <c r="BMY62" s="608"/>
      <c r="BMZ62" s="608"/>
      <c r="BNA62" s="608"/>
      <c r="BNB62" s="608"/>
      <c r="BNC62" s="608"/>
      <c r="BND62" s="608"/>
      <c r="BNE62" s="608"/>
      <c r="BNF62" s="608"/>
      <c r="BNG62" s="608"/>
      <c r="BNH62" s="608"/>
      <c r="BNI62" s="608"/>
      <c r="BNJ62" s="608"/>
      <c r="BNK62" s="608"/>
      <c r="BNL62" s="608"/>
      <c r="BNM62" s="608"/>
      <c r="BNN62" s="608"/>
      <c r="BNO62" s="608"/>
      <c r="BNP62" s="608"/>
      <c r="BNQ62" s="608"/>
      <c r="BNR62" s="608"/>
      <c r="BNS62" s="608"/>
      <c r="BNT62" s="608"/>
      <c r="BNU62" s="608"/>
      <c r="BNV62" s="608"/>
      <c r="BNW62" s="608"/>
      <c r="BNX62" s="608"/>
      <c r="BNY62" s="608"/>
      <c r="BNZ62" s="608"/>
      <c r="BOA62" s="608"/>
      <c r="BOB62" s="608"/>
      <c r="BOC62" s="608"/>
      <c r="BOD62" s="608"/>
      <c r="BOE62" s="608"/>
      <c r="BOF62" s="608"/>
      <c r="BOG62" s="608"/>
      <c r="BOH62" s="608"/>
      <c r="BOI62" s="608"/>
      <c r="BOJ62" s="608"/>
      <c r="BOK62" s="608"/>
      <c r="BOL62" s="608"/>
      <c r="BOM62" s="608"/>
      <c r="BON62" s="608"/>
      <c r="BOO62" s="608"/>
      <c r="BOP62" s="608"/>
      <c r="BOQ62" s="608"/>
      <c r="BOR62" s="608"/>
      <c r="BOS62" s="608"/>
      <c r="BOT62" s="608"/>
      <c r="BOU62" s="608"/>
      <c r="BOV62" s="608"/>
      <c r="BOW62" s="608"/>
      <c r="BOX62" s="608"/>
      <c r="BOY62" s="608"/>
      <c r="BOZ62" s="608"/>
      <c r="BPA62" s="608"/>
      <c r="BPB62" s="608"/>
      <c r="BPC62" s="608"/>
      <c r="BPD62" s="608"/>
      <c r="BPE62" s="608"/>
      <c r="BPF62" s="608"/>
      <c r="BPG62" s="608"/>
      <c r="BPH62" s="608"/>
      <c r="BPI62" s="608"/>
      <c r="BPJ62" s="608"/>
      <c r="BPK62" s="608"/>
      <c r="BPL62" s="608"/>
      <c r="BPM62" s="608"/>
      <c r="BPN62" s="608"/>
      <c r="BPO62" s="608"/>
      <c r="BPP62" s="608"/>
      <c r="BPQ62" s="608"/>
      <c r="BPR62" s="608"/>
      <c r="BPS62" s="608"/>
      <c r="BPT62" s="608"/>
      <c r="BPU62" s="608"/>
      <c r="BPV62" s="608"/>
      <c r="BPW62" s="608"/>
      <c r="BPX62" s="608"/>
      <c r="BPY62" s="608"/>
      <c r="BPZ62" s="608"/>
      <c r="BQA62" s="608"/>
      <c r="BQB62" s="608"/>
      <c r="BQC62" s="608"/>
      <c r="BQD62" s="608"/>
      <c r="BQE62" s="608"/>
      <c r="BQF62" s="608"/>
      <c r="BQG62" s="608"/>
      <c r="BQH62" s="608"/>
      <c r="BQI62" s="608"/>
      <c r="BQJ62" s="608"/>
      <c r="BQK62" s="608"/>
      <c r="BQL62" s="608"/>
      <c r="BQM62" s="608"/>
      <c r="BQN62" s="608"/>
      <c r="BQO62" s="608"/>
      <c r="BQP62" s="608"/>
      <c r="BQQ62" s="608"/>
      <c r="BQR62" s="608"/>
      <c r="BQS62" s="608"/>
      <c r="BQT62" s="608"/>
      <c r="BQU62" s="608"/>
      <c r="BQV62" s="608"/>
      <c r="BQW62" s="608"/>
      <c r="BQX62" s="608"/>
      <c r="BQY62" s="608"/>
      <c r="BQZ62" s="608"/>
      <c r="BRA62" s="608"/>
      <c r="BRB62" s="608"/>
      <c r="BRC62" s="608"/>
      <c r="BRD62" s="608"/>
      <c r="BRE62" s="608"/>
      <c r="BRF62" s="608"/>
      <c r="BRG62" s="608"/>
      <c r="BRH62" s="608"/>
      <c r="BRI62" s="608"/>
      <c r="BRJ62" s="608"/>
      <c r="BRK62" s="608"/>
      <c r="BRL62" s="608"/>
      <c r="BRM62" s="608"/>
      <c r="BRN62" s="608"/>
      <c r="BRO62" s="608"/>
      <c r="BRP62" s="608"/>
      <c r="BRQ62" s="608"/>
      <c r="BRR62" s="608"/>
      <c r="BRS62" s="608"/>
      <c r="BRT62" s="608"/>
      <c r="BRU62" s="608"/>
      <c r="BRV62" s="608"/>
      <c r="BRW62" s="608"/>
      <c r="BRX62" s="608"/>
      <c r="BRY62" s="608"/>
      <c r="BRZ62" s="608"/>
      <c r="BSA62" s="608"/>
      <c r="BSB62" s="608"/>
      <c r="BSC62" s="608"/>
      <c r="BSD62" s="608"/>
      <c r="BSE62" s="608"/>
      <c r="BSF62" s="608"/>
      <c r="BSG62" s="608"/>
      <c r="BSH62" s="608"/>
      <c r="BSI62" s="608"/>
      <c r="BSJ62" s="608"/>
      <c r="BSK62" s="608"/>
      <c r="BSL62" s="608"/>
      <c r="BSM62" s="608"/>
      <c r="BSN62" s="608"/>
      <c r="BSO62" s="608"/>
      <c r="BSP62" s="608"/>
      <c r="BSQ62" s="608"/>
      <c r="BSR62" s="608"/>
      <c r="BSS62" s="608"/>
      <c r="BST62" s="608"/>
      <c r="BSU62" s="608"/>
      <c r="BSV62" s="608"/>
      <c r="BSW62" s="608"/>
      <c r="BSX62" s="608"/>
      <c r="BSY62" s="608"/>
      <c r="BSZ62" s="608"/>
      <c r="BTA62" s="608"/>
      <c r="BTB62" s="608"/>
      <c r="BTC62" s="608"/>
      <c r="BTD62" s="608"/>
      <c r="BTE62" s="608"/>
      <c r="BTF62" s="608"/>
      <c r="BTG62" s="608"/>
      <c r="BTH62" s="608"/>
      <c r="BTI62" s="608"/>
      <c r="BTJ62" s="608"/>
      <c r="BTK62" s="608"/>
      <c r="BTL62" s="608"/>
      <c r="BTM62" s="608"/>
      <c r="BTN62" s="608"/>
      <c r="BTO62" s="608"/>
      <c r="BTP62" s="608"/>
      <c r="BTQ62" s="608"/>
      <c r="BTR62" s="608"/>
      <c r="BTS62" s="608"/>
      <c r="BTT62" s="608"/>
      <c r="BTU62" s="608"/>
      <c r="BTV62" s="608"/>
      <c r="BTW62" s="608"/>
      <c r="BTX62" s="608"/>
      <c r="BTY62" s="608"/>
      <c r="BTZ62" s="608"/>
      <c r="BUA62" s="608"/>
      <c r="BUB62" s="608"/>
      <c r="BUC62" s="608"/>
      <c r="BUD62" s="608"/>
      <c r="BUE62" s="608"/>
      <c r="BUF62" s="608"/>
      <c r="BUG62" s="608"/>
      <c r="BUH62" s="608"/>
      <c r="BUI62" s="608"/>
      <c r="BUJ62" s="608"/>
      <c r="BUK62" s="608"/>
      <c r="BUL62" s="608"/>
      <c r="BUM62" s="608"/>
      <c r="BUN62" s="608"/>
      <c r="BUO62" s="608"/>
      <c r="BUP62" s="608"/>
      <c r="BUQ62" s="608"/>
      <c r="BUR62" s="608"/>
      <c r="BUS62" s="608"/>
      <c r="BUT62" s="608"/>
      <c r="BUU62" s="608"/>
      <c r="BUV62" s="608"/>
      <c r="BUW62" s="608"/>
      <c r="BUX62" s="608"/>
      <c r="BUY62" s="608"/>
      <c r="BUZ62" s="608"/>
      <c r="BVA62" s="608"/>
      <c r="BVB62" s="608"/>
      <c r="BVC62" s="608"/>
      <c r="BVD62" s="608"/>
      <c r="BVE62" s="608"/>
      <c r="BVF62" s="608"/>
      <c r="BVG62" s="608"/>
      <c r="BVH62" s="608"/>
      <c r="BVI62" s="608"/>
      <c r="BVJ62" s="608"/>
      <c r="BVK62" s="608"/>
      <c r="BVL62" s="608"/>
      <c r="BVM62" s="608"/>
      <c r="BVN62" s="608"/>
      <c r="BVO62" s="608"/>
      <c r="BVP62" s="608"/>
      <c r="BVQ62" s="608"/>
      <c r="BVR62" s="608"/>
      <c r="BVS62" s="608"/>
      <c r="BVT62" s="608"/>
      <c r="BVU62" s="608"/>
      <c r="BVV62" s="608"/>
      <c r="BVW62" s="608"/>
      <c r="BVX62" s="608"/>
      <c r="BVY62" s="608"/>
      <c r="BVZ62" s="608"/>
      <c r="BWA62" s="608"/>
      <c r="BWB62" s="608"/>
      <c r="BWC62" s="608"/>
      <c r="BWD62" s="608"/>
      <c r="BWE62" s="608"/>
      <c r="BWF62" s="608"/>
      <c r="BWG62" s="608"/>
      <c r="BWH62" s="608"/>
      <c r="BWI62" s="608"/>
      <c r="BWJ62" s="608"/>
      <c r="BWK62" s="608"/>
      <c r="BWL62" s="608"/>
      <c r="BWM62" s="608"/>
      <c r="BWN62" s="608"/>
      <c r="BWO62" s="608"/>
      <c r="BWP62" s="608"/>
      <c r="BWQ62" s="608"/>
      <c r="BWR62" s="608"/>
      <c r="BWS62" s="608"/>
      <c r="BWT62" s="608"/>
      <c r="BWU62" s="608"/>
      <c r="BWV62" s="608"/>
      <c r="BWW62" s="608"/>
      <c r="BWX62" s="608"/>
      <c r="BWY62" s="608"/>
      <c r="BWZ62" s="608"/>
      <c r="BXA62" s="608"/>
      <c r="BXB62" s="608"/>
      <c r="BXC62" s="608"/>
      <c r="BXD62" s="608"/>
      <c r="BXE62" s="608"/>
      <c r="BXF62" s="608"/>
      <c r="BXG62" s="608"/>
      <c r="BXH62" s="608"/>
      <c r="BXI62" s="608"/>
      <c r="BXJ62" s="608"/>
      <c r="BXK62" s="608"/>
      <c r="BXL62" s="608"/>
      <c r="BXM62" s="608"/>
      <c r="BXN62" s="608"/>
      <c r="BXO62" s="608"/>
      <c r="BXP62" s="608"/>
      <c r="BXQ62" s="608"/>
      <c r="BXR62" s="608"/>
      <c r="BXS62" s="608"/>
      <c r="BXT62" s="608"/>
      <c r="BXU62" s="608"/>
      <c r="BXV62" s="608"/>
      <c r="BXW62" s="608"/>
      <c r="BXX62" s="608"/>
      <c r="BXY62" s="608"/>
      <c r="BXZ62" s="608"/>
      <c r="BYA62" s="608"/>
      <c r="BYB62" s="608"/>
      <c r="BYC62" s="608"/>
      <c r="BYD62" s="608"/>
      <c r="BYE62" s="608"/>
      <c r="BYF62" s="608"/>
      <c r="BYG62" s="608"/>
      <c r="BYH62" s="608"/>
      <c r="BYI62" s="608"/>
      <c r="BYJ62" s="608"/>
      <c r="BYK62" s="608"/>
      <c r="BYL62" s="608"/>
      <c r="BYM62" s="608"/>
      <c r="BYN62" s="608"/>
      <c r="BYO62" s="608"/>
      <c r="BYP62" s="608"/>
      <c r="BYQ62" s="608"/>
      <c r="BYR62" s="608"/>
      <c r="BYS62" s="608"/>
      <c r="BYT62" s="608"/>
      <c r="BYU62" s="608"/>
      <c r="BYV62" s="608"/>
      <c r="BYW62" s="608"/>
      <c r="BYX62" s="608"/>
      <c r="BYY62" s="608"/>
      <c r="BYZ62" s="608"/>
      <c r="BZA62" s="608"/>
      <c r="BZB62" s="608"/>
      <c r="BZC62" s="608"/>
      <c r="BZD62" s="608"/>
      <c r="BZE62" s="608"/>
      <c r="BZF62" s="608"/>
      <c r="BZG62" s="608"/>
      <c r="BZH62" s="608"/>
      <c r="BZI62" s="608"/>
      <c r="BZJ62" s="608"/>
      <c r="BZK62" s="608"/>
      <c r="BZL62" s="608"/>
      <c r="BZM62" s="608"/>
      <c r="BZN62" s="608"/>
      <c r="BZO62" s="608"/>
      <c r="BZP62" s="608"/>
      <c r="BZQ62" s="608"/>
      <c r="BZR62" s="608"/>
      <c r="BZS62" s="608"/>
      <c r="BZT62" s="608"/>
      <c r="BZU62" s="608"/>
      <c r="BZV62" s="608"/>
      <c r="BZW62" s="608"/>
      <c r="BZX62" s="608"/>
      <c r="BZY62" s="608"/>
      <c r="BZZ62" s="608"/>
      <c r="CAA62" s="608"/>
      <c r="CAB62" s="608"/>
      <c r="CAC62" s="608"/>
      <c r="CAD62" s="608"/>
      <c r="CAE62" s="608"/>
      <c r="CAF62" s="608"/>
      <c r="CAG62" s="608"/>
      <c r="CAH62" s="608"/>
      <c r="CAI62" s="608"/>
      <c r="CAJ62" s="608"/>
      <c r="CAK62" s="608"/>
      <c r="CAL62" s="608"/>
      <c r="CAM62" s="608"/>
      <c r="CAN62" s="608"/>
      <c r="CAO62" s="608"/>
      <c r="CAP62" s="608"/>
      <c r="CAQ62" s="608"/>
      <c r="CAR62" s="608"/>
      <c r="CAS62" s="608"/>
      <c r="CAT62" s="608"/>
      <c r="CAU62" s="608"/>
      <c r="CAV62" s="608"/>
      <c r="CAW62" s="608"/>
      <c r="CAX62" s="608"/>
      <c r="CAY62" s="608"/>
      <c r="CAZ62" s="608"/>
      <c r="CBA62" s="608"/>
      <c r="CBB62" s="608"/>
      <c r="CBC62" s="608"/>
      <c r="CBD62" s="608"/>
      <c r="CBE62" s="608"/>
      <c r="CBF62" s="608"/>
      <c r="CBG62" s="608"/>
      <c r="CBH62" s="608"/>
      <c r="CBI62" s="608"/>
      <c r="CBJ62" s="608"/>
      <c r="CBK62" s="608"/>
      <c r="CBL62" s="608"/>
      <c r="CBM62" s="608"/>
      <c r="CBN62" s="608"/>
      <c r="CBO62" s="608"/>
      <c r="CBP62" s="608"/>
      <c r="CBQ62" s="608"/>
      <c r="CBR62" s="608"/>
      <c r="CBS62" s="608"/>
      <c r="CBT62" s="608"/>
      <c r="CBU62" s="608"/>
      <c r="CBV62" s="608"/>
      <c r="CBW62" s="608"/>
      <c r="CBX62" s="608"/>
      <c r="CBY62" s="608"/>
      <c r="CBZ62" s="608"/>
      <c r="CCA62" s="608"/>
      <c r="CCB62" s="608"/>
      <c r="CCC62" s="608"/>
      <c r="CCD62" s="608"/>
      <c r="CCE62" s="608"/>
      <c r="CCF62" s="608"/>
      <c r="CCG62" s="608"/>
      <c r="CCH62" s="608"/>
      <c r="CCI62" s="608"/>
      <c r="CCJ62" s="608"/>
      <c r="CCK62" s="608"/>
      <c r="CCL62" s="608"/>
      <c r="CCM62" s="608"/>
      <c r="CCN62" s="608"/>
      <c r="CCO62" s="608"/>
      <c r="CCP62" s="608"/>
      <c r="CCQ62" s="608"/>
      <c r="CCR62" s="608"/>
      <c r="CCS62" s="608"/>
      <c r="CCT62" s="608"/>
      <c r="CCU62" s="608"/>
      <c r="CCV62" s="608"/>
      <c r="CCW62" s="608"/>
      <c r="CCX62" s="608"/>
      <c r="CCY62" s="608"/>
      <c r="CCZ62" s="608"/>
      <c r="CDA62" s="608"/>
      <c r="CDB62" s="608"/>
      <c r="CDC62" s="608"/>
      <c r="CDD62" s="608"/>
      <c r="CDE62" s="608"/>
      <c r="CDF62" s="608"/>
      <c r="CDG62" s="608"/>
      <c r="CDH62" s="608"/>
      <c r="CDI62" s="608"/>
      <c r="CDJ62" s="608"/>
      <c r="CDK62" s="608"/>
      <c r="CDL62" s="608"/>
      <c r="CDM62" s="608"/>
      <c r="CDN62" s="608"/>
      <c r="CDO62" s="608"/>
      <c r="CDP62" s="608"/>
      <c r="CDQ62" s="608"/>
      <c r="CDR62" s="608"/>
      <c r="CDS62" s="608"/>
      <c r="CDT62" s="608"/>
      <c r="CDU62" s="608"/>
      <c r="CDV62" s="608"/>
      <c r="CDW62" s="608"/>
      <c r="CDX62" s="608"/>
      <c r="CDY62" s="608"/>
      <c r="CDZ62" s="608"/>
      <c r="CEA62" s="608"/>
      <c r="CEB62" s="608"/>
      <c r="CEC62" s="608"/>
      <c r="CED62" s="608"/>
      <c r="CEE62" s="608"/>
      <c r="CEF62" s="608"/>
      <c r="CEG62" s="608"/>
      <c r="CEH62" s="608"/>
      <c r="CEI62" s="608"/>
      <c r="CEJ62" s="608"/>
      <c r="CEK62" s="608"/>
      <c r="CEL62" s="608"/>
      <c r="CEM62" s="608"/>
      <c r="CEN62" s="608"/>
      <c r="CEO62" s="608"/>
      <c r="CEP62" s="608"/>
      <c r="CEQ62" s="608"/>
      <c r="CER62" s="608"/>
      <c r="CES62" s="608"/>
      <c r="CET62" s="608"/>
      <c r="CEU62" s="608"/>
      <c r="CEV62" s="608"/>
      <c r="CEW62" s="608"/>
      <c r="CEX62" s="608"/>
      <c r="CEY62" s="608"/>
      <c r="CEZ62" s="608"/>
      <c r="CFA62" s="608"/>
      <c r="CFB62" s="608"/>
      <c r="CFC62" s="608"/>
      <c r="CFD62" s="608"/>
      <c r="CFE62" s="608"/>
      <c r="CFF62" s="608"/>
      <c r="CFG62" s="608"/>
      <c r="CFH62" s="608"/>
      <c r="CFI62" s="608"/>
      <c r="CFJ62" s="608"/>
      <c r="CFK62" s="608"/>
      <c r="CFL62" s="608"/>
      <c r="CFM62" s="608"/>
      <c r="CFN62" s="608"/>
      <c r="CFO62" s="608"/>
      <c r="CFP62" s="608"/>
      <c r="CFQ62" s="608"/>
      <c r="CFR62" s="608"/>
      <c r="CFS62" s="608"/>
      <c r="CFT62" s="608"/>
      <c r="CFU62" s="608"/>
      <c r="CFV62" s="608"/>
      <c r="CFW62" s="608"/>
      <c r="CFX62" s="608"/>
      <c r="CFY62" s="608"/>
      <c r="CFZ62" s="608"/>
      <c r="CGA62" s="608"/>
      <c r="CGB62" s="608"/>
      <c r="CGC62" s="608"/>
      <c r="CGD62" s="608"/>
      <c r="CGE62" s="608"/>
      <c r="CGF62" s="608"/>
      <c r="CGG62" s="608"/>
      <c r="CGH62" s="608"/>
      <c r="CGI62" s="608"/>
      <c r="CGJ62" s="608"/>
      <c r="CGK62" s="608"/>
      <c r="CGL62" s="608"/>
      <c r="CGM62" s="608"/>
      <c r="CGN62" s="608"/>
      <c r="CGO62" s="608"/>
      <c r="CGP62" s="608"/>
      <c r="CGQ62" s="608"/>
      <c r="CGR62" s="608"/>
      <c r="CGS62" s="608"/>
      <c r="CGT62" s="608"/>
      <c r="CGU62" s="608"/>
      <c r="CGV62" s="608"/>
      <c r="CGW62" s="608"/>
      <c r="CGX62" s="608"/>
      <c r="CGY62" s="608"/>
      <c r="CGZ62" s="608"/>
      <c r="CHA62" s="608"/>
      <c r="CHB62" s="608"/>
      <c r="CHC62" s="608"/>
      <c r="CHD62" s="608"/>
      <c r="CHE62" s="608"/>
      <c r="CHF62" s="608"/>
      <c r="CHG62" s="608"/>
      <c r="CHH62" s="608"/>
      <c r="CHI62" s="608"/>
      <c r="CHJ62" s="608"/>
      <c r="CHK62" s="608"/>
      <c r="CHL62" s="608"/>
      <c r="CHM62" s="608"/>
      <c r="CHN62" s="608"/>
      <c r="CHO62" s="608"/>
      <c r="CHP62" s="608"/>
      <c r="CHQ62" s="608"/>
      <c r="CHR62" s="608"/>
      <c r="CHS62" s="608"/>
      <c r="CHT62" s="608"/>
      <c r="CHU62" s="608"/>
      <c r="CHV62" s="608"/>
      <c r="CHW62" s="608"/>
      <c r="CHX62" s="608"/>
      <c r="CHY62" s="608"/>
      <c r="CHZ62" s="608"/>
      <c r="CIA62" s="608"/>
      <c r="CIB62" s="608"/>
      <c r="CIC62" s="608"/>
      <c r="CID62" s="608"/>
      <c r="CIE62" s="608"/>
      <c r="CIF62" s="608"/>
      <c r="CIG62" s="608"/>
      <c r="CIH62" s="608"/>
      <c r="CII62" s="608"/>
      <c r="CIJ62" s="608"/>
      <c r="CIK62" s="608"/>
      <c r="CIL62" s="608"/>
      <c r="CIM62" s="608"/>
      <c r="CIN62" s="608"/>
      <c r="CIO62" s="608"/>
      <c r="CIP62" s="608"/>
      <c r="CIQ62" s="608"/>
      <c r="CIR62" s="608"/>
      <c r="CIS62" s="608"/>
      <c r="CIT62" s="608"/>
      <c r="CIU62" s="608"/>
      <c r="CIV62" s="608"/>
      <c r="CIW62" s="608"/>
      <c r="CIX62" s="608"/>
      <c r="CIY62" s="608"/>
      <c r="CIZ62" s="608"/>
      <c r="CJA62" s="608"/>
      <c r="CJB62" s="608"/>
      <c r="CJC62" s="608"/>
      <c r="CJD62" s="608"/>
      <c r="CJE62" s="608"/>
      <c r="CJF62" s="608"/>
      <c r="CJG62" s="608"/>
      <c r="CJH62" s="608"/>
      <c r="CJI62" s="608"/>
      <c r="CJJ62" s="608"/>
      <c r="CJK62" s="608"/>
      <c r="CJL62" s="608"/>
      <c r="CJM62" s="608"/>
      <c r="CJN62" s="608"/>
      <c r="CJO62" s="608"/>
      <c r="CJP62" s="608"/>
      <c r="CJQ62" s="608"/>
      <c r="CJR62" s="608"/>
      <c r="CJS62" s="608"/>
      <c r="CJT62" s="608"/>
      <c r="CJU62" s="608"/>
      <c r="CJV62" s="608"/>
      <c r="CJW62" s="608"/>
      <c r="CJX62" s="608"/>
      <c r="CJY62" s="608"/>
      <c r="CJZ62" s="608"/>
      <c r="CKA62" s="608"/>
      <c r="CKB62" s="608"/>
      <c r="CKC62" s="608"/>
      <c r="CKD62" s="608"/>
      <c r="CKE62" s="608"/>
      <c r="CKF62" s="608"/>
      <c r="CKG62" s="608"/>
      <c r="CKH62" s="608"/>
      <c r="CKI62" s="608"/>
      <c r="CKJ62" s="608"/>
      <c r="CKK62" s="608"/>
      <c r="CKL62" s="608"/>
      <c r="CKM62" s="608"/>
      <c r="CKN62" s="608"/>
      <c r="CKO62" s="608"/>
      <c r="CKP62" s="608"/>
      <c r="CKQ62" s="608"/>
      <c r="CKR62" s="608"/>
      <c r="CKS62" s="608"/>
      <c r="CKT62" s="608"/>
      <c r="CKU62" s="608"/>
      <c r="CKV62" s="608"/>
      <c r="CKW62" s="608"/>
      <c r="CKX62" s="608"/>
      <c r="CKY62" s="608"/>
      <c r="CKZ62" s="608"/>
      <c r="CLA62" s="608"/>
      <c r="CLB62" s="608"/>
      <c r="CLC62" s="608"/>
      <c r="CLD62" s="608"/>
      <c r="CLE62" s="608"/>
      <c r="CLF62" s="608"/>
      <c r="CLG62" s="608"/>
      <c r="CLH62" s="608"/>
      <c r="CLI62" s="608"/>
      <c r="CLJ62" s="608"/>
      <c r="CLK62" s="608"/>
      <c r="CLL62" s="608"/>
      <c r="CLM62" s="608"/>
      <c r="CLN62" s="608"/>
      <c r="CLO62" s="608"/>
      <c r="CLP62" s="608"/>
      <c r="CLQ62" s="608"/>
      <c r="CLR62" s="608"/>
      <c r="CLS62" s="608"/>
      <c r="CLT62" s="608"/>
      <c r="CLU62" s="608"/>
      <c r="CLV62" s="608"/>
      <c r="CLW62" s="608"/>
      <c r="CLX62" s="608"/>
      <c r="CLY62" s="608"/>
      <c r="CLZ62" s="608"/>
      <c r="CMA62" s="608"/>
      <c r="CMB62" s="608"/>
      <c r="CMC62" s="608"/>
      <c r="CMD62" s="608"/>
      <c r="CME62" s="608"/>
      <c r="CMF62" s="608"/>
      <c r="CMG62" s="608"/>
      <c r="CMH62" s="608"/>
      <c r="CMI62" s="608"/>
      <c r="CMJ62" s="608"/>
      <c r="CMK62" s="608"/>
      <c r="CML62" s="608"/>
      <c r="CMM62" s="608"/>
      <c r="CMN62" s="608"/>
      <c r="CMO62" s="608"/>
      <c r="CMP62" s="608"/>
      <c r="CMQ62" s="608"/>
      <c r="CMR62" s="608"/>
      <c r="CMS62" s="608"/>
      <c r="CMT62" s="608"/>
      <c r="CMU62" s="608"/>
      <c r="CMV62" s="608"/>
      <c r="CMW62" s="608"/>
      <c r="CMX62" s="608"/>
      <c r="CMY62" s="608"/>
      <c r="CMZ62" s="608"/>
      <c r="CNA62" s="608"/>
      <c r="CNB62" s="608"/>
      <c r="CNC62" s="608"/>
      <c r="CND62" s="608"/>
      <c r="CNE62" s="608"/>
      <c r="CNF62" s="608"/>
      <c r="CNG62" s="608"/>
      <c r="CNH62" s="608"/>
      <c r="CNI62" s="608"/>
      <c r="CNJ62" s="608"/>
      <c r="CNK62" s="608"/>
      <c r="CNL62" s="608"/>
      <c r="CNM62" s="608"/>
      <c r="CNN62" s="608"/>
      <c r="CNO62" s="608"/>
      <c r="CNP62" s="608"/>
      <c r="CNQ62" s="608"/>
      <c r="CNR62" s="608"/>
      <c r="CNS62" s="608"/>
      <c r="CNT62" s="608"/>
      <c r="CNU62" s="608"/>
      <c r="CNV62" s="608"/>
      <c r="CNW62" s="608"/>
      <c r="CNX62" s="608"/>
      <c r="CNY62" s="608"/>
      <c r="CNZ62" s="608"/>
      <c r="COA62" s="608"/>
      <c r="COB62" s="608"/>
      <c r="COC62" s="608"/>
      <c r="COD62" s="608"/>
      <c r="COE62" s="608"/>
      <c r="COF62" s="608"/>
      <c r="COG62" s="608"/>
      <c r="COH62" s="608"/>
      <c r="COI62" s="608"/>
      <c r="COJ62" s="608"/>
      <c r="COK62" s="608"/>
      <c r="COL62" s="608"/>
      <c r="COM62" s="608"/>
      <c r="CON62" s="608"/>
      <c r="COO62" s="608"/>
      <c r="COP62" s="608"/>
      <c r="COQ62" s="608"/>
      <c r="COR62" s="608"/>
      <c r="COS62" s="608"/>
      <c r="COT62" s="608"/>
      <c r="COU62" s="608"/>
      <c r="COV62" s="608"/>
      <c r="COW62" s="608"/>
      <c r="COX62" s="608"/>
      <c r="COY62" s="608"/>
      <c r="COZ62" s="608"/>
      <c r="CPA62" s="608"/>
      <c r="CPB62" s="608"/>
      <c r="CPC62" s="608"/>
      <c r="CPD62" s="608"/>
      <c r="CPE62" s="608"/>
      <c r="CPF62" s="608"/>
      <c r="CPG62" s="608"/>
      <c r="CPH62" s="608"/>
      <c r="CPI62" s="608"/>
      <c r="CPJ62" s="608"/>
      <c r="CPK62" s="608"/>
      <c r="CPL62" s="608"/>
      <c r="CPM62" s="608"/>
      <c r="CPN62" s="608"/>
      <c r="CPO62" s="608"/>
      <c r="CPP62" s="608"/>
      <c r="CPQ62" s="608"/>
      <c r="CPR62" s="608"/>
      <c r="CPS62" s="608"/>
      <c r="CPT62" s="608"/>
      <c r="CPU62" s="608"/>
      <c r="CPV62" s="608"/>
      <c r="CPW62" s="608"/>
      <c r="CPX62" s="608"/>
      <c r="CPY62" s="608"/>
      <c r="CPZ62" s="608"/>
      <c r="CQA62" s="608"/>
      <c r="CQB62" s="608"/>
      <c r="CQC62" s="608"/>
      <c r="CQD62" s="608"/>
      <c r="CQE62" s="608"/>
      <c r="CQF62" s="608"/>
      <c r="CQG62" s="608"/>
      <c r="CQH62" s="608"/>
      <c r="CQI62" s="608"/>
      <c r="CQJ62" s="608"/>
      <c r="CQK62" s="608"/>
      <c r="CQL62" s="608"/>
      <c r="CQM62" s="608"/>
      <c r="CQN62" s="608"/>
      <c r="CQO62" s="608"/>
      <c r="CQP62" s="608"/>
      <c r="CQQ62" s="608"/>
      <c r="CQR62" s="608"/>
      <c r="CQS62" s="608"/>
      <c r="CQT62" s="608"/>
      <c r="CQU62" s="608"/>
      <c r="CQV62" s="608"/>
      <c r="CQW62" s="608"/>
      <c r="CQX62" s="608"/>
      <c r="CQY62" s="608"/>
      <c r="CQZ62" s="608"/>
      <c r="CRA62" s="608"/>
      <c r="CRB62" s="608"/>
      <c r="CRC62" s="608"/>
      <c r="CRD62" s="608"/>
      <c r="CRE62" s="608"/>
      <c r="CRF62" s="608"/>
      <c r="CRG62" s="608"/>
      <c r="CRH62" s="608"/>
      <c r="CRI62" s="608"/>
      <c r="CRJ62" s="608"/>
      <c r="CRK62" s="608"/>
      <c r="CRL62" s="608"/>
      <c r="CRM62" s="608"/>
      <c r="CRN62" s="608"/>
      <c r="CRO62" s="608"/>
      <c r="CRP62" s="608"/>
      <c r="CRQ62" s="608"/>
      <c r="CRR62" s="608"/>
      <c r="CRS62" s="608"/>
      <c r="CRT62" s="608"/>
      <c r="CRU62" s="608"/>
      <c r="CRV62" s="608"/>
      <c r="CRW62" s="608"/>
      <c r="CRX62" s="608"/>
      <c r="CRY62" s="608"/>
      <c r="CRZ62" s="608"/>
      <c r="CSA62" s="608"/>
      <c r="CSB62" s="608"/>
      <c r="CSC62" s="608"/>
      <c r="CSD62" s="608"/>
      <c r="CSE62" s="608"/>
      <c r="CSF62" s="608"/>
      <c r="CSG62" s="608"/>
      <c r="CSH62" s="608"/>
      <c r="CSI62" s="608"/>
      <c r="CSJ62" s="608"/>
      <c r="CSK62" s="608"/>
      <c r="CSL62" s="608"/>
      <c r="CSM62" s="608"/>
      <c r="CSN62" s="608"/>
      <c r="CSO62" s="608"/>
      <c r="CSP62" s="608"/>
      <c r="CSQ62" s="608"/>
      <c r="CSR62" s="608"/>
      <c r="CSS62" s="608"/>
      <c r="CST62" s="608"/>
      <c r="CSU62" s="608"/>
      <c r="CSV62" s="608"/>
      <c r="CSW62" s="608"/>
      <c r="CSX62" s="608"/>
      <c r="CSY62" s="608"/>
      <c r="CSZ62" s="608"/>
      <c r="CTA62" s="608"/>
      <c r="CTB62" s="608"/>
      <c r="CTC62" s="608"/>
      <c r="CTD62" s="608"/>
      <c r="CTE62" s="608"/>
      <c r="CTF62" s="608"/>
      <c r="CTG62" s="608"/>
      <c r="CTH62" s="608"/>
      <c r="CTI62" s="608"/>
      <c r="CTJ62" s="608"/>
      <c r="CTK62" s="608"/>
      <c r="CTL62" s="608"/>
      <c r="CTM62" s="608"/>
      <c r="CTN62" s="608"/>
      <c r="CTO62" s="608"/>
      <c r="CTP62" s="608"/>
      <c r="CTQ62" s="608"/>
      <c r="CTR62" s="608"/>
      <c r="CTS62" s="608"/>
      <c r="CTT62" s="608"/>
      <c r="CTU62" s="608"/>
      <c r="CTV62" s="608"/>
      <c r="CTW62" s="608"/>
      <c r="CTX62" s="608"/>
      <c r="CTY62" s="608"/>
      <c r="CTZ62" s="608"/>
      <c r="CUA62" s="608"/>
      <c r="CUB62" s="608"/>
      <c r="CUC62" s="608"/>
      <c r="CUD62" s="608"/>
      <c r="CUE62" s="608"/>
      <c r="CUF62" s="608"/>
      <c r="CUG62" s="608"/>
      <c r="CUH62" s="608"/>
      <c r="CUI62" s="608"/>
      <c r="CUJ62" s="608"/>
      <c r="CUK62" s="608"/>
      <c r="CUL62" s="608"/>
      <c r="CUM62" s="608"/>
      <c r="CUN62" s="608"/>
      <c r="CUO62" s="608"/>
      <c r="CUP62" s="608"/>
      <c r="CUQ62" s="608"/>
      <c r="CUR62" s="608"/>
      <c r="CUS62" s="608"/>
      <c r="CUT62" s="608"/>
      <c r="CUU62" s="608"/>
      <c r="CUV62" s="608"/>
      <c r="CUW62" s="608"/>
      <c r="CUX62" s="608"/>
      <c r="CUY62" s="608"/>
      <c r="CUZ62" s="608"/>
      <c r="CVA62" s="608"/>
      <c r="CVB62" s="608"/>
      <c r="CVC62" s="608"/>
      <c r="CVD62" s="608"/>
      <c r="CVE62" s="608"/>
      <c r="CVF62" s="608"/>
      <c r="CVG62" s="608"/>
      <c r="CVH62" s="608"/>
      <c r="CVI62" s="608"/>
      <c r="CVJ62" s="608"/>
      <c r="CVK62" s="608"/>
      <c r="CVL62" s="608"/>
      <c r="CVM62" s="608"/>
      <c r="CVN62" s="608"/>
      <c r="CVO62" s="608"/>
      <c r="CVP62" s="608"/>
      <c r="CVQ62" s="608"/>
      <c r="CVR62" s="608"/>
      <c r="CVS62" s="608"/>
      <c r="CVT62" s="608"/>
      <c r="CVU62" s="608"/>
      <c r="CVV62" s="608"/>
      <c r="CVW62" s="608"/>
      <c r="CVX62" s="608"/>
      <c r="CVY62" s="608"/>
      <c r="CVZ62" s="608"/>
      <c r="CWA62" s="608"/>
      <c r="CWB62" s="608"/>
      <c r="CWC62" s="608"/>
      <c r="CWD62" s="608"/>
      <c r="CWE62" s="608"/>
      <c r="CWF62" s="608"/>
      <c r="CWG62" s="608"/>
      <c r="CWH62" s="608"/>
      <c r="CWI62" s="608"/>
      <c r="CWJ62" s="608"/>
      <c r="CWK62" s="608"/>
      <c r="CWL62" s="608"/>
      <c r="CWM62" s="608"/>
      <c r="CWN62" s="608"/>
      <c r="CWO62" s="608"/>
      <c r="CWP62" s="608"/>
      <c r="CWQ62" s="608"/>
      <c r="CWR62" s="608"/>
      <c r="CWS62" s="608"/>
      <c r="CWT62" s="608"/>
      <c r="CWU62" s="608"/>
      <c r="CWV62" s="608"/>
      <c r="CWW62" s="608"/>
      <c r="CWX62" s="608"/>
      <c r="CWY62" s="608"/>
      <c r="CWZ62" s="608"/>
      <c r="CXA62" s="608"/>
      <c r="CXB62" s="608"/>
      <c r="CXC62" s="608"/>
      <c r="CXD62" s="608"/>
      <c r="CXE62" s="608"/>
      <c r="CXF62" s="608"/>
      <c r="CXG62" s="608"/>
      <c r="CXH62" s="608"/>
      <c r="CXI62" s="608"/>
      <c r="CXJ62" s="608"/>
      <c r="CXK62" s="608"/>
      <c r="CXL62" s="608"/>
      <c r="CXM62" s="608"/>
      <c r="CXN62" s="608"/>
      <c r="CXO62" s="608"/>
      <c r="CXP62" s="608"/>
      <c r="CXQ62" s="608"/>
      <c r="CXR62" s="608"/>
      <c r="CXS62" s="608"/>
      <c r="CXT62" s="608"/>
      <c r="CXU62" s="608"/>
      <c r="CXV62" s="608"/>
      <c r="CXW62" s="608"/>
      <c r="CXX62" s="608"/>
      <c r="CXY62" s="608"/>
      <c r="CXZ62" s="608"/>
      <c r="CYA62" s="608"/>
      <c r="CYB62" s="608"/>
      <c r="CYC62" s="608"/>
      <c r="CYD62" s="608"/>
      <c r="CYE62" s="608"/>
      <c r="CYF62" s="608"/>
      <c r="CYG62" s="608"/>
      <c r="CYH62" s="608"/>
      <c r="CYI62" s="608"/>
      <c r="CYJ62" s="608"/>
      <c r="CYK62" s="608"/>
      <c r="CYL62" s="608"/>
      <c r="CYM62" s="608"/>
      <c r="CYN62" s="608"/>
      <c r="CYO62" s="608"/>
      <c r="CYP62" s="608"/>
      <c r="CYQ62" s="608"/>
      <c r="CYR62" s="608"/>
      <c r="CYS62" s="608"/>
      <c r="CYT62" s="608"/>
      <c r="CYU62" s="608"/>
      <c r="CYV62" s="608"/>
      <c r="CYW62" s="608"/>
      <c r="CYX62" s="608"/>
      <c r="CYY62" s="608"/>
      <c r="CYZ62" s="608"/>
      <c r="CZA62" s="608"/>
      <c r="CZB62" s="608"/>
      <c r="CZC62" s="608"/>
      <c r="CZD62" s="608"/>
      <c r="CZE62" s="608"/>
      <c r="CZF62" s="608"/>
      <c r="CZG62" s="608"/>
      <c r="CZH62" s="608"/>
      <c r="CZI62" s="608"/>
      <c r="CZJ62" s="608"/>
      <c r="CZK62" s="608"/>
      <c r="CZL62" s="608"/>
      <c r="CZM62" s="608"/>
      <c r="CZN62" s="608"/>
      <c r="CZO62" s="608"/>
      <c r="CZP62" s="608"/>
      <c r="CZQ62" s="608"/>
      <c r="CZR62" s="608"/>
      <c r="CZS62" s="608"/>
      <c r="CZT62" s="608"/>
      <c r="CZU62" s="608"/>
      <c r="CZV62" s="608"/>
      <c r="CZW62" s="608"/>
      <c r="CZX62" s="608"/>
      <c r="CZY62" s="608"/>
      <c r="CZZ62" s="608"/>
      <c r="DAA62" s="608"/>
      <c r="DAB62" s="608"/>
      <c r="DAC62" s="608"/>
      <c r="DAD62" s="608"/>
      <c r="DAE62" s="608"/>
      <c r="DAF62" s="608"/>
      <c r="DAG62" s="608"/>
      <c r="DAH62" s="608"/>
      <c r="DAI62" s="608"/>
      <c r="DAJ62" s="608"/>
      <c r="DAK62" s="608"/>
      <c r="DAL62" s="608"/>
      <c r="DAM62" s="608"/>
      <c r="DAN62" s="608"/>
      <c r="DAO62" s="608"/>
      <c r="DAP62" s="608"/>
      <c r="DAQ62" s="608"/>
      <c r="DAR62" s="608"/>
      <c r="DAS62" s="608"/>
      <c r="DAT62" s="608"/>
      <c r="DAU62" s="608"/>
      <c r="DAV62" s="608"/>
      <c r="DAW62" s="608"/>
      <c r="DAX62" s="608"/>
      <c r="DAY62" s="608"/>
      <c r="DAZ62" s="608"/>
      <c r="DBA62" s="608"/>
      <c r="DBB62" s="608"/>
      <c r="DBC62" s="608"/>
      <c r="DBD62" s="608"/>
      <c r="DBE62" s="608"/>
      <c r="DBF62" s="608"/>
      <c r="DBG62" s="608"/>
      <c r="DBH62" s="608"/>
      <c r="DBI62" s="608"/>
      <c r="DBJ62" s="608"/>
      <c r="DBK62" s="608"/>
      <c r="DBL62" s="608"/>
      <c r="DBM62" s="608"/>
      <c r="DBN62" s="608"/>
      <c r="DBO62" s="608"/>
      <c r="DBP62" s="608"/>
      <c r="DBQ62" s="608"/>
      <c r="DBR62" s="608"/>
      <c r="DBS62" s="608"/>
      <c r="DBT62" s="608"/>
      <c r="DBU62" s="608"/>
      <c r="DBV62" s="608"/>
      <c r="DBW62" s="608"/>
      <c r="DBX62" s="608"/>
      <c r="DBY62" s="608"/>
      <c r="DBZ62" s="608"/>
      <c r="DCA62" s="608"/>
      <c r="DCB62" s="608"/>
      <c r="DCC62" s="608"/>
      <c r="DCD62" s="608"/>
      <c r="DCE62" s="608"/>
      <c r="DCF62" s="608"/>
      <c r="DCG62" s="608"/>
      <c r="DCH62" s="608"/>
      <c r="DCI62" s="608"/>
      <c r="DCJ62" s="608"/>
      <c r="DCK62" s="608"/>
      <c r="DCL62" s="608"/>
      <c r="DCM62" s="608"/>
      <c r="DCN62" s="608"/>
      <c r="DCO62" s="608"/>
      <c r="DCP62" s="608"/>
      <c r="DCQ62" s="608"/>
      <c r="DCR62" s="608"/>
      <c r="DCS62" s="608"/>
      <c r="DCT62" s="608"/>
      <c r="DCU62" s="608"/>
      <c r="DCV62" s="608"/>
      <c r="DCW62" s="608"/>
      <c r="DCX62" s="608"/>
      <c r="DCY62" s="608"/>
      <c r="DCZ62" s="608"/>
      <c r="DDA62" s="608"/>
      <c r="DDB62" s="608"/>
      <c r="DDC62" s="608"/>
      <c r="DDD62" s="608"/>
      <c r="DDE62" s="608"/>
      <c r="DDF62" s="608"/>
      <c r="DDG62" s="608"/>
      <c r="DDH62" s="608"/>
      <c r="DDI62" s="608"/>
      <c r="DDJ62" s="608"/>
      <c r="DDK62" s="608"/>
      <c r="DDL62" s="608"/>
      <c r="DDM62" s="608"/>
      <c r="DDN62" s="608"/>
      <c r="DDO62" s="608"/>
      <c r="DDP62" s="608"/>
      <c r="DDQ62" s="608"/>
      <c r="DDR62" s="608"/>
      <c r="DDS62" s="608"/>
      <c r="DDT62" s="608"/>
      <c r="DDU62" s="608"/>
      <c r="DDV62" s="608"/>
      <c r="DDW62" s="608"/>
      <c r="DDX62" s="608"/>
      <c r="DDY62" s="608"/>
      <c r="DDZ62" s="608"/>
      <c r="DEA62" s="608"/>
      <c r="DEB62" s="608"/>
      <c r="DEC62" s="608"/>
      <c r="DED62" s="608"/>
      <c r="DEE62" s="608"/>
      <c r="DEF62" s="608"/>
      <c r="DEG62" s="608"/>
      <c r="DEH62" s="608"/>
      <c r="DEI62" s="608"/>
      <c r="DEJ62" s="608"/>
      <c r="DEK62" s="608"/>
      <c r="DEL62" s="608"/>
      <c r="DEM62" s="608"/>
      <c r="DEN62" s="608"/>
      <c r="DEO62" s="608"/>
      <c r="DEP62" s="608"/>
      <c r="DEQ62" s="608"/>
      <c r="DER62" s="608"/>
      <c r="DES62" s="608"/>
      <c r="DET62" s="608"/>
      <c r="DEU62" s="608"/>
      <c r="DEV62" s="608"/>
      <c r="DEW62" s="608"/>
      <c r="DEX62" s="608"/>
      <c r="DEY62" s="608"/>
      <c r="DEZ62" s="608"/>
      <c r="DFA62" s="608"/>
      <c r="DFB62" s="608"/>
      <c r="DFC62" s="608"/>
      <c r="DFD62" s="608"/>
      <c r="DFE62" s="608"/>
      <c r="DFF62" s="608"/>
      <c r="DFG62" s="608"/>
      <c r="DFH62" s="608"/>
      <c r="DFI62" s="608"/>
      <c r="DFJ62" s="608"/>
      <c r="DFK62" s="608"/>
      <c r="DFL62" s="608"/>
      <c r="DFM62" s="608"/>
      <c r="DFN62" s="608"/>
      <c r="DFO62" s="608"/>
      <c r="DFP62" s="608"/>
      <c r="DFQ62" s="608"/>
      <c r="DFR62" s="608"/>
      <c r="DFS62" s="608"/>
      <c r="DFT62" s="608"/>
      <c r="DFU62" s="608"/>
      <c r="DFV62" s="608"/>
      <c r="DFW62" s="608"/>
      <c r="DFX62" s="608"/>
      <c r="DFY62" s="608"/>
      <c r="DFZ62" s="608"/>
      <c r="DGA62" s="608"/>
      <c r="DGB62" s="608"/>
      <c r="DGC62" s="608"/>
      <c r="DGD62" s="608"/>
      <c r="DGE62" s="608"/>
      <c r="DGF62" s="608"/>
      <c r="DGG62" s="608"/>
      <c r="DGH62" s="608"/>
      <c r="DGI62" s="608"/>
      <c r="DGJ62" s="608"/>
      <c r="DGK62" s="608"/>
      <c r="DGL62" s="608"/>
      <c r="DGM62" s="608"/>
      <c r="DGN62" s="608"/>
      <c r="DGO62" s="608"/>
      <c r="DGP62" s="608"/>
      <c r="DGQ62" s="608"/>
      <c r="DGR62" s="608"/>
      <c r="DGS62" s="608"/>
      <c r="DGT62" s="608"/>
      <c r="DGU62" s="608"/>
      <c r="DGV62" s="608"/>
      <c r="DGW62" s="608"/>
      <c r="DGX62" s="608"/>
      <c r="DGY62" s="608"/>
      <c r="DGZ62" s="608"/>
      <c r="DHA62" s="608"/>
      <c r="DHB62" s="608"/>
      <c r="DHC62" s="608"/>
      <c r="DHD62" s="608"/>
      <c r="DHE62" s="608"/>
      <c r="DHF62" s="608"/>
      <c r="DHG62" s="608"/>
      <c r="DHH62" s="608"/>
      <c r="DHI62" s="608"/>
      <c r="DHJ62" s="608"/>
      <c r="DHK62" s="608"/>
      <c r="DHL62" s="608"/>
      <c r="DHM62" s="608"/>
      <c r="DHN62" s="608"/>
      <c r="DHO62" s="608"/>
      <c r="DHP62" s="608"/>
      <c r="DHQ62" s="608"/>
      <c r="DHR62" s="608"/>
      <c r="DHS62" s="608"/>
      <c r="DHT62" s="608"/>
      <c r="DHU62" s="608"/>
      <c r="DHV62" s="608"/>
      <c r="DHW62" s="608"/>
      <c r="DHX62" s="608"/>
      <c r="DHY62" s="608"/>
      <c r="DHZ62" s="608"/>
      <c r="DIA62" s="608"/>
      <c r="DIB62" s="608"/>
      <c r="DIC62" s="608"/>
      <c r="DID62" s="608"/>
      <c r="DIE62" s="608"/>
      <c r="DIF62" s="608"/>
      <c r="DIG62" s="608"/>
      <c r="DIH62" s="608"/>
      <c r="DII62" s="608"/>
      <c r="DIJ62" s="608"/>
      <c r="DIK62" s="608"/>
      <c r="DIL62" s="608"/>
      <c r="DIM62" s="608"/>
      <c r="DIN62" s="608"/>
      <c r="DIO62" s="608"/>
      <c r="DIP62" s="608"/>
      <c r="DIQ62" s="608"/>
      <c r="DIR62" s="608"/>
      <c r="DIS62" s="608"/>
      <c r="DIT62" s="608"/>
      <c r="DIU62" s="608"/>
      <c r="DIV62" s="608"/>
      <c r="DIW62" s="608"/>
      <c r="DIX62" s="608"/>
      <c r="DIY62" s="608"/>
      <c r="DIZ62" s="608"/>
      <c r="DJA62" s="608"/>
      <c r="DJB62" s="608"/>
      <c r="DJC62" s="608"/>
      <c r="DJD62" s="608"/>
      <c r="DJE62" s="608"/>
      <c r="DJF62" s="608"/>
      <c r="DJG62" s="608"/>
      <c r="DJH62" s="608"/>
      <c r="DJI62" s="608"/>
      <c r="DJJ62" s="608"/>
      <c r="DJK62" s="608"/>
      <c r="DJL62" s="608"/>
      <c r="DJM62" s="608"/>
      <c r="DJN62" s="608"/>
      <c r="DJO62" s="608"/>
      <c r="DJP62" s="608"/>
      <c r="DJQ62" s="608"/>
      <c r="DJR62" s="608"/>
      <c r="DJS62" s="608"/>
      <c r="DJT62" s="608"/>
      <c r="DJU62" s="608"/>
      <c r="DJV62" s="608"/>
      <c r="DJW62" s="608"/>
      <c r="DJX62" s="608"/>
      <c r="DJY62" s="608"/>
      <c r="DJZ62" s="608"/>
      <c r="DKA62" s="608"/>
      <c r="DKB62" s="608"/>
      <c r="DKC62" s="608"/>
      <c r="DKD62" s="608"/>
      <c r="DKE62" s="608"/>
      <c r="DKF62" s="608"/>
      <c r="DKG62" s="608"/>
      <c r="DKH62" s="608"/>
      <c r="DKI62" s="608"/>
      <c r="DKJ62" s="608"/>
      <c r="DKK62" s="608"/>
      <c r="DKL62" s="608"/>
      <c r="DKM62" s="608"/>
      <c r="DKN62" s="608"/>
      <c r="DKO62" s="608"/>
      <c r="DKP62" s="608"/>
      <c r="DKQ62" s="608"/>
      <c r="DKR62" s="608"/>
      <c r="DKS62" s="608"/>
      <c r="DKT62" s="608"/>
      <c r="DKU62" s="608"/>
      <c r="DKV62" s="608"/>
      <c r="DKW62" s="608"/>
      <c r="DKX62" s="608"/>
      <c r="DKY62" s="608"/>
      <c r="DKZ62" s="608"/>
      <c r="DLA62" s="608"/>
      <c r="DLB62" s="608"/>
      <c r="DLC62" s="608"/>
      <c r="DLD62" s="608"/>
      <c r="DLE62" s="608"/>
      <c r="DLF62" s="608"/>
      <c r="DLG62" s="608"/>
      <c r="DLH62" s="608"/>
      <c r="DLI62" s="608"/>
      <c r="DLJ62" s="608"/>
      <c r="DLK62" s="608"/>
      <c r="DLL62" s="608"/>
      <c r="DLM62" s="608"/>
      <c r="DLN62" s="608"/>
      <c r="DLO62" s="608"/>
      <c r="DLP62" s="608"/>
      <c r="DLQ62" s="608"/>
      <c r="DLR62" s="608"/>
      <c r="DLS62" s="608"/>
      <c r="DLT62" s="608"/>
      <c r="DLU62" s="608"/>
      <c r="DLV62" s="608"/>
      <c r="DLW62" s="608"/>
      <c r="DLX62" s="608"/>
      <c r="DLY62" s="608"/>
      <c r="DLZ62" s="608"/>
      <c r="DMA62" s="608"/>
      <c r="DMB62" s="608"/>
      <c r="DMC62" s="608"/>
      <c r="DMD62" s="608"/>
      <c r="DME62" s="608"/>
      <c r="DMF62" s="608"/>
      <c r="DMG62" s="608"/>
      <c r="DMH62" s="608"/>
      <c r="DMI62" s="608"/>
      <c r="DMJ62" s="608"/>
      <c r="DMK62" s="608"/>
      <c r="DML62" s="608"/>
      <c r="DMM62" s="608"/>
      <c r="DMN62" s="608"/>
      <c r="DMO62" s="608"/>
      <c r="DMP62" s="608"/>
      <c r="DMQ62" s="608"/>
      <c r="DMR62" s="608"/>
      <c r="DMS62" s="608"/>
      <c r="DMT62" s="608"/>
      <c r="DMU62" s="608"/>
      <c r="DMV62" s="608"/>
      <c r="DMW62" s="608"/>
      <c r="DMX62" s="608"/>
      <c r="DMY62" s="608"/>
      <c r="DMZ62" s="608"/>
      <c r="DNA62" s="608"/>
      <c r="DNB62" s="608"/>
      <c r="DNC62" s="608"/>
      <c r="DND62" s="608"/>
      <c r="DNE62" s="608"/>
      <c r="DNF62" s="608"/>
      <c r="DNG62" s="608"/>
      <c r="DNH62" s="608"/>
      <c r="DNI62" s="608"/>
      <c r="DNJ62" s="608"/>
      <c r="DNK62" s="608"/>
      <c r="DNL62" s="608"/>
      <c r="DNM62" s="608"/>
      <c r="DNN62" s="608"/>
      <c r="DNO62" s="608"/>
      <c r="DNP62" s="608"/>
      <c r="DNQ62" s="608"/>
      <c r="DNR62" s="608"/>
      <c r="DNS62" s="608"/>
      <c r="DNT62" s="608"/>
      <c r="DNU62" s="608"/>
      <c r="DNV62" s="608"/>
      <c r="DNW62" s="608"/>
      <c r="DNX62" s="608"/>
      <c r="DNY62" s="608"/>
      <c r="DNZ62" s="608"/>
      <c r="DOA62" s="608"/>
      <c r="DOB62" s="608"/>
      <c r="DOC62" s="608"/>
      <c r="DOD62" s="608"/>
      <c r="DOE62" s="608"/>
      <c r="DOF62" s="608"/>
      <c r="DOG62" s="608"/>
      <c r="DOH62" s="608"/>
      <c r="DOI62" s="608"/>
      <c r="DOJ62" s="608"/>
      <c r="DOK62" s="608"/>
      <c r="DOL62" s="608"/>
      <c r="DOM62" s="608"/>
      <c r="DON62" s="608"/>
      <c r="DOO62" s="608"/>
      <c r="DOP62" s="608"/>
      <c r="DOQ62" s="608"/>
      <c r="DOR62" s="608"/>
      <c r="DOS62" s="608"/>
      <c r="DOT62" s="608"/>
      <c r="DOU62" s="608"/>
      <c r="DOV62" s="608"/>
      <c r="DOW62" s="608"/>
      <c r="DOX62" s="608"/>
      <c r="DOY62" s="608"/>
      <c r="DOZ62" s="608"/>
      <c r="DPA62" s="608"/>
      <c r="DPB62" s="608"/>
      <c r="DPC62" s="608"/>
      <c r="DPD62" s="608"/>
      <c r="DPE62" s="608"/>
      <c r="DPF62" s="608"/>
      <c r="DPG62" s="608"/>
      <c r="DPH62" s="608"/>
      <c r="DPI62" s="608"/>
      <c r="DPJ62" s="608"/>
      <c r="DPK62" s="608"/>
      <c r="DPL62" s="608"/>
      <c r="DPM62" s="608"/>
      <c r="DPN62" s="608"/>
      <c r="DPO62" s="608"/>
      <c r="DPP62" s="608"/>
      <c r="DPQ62" s="608"/>
      <c r="DPR62" s="608"/>
      <c r="DPS62" s="608"/>
      <c r="DPT62" s="608"/>
      <c r="DPU62" s="608"/>
      <c r="DPV62" s="608"/>
      <c r="DPW62" s="608"/>
      <c r="DPX62" s="608"/>
      <c r="DPY62" s="608"/>
      <c r="DPZ62" s="608"/>
      <c r="DQA62" s="608"/>
      <c r="DQB62" s="608"/>
      <c r="DQC62" s="608"/>
      <c r="DQD62" s="608"/>
      <c r="DQE62" s="608"/>
      <c r="DQF62" s="608"/>
      <c r="DQG62" s="608"/>
      <c r="DQH62" s="608"/>
      <c r="DQI62" s="608"/>
      <c r="DQJ62" s="608"/>
      <c r="DQK62" s="608"/>
      <c r="DQL62" s="608"/>
      <c r="DQM62" s="608"/>
      <c r="DQN62" s="608"/>
      <c r="DQO62" s="608"/>
      <c r="DQP62" s="608"/>
      <c r="DQQ62" s="608"/>
      <c r="DQR62" s="608"/>
      <c r="DQS62" s="608"/>
      <c r="DQT62" s="608"/>
      <c r="DQU62" s="608"/>
      <c r="DQV62" s="608"/>
      <c r="DQW62" s="608"/>
      <c r="DQX62" s="608"/>
      <c r="DQY62" s="608"/>
      <c r="DQZ62" s="608"/>
      <c r="DRA62" s="608"/>
      <c r="DRB62" s="608"/>
      <c r="DRC62" s="608"/>
      <c r="DRD62" s="608"/>
      <c r="DRE62" s="608"/>
      <c r="DRF62" s="608"/>
      <c r="DRG62" s="608"/>
      <c r="DRH62" s="608"/>
      <c r="DRI62" s="608"/>
      <c r="DRJ62" s="608"/>
      <c r="DRK62" s="608"/>
      <c r="DRL62" s="608"/>
      <c r="DRM62" s="608"/>
      <c r="DRN62" s="608"/>
      <c r="DRO62" s="608"/>
      <c r="DRP62" s="608"/>
      <c r="DRQ62" s="608"/>
      <c r="DRR62" s="608"/>
      <c r="DRS62" s="608"/>
      <c r="DRT62" s="608"/>
      <c r="DRU62" s="608"/>
      <c r="DRV62" s="608"/>
      <c r="DRW62" s="608"/>
      <c r="DRX62" s="608"/>
      <c r="DRY62" s="608"/>
      <c r="DRZ62" s="608"/>
      <c r="DSA62" s="608"/>
      <c r="DSB62" s="608"/>
      <c r="DSC62" s="608"/>
      <c r="DSD62" s="608"/>
      <c r="DSE62" s="608"/>
      <c r="DSF62" s="608"/>
      <c r="DSG62" s="608"/>
      <c r="DSH62" s="608"/>
      <c r="DSI62" s="608"/>
      <c r="DSJ62" s="608"/>
      <c r="DSK62" s="608"/>
      <c r="DSL62" s="608"/>
      <c r="DSM62" s="608"/>
      <c r="DSN62" s="608"/>
      <c r="DSO62" s="608"/>
      <c r="DSP62" s="608"/>
      <c r="DSQ62" s="608"/>
      <c r="DSR62" s="608"/>
      <c r="DSS62" s="608"/>
      <c r="DST62" s="608"/>
      <c r="DSU62" s="608"/>
      <c r="DSV62" s="608"/>
      <c r="DSW62" s="608"/>
      <c r="DSX62" s="608"/>
      <c r="DSY62" s="608"/>
      <c r="DSZ62" s="608"/>
      <c r="DTA62" s="608"/>
      <c r="DTB62" s="608"/>
      <c r="DTC62" s="608"/>
      <c r="DTD62" s="608"/>
      <c r="DTE62" s="608"/>
      <c r="DTF62" s="608"/>
      <c r="DTG62" s="608"/>
      <c r="DTH62" s="608"/>
      <c r="DTI62" s="608"/>
      <c r="DTJ62" s="608"/>
      <c r="DTK62" s="608"/>
      <c r="DTL62" s="608"/>
      <c r="DTM62" s="608"/>
      <c r="DTN62" s="608"/>
      <c r="DTO62" s="608"/>
      <c r="DTP62" s="608"/>
      <c r="DTQ62" s="608"/>
      <c r="DTR62" s="608"/>
      <c r="DTS62" s="608"/>
      <c r="DTT62" s="608"/>
      <c r="DTU62" s="608"/>
      <c r="DTV62" s="608"/>
      <c r="DTW62" s="608"/>
      <c r="DTX62" s="608"/>
      <c r="DTY62" s="608"/>
      <c r="DTZ62" s="608"/>
      <c r="DUA62" s="608"/>
      <c r="DUB62" s="608"/>
      <c r="DUC62" s="608"/>
      <c r="DUD62" s="608"/>
      <c r="DUE62" s="608"/>
      <c r="DUF62" s="608"/>
      <c r="DUG62" s="608"/>
      <c r="DUH62" s="608"/>
      <c r="DUI62" s="608"/>
      <c r="DUJ62" s="608"/>
      <c r="DUK62" s="608"/>
      <c r="DUL62" s="608"/>
      <c r="DUM62" s="608"/>
      <c r="DUN62" s="608"/>
      <c r="DUO62" s="608"/>
      <c r="DUP62" s="608"/>
      <c r="DUQ62" s="608"/>
      <c r="DUR62" s="608"/>
      <c r="DUS62" s="608"/>
      <c r="DUT62" s="608"/>
      <c r="DUU62" s="608"/>
      <c r="DUV62" s="608"/>
      <c r="DUW62" s="608"/>
      <c r="DUX62" s="608"/>
      <c r="DUY62" s="608"/>
      <c r="DUZ62" s="608"/>
      <c r="DVA62" s="608"/>
      <c r="DVB62" s="608"/>
      <c r="DVC62" s="608"/>
      <c r="DVD62" s="608"/>
      <c r="DVE62" s="608"/>
      <c r="DVF62" s="608"/>
      <c r="DVG62" s="608"/>
      <c r="DVH62" s="608"/>
      <c r="DVI62" s="608"/>
      <c r="DVJ62" s="608"/>
      <c r="DVK62" s="608"/>
      <c r="DVL62" s="608"/>
      <c r="DVM62" s="608"/>
      <c r="DVN62" s="608"/>
      <c r="DVO62" s="608"/>
      <c r="DVP62" s="608"/>
      <c r="DVQ62" s="608"/>
      <c r="DVR62" s="608"/>
      <c r="DVS62" s="608"/>
      <c r="DVT62" s="608"/>
      <c r="DVU62" s="608"/>
      <c r="DVV62" s="608"/>
      <c r="DVW62" s="608"/>
      <c r="DVX62" s="608"/>
      <c r="DVY62" s="608"/>
      <c r="DVZ62" s="608"/>
      <c r="DWA62" s="608"/>
      <c r="DWB62" s="608"/>
      <c r="DWC62" s="608"/>
      <c r="DWD62" s="608"/>
      <c r="DWE62" s="608"/>
      <c r="DWF62" s="608"/>
      <c r="DWG62" s="608"/>
      <c r="DWH62" s="608"/>
      <c r="DWI62" s="608"/>
      <c r="DWJ62" s="608"/>
      <c r="DWK62" s="608"/>
      <c r="DWL62" s="608"/>
      <c r="DWM62" s="608"/>
      <c r="DWN62" s="608"/>
      <c r="DWO62" s="608"/>
      <c r="DWP62" s="608"/>
      <c r="DWQ62" s="608"/>
      <c r="DWR62" s="608"/>
      <c r="DWS62" s="608"/>
      <c r="DWT62" s="608"/>
      <c r="DWU62" s="608"/>
      <c r="DWV62" s="608"/>
      <c r="DWW62" s="608"/>
      <c r="DWX62" s="608"/>
      <c r="DWY62" s="608"/>
      <c r="DWZ62" s="608"/>
      <c r="DXA62" s="608"/>
      <c r="DXB62" s="608"/>
      <c r="DXC62" s="608"/>
      <c r="DXD62" s="608"/>
      <c r="DXE62" s="608"/>
      <c r="DXF62" s="608"/>
      <c r="DXG62" s="608"/>
      <c r="DXH62" s="608"/>
      <c r="DXI62" s="608"/>
      <c r="DXJ62" s="608"/>
      <c r="DXK62" s="608"/>
      <c r="DXL62" s="608"/>
      <c r="DXM62" s="608"/>
      <c r="DXN62" s="608"/>
      <c r="DXO62" s="608"/>
      <c r="DXP62" s="608"/>
      <c r="DXQ62" s="608"/>
      <c r="DXR62" s="608"/>
      <c r="DXS62" s="608"/>
      <c r="DXT62" s="608"/>
      <c r="DXU62" s="608"/>
      <c r="DXV62" s="608"/>
      <c r="DXW62" s="608"/>
      <c r="DXX62" s="608"/>
      <c r="DXY62" s="608"/>
      <c r="DXZ62" s="608"/>
      <c r="DYA62" s="608"/>
      <c r="DYB62" s="608"/>
      <c r="DYC62" s="608"/>
      <c r="DYD62" s="608"/>
      <c r="DYE62" s="608"/>
      <c r="DYF62" s="608"/>
      <c r="DYG62" s="608"/>
      <c r="DYH62" s="608"/>
      <c r="DYI62" s="608"/>
      <c r="DYJ62" s="608"/>
      <c r="DYK62" s="608"/>
      <c r="DYL62" s="608"/>
      <c r="DYM62" s="608"/>
      <c r="DYN62" s="608"/>
      <c r="DYO62" s="608"/>
      <c r="DYP62" s="608"/>
      <c r="DYQ62" s="608"/>
      <c r="DYR62" s="608"/>
      <c r="DYS62" s="608"/>
      <c r="DYT62" s="608"/>
      <c r="DYU62" s="608"/>
      <c r="DYV62" s="608"/>
      <c r="DYW62" s="608"/>
      <c r="DYX62" s="608"/>
      <c r="DYY62" s="608"/>
      <c r="DYZ62" s="608"/>
      <c r="DZA62" s="608"/>
      <c r="DZB62" s="608"/>
      <c r="DZC62" s="608"/>
      <c r="DZD62" s="608"/>
      <c r="DZE62" s="608"/>
      <c r="DZF62" s="608"/>
      <c r="DZG62" s="608"/>
      <c r="DZH62" s="608"/>
      <c r="DZI62" s="608"/>
      <c r="DZJ62" s="608"/>
      <c r="DZK62" s="608"/>
      <c r="DZL62" s="608"/>
      <c r="DZM62" s="608"/>
      <c r="DZN62" s="608"/>
      <c r="DZO62" s="608"/>
      <c r="DZP62" s="608"/>
      <c r="DZQ62" s="608"/>
      <c r="DZR62" s="608"/>
      <c r="DZS62" s="608"/>
      <c r="DZT62" s="608"/>
      <c r="DZU62" s="608"/>
      <c r="DZV62" s="608"/>
      <c r="DZW62" s="608"/>
      <c r="DZX62" s="608"/>
      <c r="DZY62" s="608"/>
      <c r="DZZ62" s="608"/>
      <c r="EAA62" s="608"/>
      <c r="EAB62" s="608"/>
      <c r="EAC62" s="608"/>
      <c r="EAD62" s="608"/>
      <c r="EAE62" s="608"/>
      <c r="EAF62" s="608"/>
      <c r="EAG62" s="608"/>
      <c r="EAH62" s="608"/>
      <c r="EAI62" s="608"/>
      <c r="EAJ62" s="608"/>
      <c r="EAK62" s="608"/>
      <c r="EAL62" s="608"/>
      <c r="EAM62" s="608"/>
      <c r="EAN62" s="608"/>
      <c r="EAO62" s="608"/>
      <c r="EAP62" s="608"/>
      <c r="EAQ62" s="608"/>
      <c r="EAR62" s="608"/>
      <c r="EAS62" s="608"/>
      <c r="EAT62" s="608"/>
      <c r="EAU62" s="608"/>
      <c r="EAV62" s="608"/>
      <c r="EAW62" s="608"/>
      <c r="EAX62" s="608"/>
      <c r="EAY62" s="608"/>
      <c r="EAZ62" s="608"/>
      <c r="EBA62" s="608"/>
      <c r="EBB62" s="608"/>
      <c r="EBC62" s="608"/>
      <c r="EBD62" s="608"/>
      <c r="EBE62" s="608"/>
      <c r="EBF62" s="608"/>
      <c r="EBG62" s="608"/>
      <c r="EBH62" s="608"/>
      <c r="EBI62" s="608"/>
      <c r="EBJ62" s="608"/>
      <c r="EBK62" s="608"/>
      <c r="EBL62" s="608"/>
      <c r="EBM62" s="608"/>
      <c r="EBN62" s="608"/>
      <c r="EBO62" s="608"/>
      <c r="EBP62" s="608"/>
      <c r="EBQ62" s="608"/>
      <c r="EBR62" s="608"/>
      <c r="EBS62" s="608"/>
      <c r="EBT62" s="608"/>
      <c r="EBU62" s="608"/>
      <c r="EBV62" s="608"/>
      <c r="EBW62" s="608"/>
      <c r="EBX62" s="608"/>
      <c r="EBY62" s="608"/>
      <c r="EBZ62" s="608"/>
      <c r="ECA62" s="608"/>
      <c r="ECB62" s="608"/>
      <c r="ECC62" s="608"/>
      <c r="ECD62" s="608"/>
      <c r="ECE62" s="608"/>
      <c r="ECF62" s="608"/>
      <c r="ECG62" s="608"/>
      <c r="ECH62" s="608"/>
      <c r="ECI62" s="608"/>
      <c r="ECJ62" s="608"/>
      <c r="ECK62" s="608"/>
      <c r="ECL62" s="608"/>
      <c r="ECM62" s="608"/>
      <c r="ECN62" s="608"/>
      <c r="ECO62" s="608"/>
      <c r="ECP62" s="608"/>
      <c r="ECQ62" s="608"/>
      <c r="ECR62" s="608"/>
      <c r="ECS62" s="608"/>
      <c r="ECT62" s="608"/>
      <c r="ECU62" s="608"/>
      <c r="ECV62" s="608"/>
      <c r="ECW62" s="608"/>
      <c r="ECX62" s="608"/>
      <c r="ECY62" s="608"/>
      <c r="ECZ62" s="608"/>
      <c r="EDA62" s="608"/>
      <c r="EDB62" s="608"/>
      <c r="EDC62" s="608"/>
      <c r="EDD62" s="608"/>
      <c r="EDE62" s="608"/>
      <c r="EDF62" s="608"/>
      <c r="EDG62" s="608"/>
      <c r="EDH62" s="608"/>
      <c r="EDI62" s="608"/>
      <c r="EDJ62" s="608"/>
      <c r="EDK62" s="608"/>
      <c r="EDL62" s="608"/>
      <c r="EDM62" s="608"/>
      <c r="EDN62" s="608"/>
      <c r="EDO62" s="608"/>
      <c r="EDP62" s="608"/>
      <c r="EDQ62" s="608"/>
      <c r="EDR62" s="608"/>
      <c r="EDS62" s="608"/>
      <c r="EDT62" s="608"/>
      <c r="EDU62" s="608"/>
      <c r="EDV62" s="608"/>
      <c r="EDW62" s="608"/>
      <c r="EDX62" s="608"/>
      <c r="EDY62" s="608"/>
      <c r="EDZ62" s="608"/>
      <c r="EEA62" s="608"/>
      <c r="EEB62" s="608"/>
      <c r="EEC62" s="608"/>
      <c r="EED62" s="608"/>
      <c r="EEE62" s="608"/>
      <c r="EEF62" s="608"/>
      <c r="EEG62" s="608"/>
      <c r="EEH62" s="608"/>
      <c r="EEI62" s="608"/>
      <c r="EEJ62" s="608"/>
      <c r="EEK62" s="608"/>
      <c r="EEL62" s="608"/>
      <c r="EEM62" s="608"/>
      <c r="EEN62" s="608"/>
      <c r="EEO62" s="608"/>
      <c r="EEP62" s="608"/>
      <c r="EEQ62" s="608"/>
      <c r="EER62" s="608"/>
      <c r="EES62" s="608"/>
      <c r="EET62" s="608"/>
      <c r="EEU62" s="608"/>
      <c r="EEV62" s="608"/>
      <c r="EEW62" s="608"/>
      <c r="EEX62" s="608"/>
      <c r="EEY62" s="608"/>
      <c r="EEZ62" s="608"/>
      <c r="EFA62" s="608"/>
      <c r="EFB62" s="608"/>
      <c r="EFC62" s="608"/>
      <c r="EFD62" s="608"/>
      <c r="EFE62" s="608"/>
      <c r="EFF62" s="608"/>
      <c r="EFG62" s="608"/>
      <c r="EFH62" s="608"/>
      <c r="EFI62" s="608"/>
      <c r="EFJ62" s="608"/>
      <c r="EFK62" s="608"/>
      <c r="EFL62" s="608"/>
      <c r="EFM62" s="608"/>
      <c r="EFN62" s="608"/>
      <c r="EFO62" s="608"/>
      <c r="EFP62" s="608"/>
      <c r="EFQ62" s="608"/>
      <c r="EFR62" s="608"/>
      <c r="EFS62" s="608"/>
      <c r="EFT62" s="608"/>
      <c r="EFU62" s="608"/>
      <c r="EFV62" s="608"/>
      <c r="EFW62" s="608"/>
      <c r="EFX62" s="608"/>
      <c r="EFY62" s="608"/>
      <c r="EFZ62" s="608"/>
      <c r="EGA62" s="608"/>
      <c r="EGB62" s="608"/>
      <c r="EGC62" s="608"/>
      <c r="EGD62" s="608"/>
      <c r="EGE62" s="608"/>
      <c r="EGF62" s="608"/>
      <c r="EGG62" s="608"/>
      <c r="EGH62" s="608"/>
      <c r="EGI62" s="608"/>
      <c r="EGJ62" s="608"/>
      <c r="EGK62" s="608"/>
      <c r="EGL62" s="608"/>
      <c r="EGM62" s="608"/>
      <c r="EGN62" s="608"/>
      <c r="EGO62" s="608"/>
      <c r="EGP62" s="608"/>
      <c r="EGQ62" s="608"/>
      <c r="EGR62" s="608"/>
      <c r="EGS62" s="608"/>
      <c r="EGT62" s="608"/>
      <c r="EGU62" s="608"/>
      <c r="EGV62" s="608"/>
      <c r="EGW62" s="608"/>
      <c r="EGX62" s="608"/>
      <c r="EGY62" s="608"/>
      <c r="EGZ62" s="608"/>
      <c r="EHA62" s="608"/>
      <c r="EHB62" s="608"/>
      <c r="EHC62" s="608"/>
      <c r="EHD62" s="608"/>
      <c r="EHE62" s="608"/>
      <c r="EHF62" s="608"/>
      <c r="EHG62" s="608"/>
      <c r="EHH62" s="608"/>
      <c r="EHI62" s="608"/>
      <c r="EHJ62" s="608"/>
      <c r="EHK62" s="608"/>
      <c r="EHL62" s="608"/>
      <c r="EHM62" s="608"/>
      <c r="EHN62" s="608"/>
      <c r="EHO62" s="608"/>
      <c r="EHP62" s="608"/>
      <c r="EHQ62" s="608"/>
      <c r="EHR62" s="608"/>
      <c r="EHS62" s="608"/>
      <c r="EHT62" s="608"/>
      <c r="EHU62" s="608"/>
      <c r="EHV62" s="608"/>
      <c r="EHW62" s="608"/>
      <c r="EHX62" s="608"/>
      <c r="EHY62" s="608"/>
      <c r="EHZ62" s="608"/>
      <c r="EIA62" s="608"/>
      <c r="EIB62" s="608"/>
      <c r="EIC62" s="608"/>
      <c r="EID62" s="608"/>
      <c r="EIE62" s="608"/>
      <c r="EIF62" s="608"/>
      <c r="EIG62" s="608"/>
      <c r="EIH62" s="608"/>
      <c r="EII62" s="608"/>
      <c r="EIJ62" s="608"/>
      <c r="EIK62" s="608"/>
      <c r="EIL62" s="608"/>
      <c r="EIM62" s="608"/>
      <c r="EIN62" s="608"/>
      <c r="EIO62" s="608"/>
      <c r="EIP62" s="608"/>
      <c r="EIQ62" s="608"/>
      <c r="EIR62" s="608"/>
      <c r="EIS62" s="608"/>
      <c r="EIT62" s="608"/>
      <c r="EIU62" s="608"/>
      <c r="EIV62" s="608"/>
      <c r="EIW62" s="608"/>
      <c r="EIX62" s="608"/>
      <c r="EIY62" s="608"/>
      <c r="EIZ62" s="608"/>
      <c r="EJA62" s="608"/>
      <c r="EJB62" s="608"/>
      <c r="EJC62" s="608"/>
      <c r="EJD62" s="608"/>
      <c r="EJE62" s="608"/>
      <c r="EJF62" s="608"/>
      <c r="EJG62" s="608"/>
      <c r="EJH62" s="608"/>
      <c r="EJI62" s="608"/>
      <c r="EJJ62" s="608"/>
      <c r="EJK62" s="608"/>
      <c r="EJL62" s="608"/>
      <c r="EJM62" s="608"/>
      <c r="EJN62" s="608"/>
      <c r="EJO62" s="608"/>
      <c r="EJP62" s="608"/>
      <c r="EJQ62" s="608"/>
      <c r="EJR62" s="608"/>
      <c r="EJS62" s="608"/>
      <c r="EJT62" s="608"/>
      <c r="EJU62" s="608"/>
      <c r="EJV62" s="608"/>
      <c r="EJW62" s="608"/>
      <c r="EJX62" s="608"/>
      <c r="EJY62" s="608"/>
      <c r="EJZ62" s="608"/>
      <c r="EKA62" s="608"/>
      <c r="EKB62" s="608"/>
      <c r="EKC62" s="608"/>
      <c r="EKD62" s="608"/>
      <c r="EKE62" s="608"/>
      <c r="EKF62" s="608"/>
      <c r="EKG62" s="608"/>
      <c r="EKH62" s="608"/>
      <c r="EKI62" s="608"/>
      <c r="EKJ62" s="608"/>
      <c r="EKK62" s="608"/>
      <c r="EKL62" s="608"/>
      <c r="EKM62" s="608"/>
      <c r="EKN62" s="608"/>
      <c r="EKO62" s="608"/>
      <c r="EKP62" s="608"/>
      <c r="EKQ62" s="608"/>
      <c r="EKR62" s="608"/>
      <c r="EKS62" s="608"/>
      <c r="EKT62" s="608"/>
      <c r="EKU62" s="608"/>
      <c r="EKV62" s="608"/>
      <c r="EKW62" s="608"/>
      <c r="EKX62" s="608"/>
      <c r="EKY62" s="608"/>
      <c r="EKZ62" s="608"/>
      <c r="ELA62" s="608"/>
      <c r="ELB62" s="608"/>
      <c r="ELC62" s="608"/>
      <c r="ELD62" s="608"/>
      <c r="ELE62" s="608"/>
      <c r="ELF62" s="608"/>
      <c r="ELG62" s="608"/>
      <c r="ELH62" s="608"/>
      <c r="ELI62" s="608"/>
      <c r="ELJ62" s="608"/>
      <c r="ELK62" s="608"/>
      <c r="ELL62" s="608"/>
      <c r="ELM62" s="608"/>
      <c r="ELN62" s="608"/>
      <c r="ELO62" s="608"/>
      <c r="ELP62" s="608"/>
      <c r="ELQ62" s="608"/>
      <c r="ELR62" s="608"/>
      <c r="ELS62" s="608"/>
      <c r="ELT62" s="608"/>
      <c r="ELU62" s="608"/>
      <c r="ELV62" s="608"/>
      <c r="ELW62" s="608"/>
      <c r="ELX62" s="608"/>
      <c r="ELY62" s="608"/>
      <c r="ELZ62" s="608"/>
      <c r="EMA62" s="608"/>
      <c r="EMB62" s="608"/>
      <c r="EMC62" s="608"/>
      <c r="EMD62" s="608"/>
      <c r="EME62" s="608"/>
      <c r="EMF62" s="608"/>
      <c r="EMG62" s="608"/>
      <c r="EMH62" s="608"/>
      <c r="EMI62" s="608"/>
      <c r="EMJ62" s="608"/>
      <c r="EMK62" s="608"/>
      <c r="EML62" s="608"/>
      <c r="EMM62" s="608"/>
      <c r="EMN62" s="608"/>
      <c r="EMO62" s="608"/>
      <c r="EMP62" s="608"/>
      <c r="EMQ62" s="608"/>
      <c r="EMR62" s="608"/>
      <c r="EMS62" s="608"/>
      <c r="EMT62" s="608"/>
      <c r="EMU62" s="608"/>
      <c r="EMV62" s="608"/>
      <c r="EMW62" s="608"/>
      <c r="EMX62" s="608"/>
      <c r="EMY62" s="608"/>
      <c r="EMZ62" s="608"/>
      <c r="ENA62" s="608"/>
      <c r="ENB62" s="608"/>
      <c r="ENC62" s="608"/>
      <c r="END62" s="608"/>
      <c r="ENE62" s="608"/>
      <c r="ENF62" s="608"/>
      <c r="ENG62" s="608"/>
      <c r="ENH62" s="608"/>
      <c r="ENI62" s="608"/>
      <c r="ENJ62" s="608"/>
      <c r="ENK62" s="608"/>
      <c r="ENL62" s="608"/>
      <c r="ENM62" s="608"/>
      <c r="ENN62" s="608"/>
      <c r="ENO62" s="608"/>
      <c r="ENP62" s="608"/>
      <c r="ENQ62" s="608"/>
      <c r="ENR62" s="608"/>
      <c r="ENS62" s="608"/>
      <c r="ENT62" s="608"/>
      <c r="ENU62" s="608"/>
      <c r="ENV62" s="608"/>
      <c r="ENW62" s="608"/>
      <c r="ENX62" s="608"/>
      <c r="ENY62" s="608"/>
      <c r="ENZ62" s="608"/>
      <c r="EOA62" s="608"/>
      <c r="EOB62" s="608"/>
      <c r="EOC62" s="608"/>
      <c r="EOD62" s="608"/>
      <c r="EOE62" s="608"/>
      <c r="EOF62" s="608"/>
      <c r="EOG62" s="608"/>
      <c r="EOH62" s="608"/>
      <c r="EOI62" s="608"/>
      <c r="EOJ62" s="608"/>
      <c r="EOK62" s="608"/>
      <c r="EOL62" s="608"/>
      <c r="EOM62" s="608"/>
      <c r="EON62" s="608"/>
      <c r="EOO62" s="608"/>
      <c r="EOP62" s="608"/>
      <c r="EOQ62" s="608"/>
      <c r="EOR62" s="608"/>
      <c r="EOS62" s="608"/>
      <c r="EOT62" s="608"/>
      <c r="EOU62" s="608"/>
      <c r="EOV62" s="608"/>
      <c r="EOW62" s="608"/>
      <c r="EOX62" s="608"/>
      <c r="EOY62" s="608"/>
      <c r="EOZ62" s="608"/>
      <c r="EPA62" s="608"/>
      <c r="EPB62" s="608"/>
      <c r="EPC62" s="608"/>
      <c r="EPD62" s="608"/>
      <c r="EPE62" s="608"/>
      <c r="EPF62" s="608"/>
      <c r="EPG62" s="608"/>
      <c r="EPH62" s="608"/>
      <c r="EPI62" s="608"/>
      <c r="EPJ62" s="608"/>
      <c r="EPK62" s="608"/>
      <c r="EPL62" s="608"/>
      <c r="EPM62" s="608"/>
      <c r="EPN62" s="608"/>
      <c r="EPO62" s="608"/>
      <c r="EPP62" s="608"/>
      <c r="EPQ62" s="608"/>
      <c r="EPR62" s="608"/>
      <c r="EPS62" s="608"/>
      <c r="EPT62" s="608"/>
      <c r="EPU62" s="608"/>
      <c r="EPV62" s="608"/>
      <c r="EPW62" s="608"/>
      <c r="EPX62" s="608"/>
      <c r="EPY62" s="608"/>
      <c r="EPZ62" s="608"/>
      <c r="EQA62" s="608"/>
      <c r="EQB62" s="608"/>
      <c r="EQC62" s="608"/>
      <c r="EQD62" s="608"/>
      <c r="EQE62" s="608"/>
      <c r="EQF62" s="608"/>
      <c r="EQG62" s="608"/>
      <c r="EQH62" s="608"/>
      <c r="EQI62" s="608"/>
      <c r="EQJ62" s="608"/>
      <c r="EQK62" s="608"/>
      <c r="EQL62" s="608"/>
      <c r="EQM62" s="608"/>
      <c r="EQN62" s="608"/>
      <c r="EQO62" s="608"/>
      <c r="EQP62" s="608"/>
      <c r="EQQ62" s="608"/>
      <c r="EQR62" s="608"/>
      <c r="EQS62" s="608"/>
      <c r="EQT62" s="608"/>
      <c r="EQU62" s="608"/>
      <c r="EQV62" s="608"/>
      <c r="EQW62" s="608"/>
      <c r="EQX62" s="608"/>
      <c r="EQY62" s="608"/>
      <c r="EQZ62" s="608"/>
      <c r="ERA62" s="608"/>
      <c r="ERB62" s="608"/>
      <c r="ERC62" s="608"/>
      <c r="ERD62" s="608"/>
      <c r="ERE62" s="608"/>
      <c r="ERF62" s="608"/>
      <c r="ERG62" s="608"/>
      <c r="ERH62" s="608"/>
      <c r="ERI62" s="608"/>
      <c r="ERJ62" s="608"/>
      <c r="ERK62" s="608"/>
      <c r="ERL62" s="608"/>
      <c r="ERM62" s="608"/>
      <c r="ERN62" s="608"/>
      <c r="ERO62" s="608"/>
      <c r="ERP62" s="608"/>
      <c r="ERQ62" s="608"/>
      <c r="ERR62" s="608"/>
      <c r="ERS62" s="608"/>
      <c r="ERT62" s="608"/>
      <c r="ERU62" s="608"/>
      <c r="ERV62" s="608"/>
      <c r="ERW62" s="608"/>
      <c r="ERX62" s="608"/>
      <c r="ERY62" s="608"/>
      <c r="ERZ62" s="608"/>
      <c r="ESA62" s="608"/>
      <c r="ESB62" s="608"/>
      <c r="ESC62" s="608"/>
      <c r="ESD62" s="608"/>
      <c r="ESE62" s="608"/>
      <c r="ESF62" s="608"/>
      <c r="ESG62" s="608"/>
      <c r="ESH62" s="608"/>
      <c r="ESI62" s="608"/>
      <c r="ESJ62" s="608"/>
      <c r="ESK62" s="608"/>
      <c r="ESL62" s="608"/>
      <c r="ESM62" s="608"/>
      <c r="ESN62" s="608"/>
      <c r="ESO62" s="608"/>
      <c r="ESP62" s="608"/>
      <c r="ESQ62" s="608"/>
      <c r="ESR62" s="608"/>
      <c r="ESS62" s="608"/>
      <c r="EST62" s="608"/>
      <c r="ESU62" s="608"/>
      <c r="ESV62" s="608"/>
      <c r="ESW62" s="608"/>
      <c r="ESX62" s="608"/>
      <c r="ESY62" s="608"/>
      <c r="ESZ62" s="608"/>
      <c r="ETA62" s="608"/>
      <c r="ETB62" s="608"/>
      <c r="ETC62" s="608"/>
      <c r="ETD62" s="608"/>
      <c r="ETE62" s="608"/>
      <c r="ETF62" s="608"/>
      <c r="ETG62" s="608"/>
      <c r="ETH62" s="608"/>
      <c r="ETI62" s="608"/>
      <c r="ETJ62" s="608"/>
      <c r="ETK62" s="608"/>
      <c r="ETL62" s="608"/>
      <c r="ETM62" s="608"/>
      <c r="ETN62" s="608"/>
      <c r="ETO62" s="608"/>
      <c r="ETP62" s="608"/>
      <c r="ETQ62" s="608"/>
      <c r="ETR62" s="608"/>
      <c r="ETS62" s="608"/>
      <c r="ETT62" s="608"/>
      <c r="ETU62" s="608"/>
      <c r="ETV62" s="608"/>
      <c r="ETW62" s="608"/>
      <c r="ETX62" s="608"/>
      <c r="ETY62" s="608"/>
      <c r="ETZ62" s="608"/>
      <c r="EUA62" s="608"/>
      <c r="EUB62" s="608"/>
      <c r="EUC62" s="608"/>
      <c r="EUD62" s="608"/>
      <c r="EUE62" s="608"/>
      <c r="EUF62" s="608"/>
      <c r="EUG62" s="608"/>
      <c r="EUH62" s="608"/>
      <c r="EUI62" s="608"/>
      <c r="EUJ62" s="608"/>
      <c r="EUK62" s="608"/>
      <c r="EUL62" s="608"/>
      <c r="EUM62" s="608"/>
      <c r="EUN62" s="608"/>
      <c r="EUO62" s="608"/>
      <c r="EUP62" s="608"/>
      <c r="EUQ62" s="608"/>
      <c r="EUR62" s="608"/>
      <c r="EUS62" s="608"/>
      <c r="EUT62" s="608"/>
      <c r="EUU62" s="608"/>
      <c r="EUV62" s="608"/>
      <c r="EUW62" s="608"/>
      <c r="EUX62" s="608"/>
      <c r="EUY62" s="608"/>
      <c r="EUZ62" s="608"/>
      <c r="EVA62" s="608"/>
      <c r="EVB62" s="608"/>
      <c r="EVC62" s="608"/>
      <c r="EVD62" s="608"/>
      <c r="EVE62" s="608"/>
      <c r="EVF62" s="608"/>
      <c r="EVG62" s="608"/>
      <c r="EVH62" s="608"/>
      <c r="EVI62" s="608"/>
      <c r="EVJ62" s="608"/>
      <c r="EVK62" s="608"/>
      <c r="EVL62" s="608"/>
      <c r="EVM62" s="608"/>
      <c r="EVN62" s="608"/>
      <c r="EVO62" s="608"/>
      <c r="EVP62" s="608"/>
      <c r="EVQ62" s="608"/>
      <c r="EVR62" s="608"/>
      <c r="EVS62" s="608"/>
      <c r="EVT62" s="608"/>
      <c r="EVU62" s="608"/>
      <c r="EVV62" s="608"/>
      <c r="EVW62" s="608"/>
      <c r="EVX62" s="608"/>
      <c r="EVY62" s="608"/>
      <c r="EVZ62" s="608"/>
      <c r="EWA62" s="608"/>
      <c r="EWB62" s="608"/>
      <c r="EWC62" s="608"/>
      <c r="EWD62" s="608"/>
      <c r="EWE62" s="608"/>
      <c r="EWF62" s="608"/>
      <c r="EWG62" s="608"/>
      <c r="EWH62" s="608"/>
      <c r="EWI62" s="608"/>
      <c r="EWJ62" s="608"/>
      <c r="EWK62" s="608"/>
      <c r="EWL62" s="608"/>
      <c r="EWM62" s="608"/>
      <c r="EWN62" s="608"/>
      <c r="EWO62" s="608"/>
      <c r="EWP62" s="608"/>
      <c r="EWQ62" s="608"/>
      <c r="EWR62" s="608"/>
      <c r="EWS62" s="608"/>
      <c r="EWT62" s="608"/>
      <c r="EWU62" s="608"/>
      <c r="EWV62" s="608"/>
      <c r="EWW62" s="608"/>
      <c r="EWX62" s="608"/>
      <c r="EWY62" s="608"/>
      <c r="EWZ62" s="608"/>
      <c r="EXA62" s="608"/>
      <c r="EXB62" s="608"/>
      <c r="EXC62" s="608"/>
      <c r="EXD62" s="608"/>
      <c r="EXE62" s="608"/>
      <c r="EXF62" s="608"/>
      <c r="EXG62" s="608"/>
      <c r="EXH62" s="608"/>
      <c r="EXI62" s="608"/>
      <c r="EXJ62" s="608"/>
      <c r="EXK62" s="608"/>
      <c r="EXL62" s="608"/>
      <c r="EXM62" s="608"/>
      <c r="EXN62" s="608"/>
      <c r="EXO62" s="608"/>
      <c r="EXP62" s="608"/>
      <c r="EXQ62" s="608"/>
      <c r="EXR62" s="608"/>
      <c r="EXS62" s="608"/>
      <c r="EXT62" s="608"/>
      <c r="EXU62" s="608"/>
      <c r="EXV62" s="608"/>
      <c r="EXW62" s="608"/>
      <c r="EXX62" s="608"/>
      <c r="EXY62" s="608"/>
      <c r="EXZ62" s="608"/>
      <c r="EYA62" s="608"/>
      <c r="EYB62" s="608"/>
      <c r="EYC62" s="608"/>
      <c r="EYD62" s="608"/>
      <c r="EYE62" s="608"/>
      <c r="EYF62" s="608"/>
      <c r="EYG62" s="608"/>
      <c r="EYH62" s="608"/>
      <c r="EYI62" s="608"/>
      <c r="EYJ62" s="608"/>
      <c r="EYK62" s="608"/>
      <c r="EYL62" s="608"/>
      <c r="EYM62" s="608"/>
      <c r="EYN62" s="608"/>
      <c r="EYO62" s="608"/>
      <c r="EYP62" s="608"/>
      <c r="EYQ62" s="608"/>
      <c r="EYR62" s="608"/>
      <c r="EYS62" s="608"/>
      <c r="EYT62" s="608"/>
      <c r="EYU62" s="608"/>
      <c r="EYV62" s="608"/>
      <c r="EYW62" s="608"/>
      <c r="EYX62" s="608"/>
      <c r="EYY62" s="608"/>
      <c r="EYZ62" s="608"/>
      <c r="EZA62" s="608"/>
      <c r="EZB62" s="608"/>
      <c r="EZC62" s="608"/>
      <c r="EZD62" s="608"/>
      <c r="EZE62" s="608"/>
      <c r="EZF62" s="608"/>
      <c r="EZG62" s="608"/>
      <c r="EZH62" s="608"/>
      <c r="EZI62" s="608"/>
      <c r="EZJ62" s="608"/>
      <c r="EZK62" s="608"/>
      <c r="EZL62" s="608"/>
      <c r="EZM62" s="608"/>
      <c r="EZN62" s="608"/>
      <c r="EZO62" s="608"/>
      <c r="EZP62" s="608"/>
      <c r="EZQ62" s="608"/>
      <c r="EZR62" s="608"/>
      <c r="EZS62" s="608"/>
      <c r="EZT62" s="608"/>
      <c r="EZU62" s="608"/>
      <c r="EZV62" s="608"/>
      <c r="EZW62" s="608"/>
      <c r="EZX62" s="608"/>
      <c r="EZY62" s="608"/>
      <c r="EZZ62" s="608"/>
      <c r="FAA62" s="608"/>
      <c r="FAB62" s="608"/>
      <c r="FAC62" s="608"/>
      <c r="FAD62" s="608"/>
      <c r="FAE62" s="608"/>
      <c r="FAF62" s="608"/>
      <c r="FAG62" s="608"/>
      <c r="FAH62" s="608"/>
      <c r="FAI62" s="608"/>
      <c r="FAJ62" s="608"/>
      <c r="FAK62" s="608"/>
      <c r="FAL62" s="608"/>
      <c r="FAM62" s="608"/>
      <c r="FAN62" s="608"/>
      <c r="FAO62" s="608"/>
      <c r="FAP62" s="608"/>
      <c r="FAQ62" s="608"/>
      <c r="FAR62" s="608"/>
      <c r="FAS62" s="608"/>
      <c r="FAT62" s="608"/>
      <c r="FAU62" s="608"/>
      <c r="FAV62" s="608"/>
      <c r="FAW62" s="608"/>
      <c r="FAX62" s="608"/>
      <c r="FAY62" s="608"/>
      <c r="FAZ62" s="608"/>
      <c r="FBA62" s="608"/>
      <c r="FBB62" s="608"/>
      <c r="FBC62" s="608"/>
      <c r="FBD62" s="608"/>
      <c r="FBE62" s="608"/>
      <c r="FBF62" s="608"/>
      <c r="FBG62" s="608"/>
      <c r="FBH62" s="608"/>
      <c r="FBI62" s="608"/>
      <c r="FBJ62" s="608"/>
      <c r="FBK62" s="608"/>
      <c r="FBL62" s="608"/>
      <c r="FBM62" s="608"/>
      <c r="FBN62" s="608"/>
      <c r="FBO62" s="608"/>
      <c r="FBP62" s="608"/>
      <c r="FBQ62" s="608"/>
      <c r="FBR62" s="608"/>
      <c r="FBS62" s="608"/>
      <c r="FBT62" s="608"/>
      <c r="FBU62" s="608"/>
      <c r="FBV62" s="608"/>
      <c r="FBW62" s="608"/>
      <c r="FBX62" s="608"/>
      <c r="FBY62" s="608"/>
      <c r="FBZ62" s="608"/>
      <c r="FCA62" s="608"/>
      <c r="FCB62" s="608"/>
      <c r="FCC62" s="608"/>
      <c r="FCD62" s="608"/>
      <c r="FCE62" s="608"/>
      <c r="FCF62" s="608"/>
      <c r="FCG62" s="608"/>
      <c r="FCH62" s="608"/>
      <c r="FCI62" s="608"/>
      <c r="FCJ62" s="608"/>
      <c r="FCK62" s="608"/>
      <c r="FCL62" s="608"/>
      <c r="FCM62" s="608"/>
      <c r="FCN62" s="608"/>
      <c r="FCO62" s="608"/>
      <c r="FCP62" s="608"/>
      <c r="FCQ62" s="608"/>
      <c r="FCR62" s="608"/>
      <c r="FCS62" s="608"/>
      <c r="FCT62" s="608"/>
      <c r="FCU62" s="608"/>
      <c r="FCV62" s="608"/>
      <c r="FCW62" s="608"/>
      <c r="FCX62" s="608"/>
      <c r="FCY62" s="608"/>
      <c r="FCZ62" s="608"/>
      <c r="FDA62" s="608"/>
      <c r="FDB62" s="608"/>
      <c r="FDC62" s="608"/>
      <c r="FDD62" s="608"/>
      <c r="FDE62" s="608"/>
      <c r="FDF62" s="608"/>
      <c r="FDG62" s="608"/>
      <c r="FDH62" s="608"/>
      <c r="FDI62" s="608"/>
      <c r="FDJ62" s="608"/>
      <c r="FDK62" s="608"/>
      <c r="FDL62" s="608"/>
      <c r="FDM62" s="608"/>
      <c r="FDN62" s="608"/>
      <c r="FDO62" s="608"/>
      <c r="FDP62" s="608"/>
      <c r="FDQ62" s="608"/>
      <c r="FDR62" s="608"/>
      <c r="FDS62" s="608"/>
      <c r="FDT62" s="608"/>
      <c r="FDU62" s="608"/>
      <c r="FDV62" s="608"/>
      <c r="FDW62" s="608"/>
      <c r="FDX62" s="608"/>
      <c r="FDY62" s="608"/>
      <c r="FDZ62" s="608"/>
      <c r="FEA62" s="608"/>
      <c r="FEB62" s="608"/>
      <c r="FEC62" s="608"/>
      <c r="FED62" s="608"/>
      <c r="FEE62" s="608"/>
      <c r="FEF62" s="608"/>
      <c r="FEG62" s="608"/>
      <c r="FEH62" s="608"/>
      <c r="FEI62" s="608"/>
      <c r="FEJ62" s="608"/>
      <c r="FEK62" s="608"/>
      <c r="FEL62" s="608"/>
      <c r="FEM62" s="608"/>
      <c r="FEN62" s="608"/>
      <c r="FEO62" s="608"/>
      <c r="FEP62" s="608"/>
      <c r="FEQ62" s="608"/>
      <c r="FER62" s="608"/>
      <c r="FES62" s="608"/>
      <c r="FET62" s="608"/>
      <c r="FEU62" s="608"/>
      <c r="FEV62" s="608"/>
      <c r="FEW62" s="608"/>
      <c r="FEX62" s="608"/>
      <c r="FEY62" s="608"/>
      <c r="FEZ62" s="608"/>
      <c r="FFA62" s="608"/>
      <c r="FFB62" s="608"/>
      <c r="FFC62" s="608"/>
      <c r="FFD62" s="608"/>
      <c r="FFE62" s="608"/>
      <c r="FFF62" s="608"/>
      <c r="FFG62" s="608"/>
      <c r="FFH62" s="608"/>
      <c r="FFI62" s="608"/>
      <c r="FFJ62" s="608"/>
      <c r="FFK62" s="608"/>
      <c r="FFL62" s="608"/>
      <c r="FFM62" s="608"/>
      <c r="FFN62" s="608"/>
      <c r="FFO62" s="608"/>
      <c r="FFP62" s="608"/>
      <c r="FFQ62" s="608"/>
      <c r="FFR62" s="608"/>
      <c r="FFS62" s="608"/>
      <c r="FFT62" s="608"/>
      <c r="FFU62" s="608"/>
      <c r="FFV62" s="608"/>
      <c r="FFW62" s="608"/>
      <c r="FFX62" s="608"/>
      <c r="FFY62" s="608"/>
      <c r="FFZ62" s="608"/>
      <c r="FGA62" s="608"/>
      <c r="FGB62" s="608"/>
      <c r="FGC62" s="608"/>
      <c r="FGD62" s="608"/>
      <c r="FGE62" s="608"/>
      <c r="FGF62" s="608"/>
      <c r="FGG62" s="608"/>
      <c r="FGH62" s="608"/>
      <c r="FGI62" s="608"/>
      <c r="FGJ62" s="608"/>
      <c r="FGK62" s="608"/>
      <c r="FGL62" s="608"/>
      <c r="FGM62" s="608"/>
      <c r="FGN62" s="608"/>
      <c r="FGO62" s="608"/>
      <c r="FGP62" s="608"/>
      <c r="FGQ62" s="608"/>
      <c r="FGR62" s="608"/>
      <c r="FGS62" s="608"/>
      <c r="FGT62" s="608"/>
      <c r="FGU62" s="608"/>
      <c r="FGV62" s="608"/>
      <c r="FGW62" s="608"/>
      <c r="FGX62" s="608"/>
      <c r="FGY62" s="608"/>
      <c r="FGZ62" s="608"/>
      <c r="FHA62" s="608"/>
      <c r="FHB62" s="608"/>
      <c r="FHC62" s="608"/>
      <c r="FHD62" s="608"/>
      <c r="FHE62" s="608"/>
      <c r="FHF62" s="608"/>
      <c r="FHG62" s="608"/>
      <c r="FHH62" s="608"/>
      <c r="FHI62" s="608"/>
      <c r="FHJ62" s="608"/>
      <c r="FHK62" s="608"/>
      <c r="FHL62" s="608"/>
      <c r="FHM62" s="608"/>
      <c r="FHN62" s="608"/>
      <c r="FHO62" s="608"/>
      <c r="FHP62" s="608"/>
      <c r="FHQ62" s="608"/>
      <c r="FHR62" s="608"/>
      <c r="FHS62" s="608"/>
      <c r="FHT62" s="608"/>
      <c r="FHU62" s="608"/>
      <c r="FHV62" s="608"/>
      <c r="FHW62" s="608"/>
      <c r="FHX62" s="608"/>
      <c r="FHY62" s="608"/>
      <c r="FHZ62" s="608"/>
      <c r="FIA62" s="608"/>
      <c r="FIB62" s="608"/>
      <c r="FIC62" s="608"/>
      <c r="FID62" s="608"/>
      <c r="FIE62" s="608"/>
      <c r="FIF62" s="608"/>
      <c r="FIG62" s="608"/>
      <c r="FIH62" s="608"/>
      <c r="FII62" s="608"/>
      <c r="FIJ62" s="608"/>
      <c r="FIK62" s="608"/>
      <c r="FIL62" s="608"/>
      <c r="FIM62" s="608"/>
      <c r="FIN62" s="608"/>
      <c r="FIO62" s="608"/>
      <c r="FIP62" s="608"/>
      <c r="FIQ62" s="608"/>
      <c r="FIR62" s="608"/>
      <c r="FIS62" s="608"/>
      <c r="FIT62" s="608"/>
      <c r="FIU62" s="608"/>
      <c r="FIV62" s="608"/>
      <c r="FIW62" s="608"/>
      <c r="FIX62" s="608"/>
      <c r="FIY62" s="608"/>
      <c r="FIZ62" s="608"/>
      <c r="FJA62" s="608"/>
      <c r="FJB62" s="608"/>
      <c r="FJC62" s="608"/>
      <c r="FJD62" s="608"/>
      <c r="FJE62" s="608"/>
      <c r="FJF62" s="608"/>
      <c r="FJG62" s="608"/>
      <c r="FJH62" s="608"/>
      <c r="FJI62" s="608"/>
      <c r="FJJ62" s="608"/>
      <c r="FJK62" s="608"/>
      <c r="FJL62" s="608"/>
      <c r="FJM62" s="608"/>
      <c r="FJN62" s="608"/>
      <c r="FJO62" s="608"/>
      <c r="FJP62" s="608"/>
      <c r="FJQ62" s="608"/>
      <c r="FJR62" s="608"/>
      <c r="FJS62" s="608"/>
      <c r="FJT62" s="608"/>
      <c r="FJU62" s="608"/>
      <c r="FJV62" s="608"/>
      <c r="FJW62" s="608"/>
      <c r="FJX62" s="608"/>
      <c r="FJY62" s="608"/>
      <c r="FJZ62" s="608"/>
      <c r="FKA62" s="608"/>
      <c r="FKB62" s="608"/>
      <c r="FKC62" s="608"/>
      <c r="FKD62" s="608"/>
      <c r="FKE62" s="608"/>
      <c r="FKF62" s="608"/>
      <c r="FKG62" s="608"/>
      <c r="FKH62" s="608"/>
      <c r="FKI62" s="608"/>
      <c r="FKJ62" s="608"/>
      <c r="FKK62" s="608"/>
      <c r="FKL62" s="608"/>
      <c r="FKM62" s="608"/>
      <c r="FKN62" s="608"/>
      <c r="FKO62" s="608"/>
      <c r="FKP62" s="608"/>
      <c r="FKQ62" s="608"/>
      <c r="FKR62" s="608"/>
      <c r="FKS62" s="608"/>
      <c r="FKT62" s="608"/>
      <c r="FKU62" s="608"/>
      <c r="FKV62" s="608"/>
      <c r="FKW62" s="608"/>
      <c r="FKX62" s="608"/>
      <c r="FKY62" s="608"/>
      <c r="FKZ62" s="608"/>
      <c r="FLA62" s="608"/>
      <c r="FLB62" s="608"/>
      <c r="FLC62" s="608"/>
      <c r="FLD62" s="608"/>
      <c r="FLE62" s="608"/>
      <c r="FLF62" s="608"/>
      <c r="FLG62" s="608"/>
      <c r="FLH62" s="608"/>
      <c r="FLI62" s="608"/>
      <c r="FLJ62" s="608"/>
      <c r="FLK62" s="608"/>
      <c r="FLL62" s="608"/>
      <c r="FLM62" s="608"/>
      <c r="FLN62" s="608"/>
      <c r="FLO62" s="608"/>
      <c r="FLP62" s="608"/>
      <c r="FLQ62" s="608"/>
      <c r="FLR62" s="608"/>
      <c r="FLS62" s="608"/>
      <c r="FLT62" s="608"/>
      <c r="FLU62" s="608"/>
      <c r="FLV62" s="608"/>
      <c r="FLW62" s="608"/>
      <c r="FLX62" s="608"/>
      <c r="FLY62" s="608"/>
      <c r="FLZ62" s="608"/>
      <c r="FMA62" s="608"/>
      <c r="FMB62" s="608"/>
      <c r="FMC62" s="608"/>
      <c r="FMD62" s="608"/>
      <c r="FME62" s="608"/>
      <c r="FMF62" s="608"/>
      <c r="FMG62" s="608"/>
      <c r="FMH62" s="608"/>
      <c r="FMI62" s="608"/>
      <c r="FMJ62" s="608"/>
      <c r="FMK62" s="608"/>
      <c r="FML62" s="608"/>
      <c r="FMM62" s="608"/>
      <c r="FMN62" s="608"/>
      <c r="FMO62" s="608"/>
      <c r="FMP62" s="608"/>
      <c r="FMQ62" s="608"/>
      <c r="FMR62" s="608"/>
      <c r="FMS62" s="608"/>
      <c r="FMT62" s="608"/>
      <c r="FMU62" s="608"/>
      <c r="FMV62" s="608"/>
      <c r="FMW62" s="608"/>
      <c r="FMX62" s="608"/>
      <c r="FMY62" s="608"/>
      <c r="FMZ62" s="608"/>
      <c r="FNA62" s="608"/>
      <c r="FNB62" s="608"/>
      <c r="FNC62" s="608"/>
      <c r="FND62" s="608"/>
      <c r="FNE62" s="608"/>
      <c r="FNF62" s="608"/>
      <c r="FNG62" s="608"/>
      <c r="FNH62" s="608"/>
      <c r="FNI62" s="608"/>
      <c r="FNJ62" s="608"/>
      <c r="FNK62" s="608"/>
      <c r="FNL62" s="608"/>
      <c r="FNM62" s="608"/>
      <c r="FNN62" s="608"/>
      <c r="FNO62" s="608"/>
      <c r="FNP62" s="608"/>
      <c r="FNQ62" s="608"/>
      <c r="FNR62" s="608"/>
      <c r="FNS62" s="608"/>
      <c r="FNT62" s="608"/>
      <c r="FNU62" s="608"/>
      <c r="FNV62" s="608"/>
      <c r="FNW62" s="608"/>
      <c r="FNX62" s="608"/>
      <c r="FNY62" s="608"/>
      <c r="FNZ62" s="608"/>
      <c r="FOA62" s="608"/>
      <c r="FOB62" s="608"/>
      <c r="FOC62" s="608"/>
      <c r="FOD62" s="608"/>
      <c r="FOE62" s="608"/>
      <c r="FOF62" s="608"/>
      <c r="FOG62" s="608"/>
      <c r="FOH62" s="608"/>
      <c r="FOI62" s="608"/>
      <c r="FOJ62" s="608"/>
      <c r="FOK62" s="608"/>
      <c r="FOL62" s="608"/>
      <c r="FOM62" s="608"/>
      <c r="FON62" s="608"/>
      <c r="FOO62" s="608"/>
      <c r="FOP62" s="608"/>
      <c r="FOQ62" s="608"/>
      <c r="FOR62" s="608"/>
      <c r="FOS62" s="608"/>
      <c r="FOT62" s="608"/>
      <c r="FOU62" s="608"/>
      <c r="FOV62" s="608"/>
      <c r="FOW62" s="608"/>
      <c r="FOX62" s="608"/>
      <c r="FOY62" s="608"/>
      <c r="FOZ62" s="608"/>
      <c r="FPA62" s="608"/>
      <c r="FPB62" s="608"/>
      <c r="FPC62" s="608"/>
      <c r="FPD62" s="608"/>
      <c r="FPE62" s="608"/>
      <c r="FPF62" s="608"/>
      <c r="FPG62" s="608"/>
      <c r="FPH62" s="608"/>
      <c r="FPI62" s="608"/>
      <c r="FPJ62" s="608"/>
      <c r="FPK62" s="608"/>
      <c r="FPL62" s="608"/>
      <c r="FPM62" s="608"/>
      <c r="FPN62" s="608"/>
      <c r="FPO62" s="608"/>
      <c r="FPP62" s="608"/>
      <c r="FPQ62" s="608"/>
      <c r="FPR62" s="608"/>
      <c r="FPS62" s="608"/>
      <c r="FPT62" s="608"/>
      <c r="FPU62" s="608"/>
      <c r="FPV62" s="608"/>
      <c r="FPW62" s="608"/>
      <c r="FPX62" s="608"/>
      <c r="FPY62" s="608"/>
      <c r="FPZ62" s="608"/>
      <c r="FQA62" s="608"/>
      <c r="FQB62" s="608"/>
      <c r="FQC62" s="608"/>
      <c r="FQD62" s="608"/>
      <c r="FQE62" s="608"/>
      <c r="FQF62" s="608"/>
      <c r="FQG62" s="608"/>
      <c r="FQH62" s="608"/>
      <c r="FQI62" s="608"/>
      <c r="FQJ62" s="608"/>
      <c r="FQK62" s="608"/>
      <c r="FQL62" s="608"/>
      <c r="FQM62" s="608"/>
      <c r="FQN62" s="608"/>
      <c r="FQO62" s="608"/>
      <c r="FQP62" s="608"/>
      <c r="FQQ62" s="608"/>
      <c r="FQR62" s="608"/>
      <c r="FQS62" s="608"/>
      <c r="FQT62" s="608"/>
      <c r="FQU62" s="608"/>
      <c r="FQV62" s="608"/>
      <c r="FQW62" s="608"/>
      <c r="FQX62" s="608"/>
      <c r="FQY62" s="608"/>
      <c r="FQZ62" s="608"/>
      <c r="FRA62" s="608"/>
      <c r="FRB62" s="608"/>
      <c r="FRC62" s="608"/>
      <c r="FRD62" s="608"/>
      <c r="FRE62" s="608"/>
      <c r="FRF62" s="608"/>
      <c r="FRG62" s="608"/>
      <c r="FRH62" s="608"/>
      <c r="FRI62" s="608"/>
      <c r="FRJ62" s="608"/>
      <c r="FRK62" s="608"/>
      <c r="FRL62" s="608"/>
      <c r="FRM62" s="608"/>
      <c r="FRN62" s="608"/>
      <c r="FRO62" s="608"/>
      <c r="FRP62" s="608"/>
      <c r="FRQ62" s="608"/>
      <c r="FRR62" s="608"/>
      <c r="FRS62" s="608"/>
      <c r="FRT62" s="608"/>
      <c r="FRU62" s="608"/>
      <c r="FRV62" s="608"/>
      <c r="FRW62" s="608"/>
      <c r="FRX62" s="608"/>
      <c r="FRY62" s="608"/>
      <c r="FRZ62" s="608"/>
      <c r="FSA62" s="608"/>
      <c r="FSB62" s="608"/>
      <c r="FSC62" s="608"/>
      <c r="FSD62" s="608"/>
      <c r="FSE62" s="608"/>
      <c r="FSF62" s="608"/>
      <c r="FSG62" s="608"/>
      <c r="FSH62" s="608"/>
      <c r="FSI62" s="608"/>
      <c r="FSJ62" s="608"/>
      <c r="FSK62" s="608"/>
      <c r="FSL62" s="608"/>
      <c r="FSM62" s="608"/>
      <c r="FSN62" s="608"/>
      <c r="FSO62" s="608"/>
      <c r="FSP62" s="608"/>
      <c r="FSQ62" s="608"/>
      <c r="FSR62" s="608"/>
      <c r="FSS62" s="608"/>
      <c r="FST62" s="608"/>
      <c r="FSU62" s="608"/>
      <c r="FSV62" s="608"/>
      <c r="FSW62" s="608"/>
      <c r="FSX62" s="608"/>
      <c r="FSY62" s="608"/>
      <c r="FSZ62" s="608"/>
      <c r="FTA62" s="608"/>
      <c r="FTB62" s="608"/>
      <c r="FTC62" s="608"/>
      <c r="FTD62" s="608"/>
      <c r="FTE62" s="608"/>
      <c r="FTF62" s="608"/>
      <c r="FTG62" s="608"/>
      <c r="FTH62" s="608"/>
      <c r="FTI62" s="608"/>
      <c r="FTJ62" s="608"/>
      <c r="FTK62" s="608"/>
      <c r="FTL62" s="608"/>
      <c r="FTM62" s="608"/>
      <c r="FTN62" s="608"/>
      <c r="FTO62" s="608"/>
      <c r="FTP62" s="608"/>
      <c r="FTQ62" s="608"/>
      <c r="FTR62" s="608"/>
      <c r="FTS62" s="608"/>
      <c r="FTT62" s="608"/>
      <c r="FTU62" s="608"/>
      <c r="FTV62" s="608"/>
      <c r="FTW62" s="608"/>
      <c r="FTX62" s="608"/>
      <c r="FTY62" s="608"/>
      <c r="FTZ62" s="608"/>
      <c r="FUA62" s="608"/>
      <c r="FUB62" s="608"/>
      <c r="FUC62" s="608"/>
      <c r="FUD62" s="608"/>
      <c r="FUE62" s="608"/>
      <c r="FUF62" s="608"/>
      <c r="FUG62" s="608"/>
      <c r="FUH62" s="608"/>
      <c r="FUI62" s="608"/>
      <c r="FUJ62" s="608"/>
      <c r="FUK62" s="608"/>
      <c r="FUL62" s="608"/>
      <c r="FUM62" s="608"/>
      <c r="FUN62" s="608"/>
      <c r="FUO62" s="608"/>
      <c r="FUP62" s="608"/>
      <c r="FUQ62" s="608"/>
      <c r="FUR62" s="608"/>
      <c r="FUS62" s="608"/>
      <c r="FUT62" s="608"/>
      <c r="FUU62" s="608"/>
      <c r="FUV62" s="608"/>
      <c r="FUW62" s="608"/>
      <c r="FUX62" s="608"/>
      <c r="FUY62" s="608"/>
      <c r="FUZ62" s="608"/>
      <c r="FVA62" s="608"/>
      <c r="FVB62" s="608"/>
      <c r="FVC62" s="608"/>
      <c r="FVD62" s="608"/>
      <c r="FVE62" s="608"/>
      <c r="FVF62" s="608"/>
      <c r="FVG62" s="608"/>
      <c r="FVH62" s="608"/>
      <c r="FVI62" s="608"/>
      <c r="FVJ62" s="608"/>
      <c r="FVK62" s="608"/>
      <c r="FVL62" s="608"/>
      <c r="FVM62" s="608"/>
      <c r="FVN62" s="608"/>
      <c r="FVO62" s="608"/>
      <c r="FVP62" s="608"/>
      <c r="FVQ62" s="608"/>
      <c r="FVR62" s="608"/>
      <c r="FVS62" s="608"/>
      <c r="FVT62" s="608"/>
      <c r="FVU62" s="608"/>
      <c r="FVV62" s="608"/>
      <c r="FVW62" s="608"/>
      <c r="FVX62" s="608"/>
      <c r="FVY62" s="608"/>
      <c r="FVZ62" s="608"/>
      <c r="FWA62" s="608"/>
      <c r="FWB62" s="608"/>
      <c r="FWC62" s="608"/>
      <c r="FWD62" s="608"/>
      <c r="FWE62" s="608"/>
      <c r="FWF62" s="608"/>
      <c r="FWG62" s="608"/>
      <c r="FWH62" s="608"/>
      <c r="FWI62" s="608"/>
      <c r="FWJ62" s="608"/>
      <c r="FWK62" s="608"/>
      <c r="FWL62" s="608"/>
      <c r="FWM62" s="608"/>
      <c r="FWN62" s="608"/>
      <c r="FWO62" s="608"/>
      <c r="FWP62" s="608"/>
      <c r="FWQ62" s="608"/>
      <c r="FWR62" s="608"/>
      <c r="FWS62" s="608"/>
      <c r="FWT62" s="608"/>
      <c r="FWU62" s="608"/>
      <c r="FWV62" s="608"/>
      <c r="FWW62" s="608"/>
      <c r="FWX62" s="608"/>
      <c r="FWY62" s="608"/>
      <c r="FWZ62" s="608"/>
      <c r="FXA62" s="608"/>
      <c r="FXB62" s="608"/>
      <c r="FXC62" s="608"/>
      <c r="FXD62" s="608"/>
      <c r="FXE62" s="608"/>
      <c r="FXF62" s="608"/>
      <c r="FXG62" s="608"/>
      <c r="FXH62" s="608"/>
      <c r="FXI62" s="608"/>
      <c r="FXJ62" s="608"/>
      <c r="FXK62" s="608"/>
      <c r="FXL62" s="608"/>
      <c r="FXM62" s="608"/>
      <c r="FXN62" s="608"/>
      <c r="FXO62" s="608"/>
      <c r="FXP62" s="608"/>
      <c r="FXQ62" s="608"/>
      <c r="FXR62" s="608"/>
      <c r="FXS62" s="608"/>
      <c r="FXT62" s="608"/>
      <c r="FXU62" s="608"/>
      <c r="FXV62" s="608"/>
      <c r="FXW62" s="608"/>
      <c r="FXX62" s="608"/>
      <c r="FXY62" s="608"/>
      <c r="FXZ62" s="608"/>
      <c r="FYA62" s="608"/>
      <c r="FYB62" s="608"/>
      <c r="FYC62" s="608"/>
      <c r="FYD62" s="608"/>
      <c r="FYE62" s="608"/>
      <c r="FYF62" s="608"/>
      <c r="FYG62" s="608"/>
      <c r="FYH62" s="608"/>
      <c r="FYI62" s="608"/>
      <c r="FYJ62" s="608"/>
      <c r="FYK62" s="608"/>
      <c r="FYL62" s="608"/>
      <c r="FYM62" s="608"/>
      <c r="FYN62" s="608"/>
      <c r="FYO62" s="608"/>
      <c r="FYP62" s="608"/>
      <c r="FYQ62" s="608"/>
      <c r="FYR62" s="608"/>
      <c r="FYS62" s="608"/>
      <c r="FYT62" s="608"/>
      <c r="FYU62" s="608"/>
      <c r="FYV62" s="608"/>
      <c r="FYW62" s="608"/>
      <c r="FYX62" s="608"/>
      <c r="FYY62" s="608"/>
      <c r="FYZ62" s="608"/>
      <c r="FZA62" s="608"/>
      <c r="FZB62" s="608"/>
      <c r="FZC62" s="608"/>
      <c r="FZD62" s="608"/>
      <c r="FZE62" s="608"/>
      <c r="FZF62" s="608"/>
      <c r="FZG62" s="608"/>
      <c r="FZH62" s="608"/>
      <c r="FZI62" s="608"/>
      <c r="FZJ62" s="608"/>
      <c r="FZK62" s="608"/>
      <c r="FZL62" s="608"/>
      <c r="FZM62" s="608"/>
      <c r="FZN62" s="608"/>
      <c r="FZO62" s="608"/>
      <c r="FZP62" s="608"/>
      <c r="FZQ62" s="608"/>
      <c r="FZR62" s="608"/>
      <c r="FZS62" s="608"/>
      <c r="FZT62" s="608"/>
      <c r="FZU62" s="608"/>
      <c r="FZV62" s="608"/>
      <c r="FZW62" s="608"/>
      <c r="FZX62" s="608"/>
      <c r="FZY62" s="608"/>
      <c r="FZZ62" s="608"/>
      <c r="GAA62" s="608"/>
      <c r="GAB62" s="608"/>
      <c r="GAC62" s="608"/>
      <c r="GAD62" s="608"/>
      <c r="GAE62" s="608"/>
      <c r="GAF62" s="608"/>
      <c r="GAG62" s="608"/>
      <c r="GAH62" s="608"/>
      <c r="GAI62" s="608"/>
      <c r="GAJ62" s="608"/>
      <c r="GAK62" s="608"/>
      <c r="GAL62" s="608"/>
      <c r="GAM62" s="608"/>
      <c r="GAN62" s="608"/>
      <c r="GAO62" s="608"/>
      <c r="GAP62" s="608"/>
      <c r="GAQ62" s="608"/>
      <c r="GAR62" s="608"/>
      <c r="GAS62" s="608"/>
      <c r="GAT62" s="608"/>
      <c r="GAU62" s="608"/>
      <c r="GAV62" s="608"/>
      <c r="GAW62" s="608"/>
      <c r="GAX62" s="608"/>
      <c r="GAY62" s="608"/>
      <c r="GAZ62" s="608"/>
      <c r="GBA62" s="608"/>
      <c r="GBB62" s="608"/>
      <c r="GBC62" s="608"/>
      <c r="GBD62" s="608"/>
      <c r="GBE62" s="608"/>
      <c r="GBF62" s="608"/>
      <c r="GBG62" s="608"/>
      <c r="GBH62" s="608"/>
      <c r="GBI62" s="608"/>
      <c r="GBJ62" s="608"/>
      <c r="GBK62" s="608"/>
      <c r="GBL62" s="608"/>
      <c r="GBM62" s="608"/>
      <c r="GBN62" s="608"/>
      <c r="GBO62" s="608"/>
      <c r="GBP62" s="608"/>
      <c r="GBQ62" s="608"/>
      <c r="GBR62" s="608"/>
      <c r="GBS62" s="608"/>
      <c r="GBT62" s="608"/>
      <c r="GBU62" s="608"/>
      <c r="GBV62" s="608"/>
      <c r="GBW62" s="608"/>
      <c r="GBX62" s="608"/>
      <c r="GBY62" s="608"/>
      <c r="GBZ62" s="608"/>
      <c r="GCA62" s="608"/>
      <c r="GCB62" s="608"/>
      <c r="GCC62" s="608"/>
      <c r="GCD62" s="608"/>
      <c r="GCE62" s="608"/>
      <c r="GCF62" s="608"/>
      <c r="GCG62" s="608"/>
      <c r="GCH62" s="608"/>
      <c r="GCI62" s="608"/>
      <c r="GCJ62" s="608"/>
      <c r="GCK62" s="608"/>
      <c r="GCL62" s="608"/>
      <c r="GCM62" s="608"/>
      <c r="GCN62" s="608"/>
      <c r="GCO62" s="608"/>
      <c r="GCP62" s="608"/>
      <c r="GCQ62" s="608"/>
      <c r="GCR62" s="608"/>
      <c r="GCS62" s="608"/>
      <c r="GCT62" s="608"/>
      <c r="GCU62" s="608"/>
      <c r="GCV62" s="608"/>
      <c r="GCW62" s="608"/>
      <c r="GCX62" s="608"/>
      <c r="GCY62" s="608"/>
      <c r="GCZ62" s="608"/>
      <c r="GDA62" s="608"/>
      <c r="GDB62" s="608"/>
      <c r="GDC62" s="608"/>
      <c r="GDD62" s="608"/>
      <c r="GDE62" s="608"/>
      <c r="GDF62" s="608"/>
      <c r="GDG62" s="608"/>
      <c r="GDH62" s="608"/>
      <c r="GDI62" s="608"/>
      <c r="GDJ62" s="608"/>
      <c r="GDK62" s="608"/>
      <c r="GDL62" s="608"/>
      <c r="GDM62" s="608"/>
      <c r="GDN62" s="608"/>
      <c r="GDO62" s="608"/>
      <c r="GDP62" s="608"/>
      <c r="GDQ62" s="608"/>
      <c r="GDR62" s="608"/>
      <c r="GDS62" s="608"/>
      <c r="GDT62" s="608"/>
      <c r="GDU62" s="608"/>
      <c r="GDV62" s="608"/>
      <c r="GDW62" s="608"/>
      <c r="GDX62" s="608"/>
      <c r="GDY62" s="608"/>
      <c r="GDZ62" s="608"/>
      <c r="GEA62" s="608"/>
      <c r="GEB62" s="608"/>
      <c r="GEC62" s="608"/>
      <c r="GED62" s="608"/>
      <c r="GEE62" s="608"/>
      <c r="GEF62" s="608"/>
      <c r="GEG62" s="608"/>
      <c r="GEH62" s="608"/>
      <c r="GEI62" s="608"/>
      <c r="GEJ62" s="608"/>
      <c r="GEK62" s="608"/>
      <c r="GEL62" s="608"/>
      <c r="GEM62" s="608"/>
      <c r="GEN62" s="608"/>
      <c r="GEO62" s="608"/>
      <c r="GEP62" s="608"/>
      <c r="GEQ62" s="608"/>
      <c r="GER62" s="608"/>
      <c r="GES62" s="608"/>
      <c r="GET62" s="608"/>
      <c r="GEU62" s="608"/>
      <c r="GEV62" s="608"/>
      <c r="GEW62" s="608"/>
      <c r="GEX62" s="608"/>
      <c r="GEY62" s="608"/>
      <c r="GEZ62" s="608"/>
      <c r="GFA62" s="608"/>
      <c r="GFB62" s="608"/>
      <c r="GFC62" s="608"/>
      <c r="GFD62" s="608"/>
      <c r="GFE62" s="608"/>
      <c r="GFF62" s="608"/>
      <c r="GFG62" s="608"/>
      <c r="GFH62" s="608"/>
      <c r="GFI62" s="608"/>
      <c r="GFJ62" s="608"/>
      <c r="GFK62" s="608"/>
      <c r="GFL62" s="608"/>
      <c r="GFM62" s="608"/>
      <c r="GFN62" s="608"/>
      <c r="GFO62" s="608"/>
      <c r="GFP62" s="608"/>
      <c r="GFQ62" s="608"/>
      <c r="GFR62" s="608"/>
      <c r="GFS62" s="608"/>
      <c r="GFT62" s="608"/>
      <c r="GFU62" s="608"/>
      <c r="GFV62" s="608"/>
      <c r="GFW62" s="608"/>
      <c r="GFX62" s="608"/>
      <c r="GFY62" s="608"/>
      <c r="GFZ62" s="608"/>
      <c r="GGA62" s="608"/>
      <c r="GGB62" s="608"/>
      <c r="GGC62" s="608"/>
      <c r="GGD62" s="608"/>
      <c r="GGE62" s="608"/>
      <c r="GGF62" s="608"/>
      <c r="GGG62" s="608"/>
      <c r="GGH62" s="608"/>
      <c r="GGI62" s="608"/>
      <c r="GGJ62" s="608"/>
      <c r="GGK62" s="608"/>
      <c r="GGL62" s="608"/>
      <c r="GGM62" s="608"/>
      <c r="GGN62" s="608"/>
      <c r="GGO62" s="608"/>
      <c r="GGP62" s="608"/>
      <c r="GGQ62" s="608"/>
      <c r="GGR62" s="608"/>
      <c r="GGS62" s="608"/>
      <c r="GGT62" s="608"/>
      <c r="GGU62" s="608"/>
      <c r="GGV62" s="608"/>
      <c r="GGW62" s="608"/>
      <c r="GGX62" s="608"/>
      <c r="GGY62" s="608"/>
      <c r="GGZ62" s="608"/>
      <c r="GHA62" s="608"/>
      <c r="GHB62" s="608"/>
      <c r="GHC62" s="608"/>
      <c r="GHD62" s="608"/>
      <c r="GHE62" s="608"/>
      <c r="GHF62" s="608"/>
      <c r="GHG62" s="608"/>
      <c r="GHH62" s="608"/>
      <c r="GHI62" s="608"/>
      <c r="GHJ62" s="608"/>
      <c r="GHK62" s="608"/>
      <c r="GHL62" s="608"/>
      <c r="GHM62" s="608"/>
      <c r="GHN62" s="608"/>
      <c r="GHO62" s="608"/>
      <c r="GHP62" s="608"/>
      <c r="GHQ62" s="608"/>
      <c r="GHR62" s="608"/>
      <c r="GHS62" s="608"/>
      <c r="GHT62" s="608"/>
      <c r="GHU62" s="608"/>
      <c r="GHV62" s="608"/>
      <c r="GHW62" s="608"/>
      <c r="GHX62" s="608"/>
      <c r="GHY62" s="608"/>
      <c r="GHZ62" s="608"/>
      <c r="GIA62" s="608"/>
      <c r="GIB62" s="608"/>
      <c r="GIC62" s="608"/>
      <c r="GID62" s="608"/>
      <c r="GIE62" s="608"/>
      <c r="GIF62" s="608"/>
      <c r="GIG62" s="608"/>
      <c r="GIH62" s="608"/>
      <c r="GII62" s="608"/>
      <c r="GIJ62" s="608"/>
      <c r="GIK62" s="608"/>
      <c r="GIL62" s="608"/>
      <c r="GIM62" s="608"/>
      <c r="GIN62" s="608"/>
      <c r="GIO62" s="608"/>
      <c r="GIP62" s="608"/>
      <c r="GIQ62" s="608"/>
      <c r="GIR62" s="608"/>
      <c r="GIS62" s="608"/>
      <c r="GIT62" s="608"/>
      <c r="GIU62" s="608"/>
      <c r="GIV62" s="608"/>
      <c r="GIW62" s="608"/>
      <c r="GIX62" s="608"/>
      <c r="GIY62" s="608"/>
      <c r="GIZ62" s="608"/>
      <c r="GJA62" s="608"/>
      <c r="GJB62" s="608"/>
      <c r="GJC62" s="608"/>
      <c r="GJD62" s="608"/>
      <c r="GJE62" s="608"/>
      <c r="GJF62" s="608"/>
      <c r="GJG62" s="608"/>
      <c r="GJH62" s="608"/>
      <c r="GJI62" s="608"/>
      <c r="GJJ62" s="608"/>
      <c r="GJK62" s="608"/>
      <c r="GJL62" s="608"/>
      <c r="GJM62" s="608"/>
      <c r="GJN62" s="608"/>
      <c r="GJO62" s="608"/>
      <c r="GJP62" s="608"/>
      <c r="GJQ62" s="608"/>
      <c r="GJR62" s="608"/>
      <c r="GJS62" s="608"/>
      <c r="GJT62" s="608"/>
      <c r="GJU62" s="608"/>
      <c r="GJV62" s="608"/>
      <c r="GJW62" s="608"/>
      <c r="GJX62" s="608"/>
      <c r="GJY62" s="608"/>
      <c r="GJZ62" s="608"/>
      <c r="GKA62" s="608"/>
      <c r="GKB62" s="608"/>
      <c r="GKC62" s="608"/>
      <c r="GKD62" s="608"/>
      <c r="GKE62" s="608"/>
      <c r="GKF62" s="608"/>
      <c r="GKG62" s="608"/>
      <c r="GKH62" s="608"/>
      <c r="GKI62" s="608"/>
      <c r="GKJ62" s="608"/>
      <c r="GKK62" s="608"/>
      <c r="GKL62" s="608"/>
      <c r="GKM62" s="608"/>
      <c r="GKN62" s="608"/>
      <c r="GKO62" s="608"/>
      <c r="GKP62" s="608"/>
      <c r="GKQ62" s="608"/>
      <c r="GKR62" s="608"/>
      <c r="GKS62" s="608"/>
      <c r="GKT62" s="608"/>
      <c r="GKU62" s="608"/>
      <c r="GKV62" s="608"/>
      <c r="GKW62" s="608"/>
      <c r="GKX62" s="608"/>
      <c r="GKY62" s="608"/>
      <c r="GKZ62" s="608"/>
      <c r="GLA62" s="608"/>
      <c r="GLB62" s="608"/>
      <c r="GLC62" s="608"/>
      <c r="GLD62" s="608"/>
      <c r="GLE62" s="608"/>
      <c r="GLF62" s="608"/>
      <c r="GLG62" s="608"/>
      <c r="GLH62" s="608"/>
      <c r="GLI62" s="608"/>
      <c r="GLJ62" s="608"/>
      <c r="GLK62" s="608"/>
      <c r="GLL62" s="608"/>
      <c r="GLM62" s="608"/>
      <c r="GLN62" s="608"/>
      <c r="GLO62" s="608"/>
      <c r="GLP62" s="608"/>
      <c r="GLQ62" s="608"/>
      <c r="GLR62" s="608"/>
      <c r="GLS62" s="608"/>
      <c r="GLT62" s="608"/>
      <c r="GLU62" s="608"/>
      <c r="GLV62" s="608"/>
      <c r="GLW62" s="608"/>
      <c r="GLX62" s="608"/>
      <c r="GLY62" s="608"/>
      <c r="GLZ62" s="608"/>
      <c r="GMA62" s="608"/>
      <c r="GMB62" s="608"/>
      <c r="GMC62" s="608"/>
      <c r="GMD62" s="608"/>
      <c r="GME62" s="608"/>
      <c r="GMF62" s="608"/>
      <c r="GMG62" s="608"/>
      <c r="GMH62" s="608"/>
      <c r="GMI62" s="608"/>
      <c r="GMJ62" s="608"/>
      <c r="GMK62" s="608"/>
      <c r="GML62" s="608"/>
      <c r="GMM62" s="608"/>
      <c r="GMN62" s="608"/>
      <c r="GMO62" s="608"/>
      <c r="GMP62" s="608"/>
      <c r="GMQ62" s="608"/>
      <c r="GMR62" s="608"/>
      <c r="GMS62" s="608"/>
      <c r="GMT62" s="608"/>
      <c r="GMU62" s="608"/>
      <c r="GMV62" s="608"/>
      <c r="GMW62" s="608"/>
      <c r="GMX62" s="608"/>
      <c r="GMY62" s="608"/>
      <c r="GMZ62" s="608"/>
      <c r="GNA62" s="608"/>
      <c r="GNB62" s="608"/>
      <c r="GNC62" s="608"/>
      <c r="GND62" s="608"/>
      <c r="GNE62" s="608"/>
      <c r="GNF62" s="608"/>
      <c r="GNG62" s="608"/>
      <c r="GNH62" s="608"/>
      <c r="GNI62" s="608"/>
      <c r="GNJ62" s="608"/>
      <c r="GNK62" s="608"/>
      <c r="GNL62" s="608"/>
      <c r="GNM62" s="608"/>
      <c r="GNN62" s="608"/>
      <c r="GNO62" s="608"/>
      <c r="GNP62" s="608"/>
      <c r="GNQ62" s="608"/>
      <c r="GNR62" s="608"/>
      <c r="GNS62" s="608"/>
      <c r="GNT62" s="608"/>
      <c r="GNU62" s="608"/>
      <c r="GNV62" s="608"/>
      <c r="GNW62" s="608"/>
      <c r="GNX62" s="608"/>
      <c r="GNY62" s="608"/>
      <c r="GNZ62" s="608"/>
      <c r="GOA62" s="608"/>
      <c r="GOB62" s="608"/>
      <c r="GOC62" s="608"/>
      <c r="GOD62" s="608"/>
      <c r="GOE62" s="608"/>
      <c r="GOF62" s="608"/>
      <c r="GOG62" s="608"/>
      <c r="GOH62" s="608"/>
      <c r="GOI62" s="608"/>
      <c r="GOJ62" s="608"/>
      <c r="GOK62" s="608"/>
      <c r="GOL62" s="608"/>
      <c r="GOM62" s="608"/>
      <c r="GON62" s="608"/>
      <c r="GOO62" s="608"/>
      <c r="GOP62" s="608"/>
      <c r="GOQ62" s="608"/>
      <c r="GOR62" s="608"/>
      <c r="GOS62" s="608"/>
      <c r="GOT62" s="608"/>
      <c r="GOU62" s="608"/>
      <c r="GOV62" s="608"/>
      <c r="GOW62" s="608"/>
      <c r="GOX62" s="608"/>
      <c r="GOY62" s="608"/>
      <c r="GOZ62" s="608"/>
      <c r="GPA62" s="608"/>
      <c r="GPB62" s="608"/>
      <c r="GPC62" s="608"/>
      <c r="GPD62" s="608"/>
      <c r="GPE62" s="608"/>
      <c r="GPF62" s="608"/>
      <c r="GPG62" s="608"/>
      <c r="GPH62" s="608"/>
      <c r="GPI62" s="608"/>
      <c r="GPJ62" s="608"/>
      <c r="GPK62" s="608"/>
      <c r="GPL62" s="608"/>
      <c r="GPM62" s="608"/>
      <c r="GPN62" s="608"/>
      <c r="GPO62" s="608"/>
      <c r="GPP62" s="608"/>
      <c r="GPQ62" s="608"/>
      <c r="GPR62" s="608"/>
      <c r="GPS62" s="608"/>
      <c r="GPT62" s="608"/>
      <c r="GPU62" s="608"/>
      <c r="GPV62" s="608"/>
      <c r="GPW62" s="608"/>
      <c r="GPX62" s="608"/>
      <c r="GPY62" s="608"/>
      <c r="GPZ62" s="608"/>
      <c r="GQA62" s="608"/>
      <c r="GQB62" s="608"/>
      <c r="GQC62" s="608"/>
      <c r="GQD62" s="608"/>
      <c r="GQE62" s="608"/>
      <c r="GQF62" s="608"/>
      <c r="GQG62" s="608"/>
      <c r="GQH62" s="608"/>
      <c r="GQI62" s="608"/>
      <c r="GQJ62" s="608"/>
      <c r="GQK62" s="608"/>
      <c r="GQL62" s="608"/>
      <c r="GQM62" s="608"/>
      <c r="GQN62" s="608"/>
      <c r="GQO62" s="608"/>
      <c r="GQP62" s="608"/>
      <c r="GQQ62" s="608"/>
      <c r="GQR62" s="608"/>
      <c r="GQS62" s="608"/>
      <c r="GQT62" s="608"/>
      <c r="GQU62" s="608"/>
      <c r="GQV62" s="608"/>
      <c r="GQW62" s="608"/>
      <c r="GQX62" s="608"/>
      <c r="GQY62" s="608"/>
      <c r="GQZ62" s="608"/>
      <c r="GRA62" s="608"/>
      <c r="GRB62" s="608"/>
      <c r="GRC62" s="608"/>
      <c r="GRD62" s="608"/>
      <c r="GRE62" s="608"/>
      <c r="GRF62" s="608"/>
      <c r="GRG62" s="608"/>
      <c r="GRH62" s="608"/>
      <c r="GRI62" s="608"/>
      <c r="GRJ62" s="608"/>
      <c r="GRK62" s="608"/>
      <c r="GRL62" s="608"/>
      <c r="GRM62" s="608"/>
      <c r="GRN62" s="608"/>
      <c r="GRO62" s="608"/>
      <c r="GRP62" s="608"/>
      <c r="GRQ62" s="608"/>
      <c r="GRR62" s="608"/>
      <c r="GRS62" s="608"/>
      <c r="GRT62" s="608"/>
      <c r="GRU62" s="608"/>
      <c r="GRV62" s="608"/>
      <c r="GRW62" s="608"/>
      <c r="GRX62" s="608"/>
      <c r="GRY62" s="608"/>
      <c r="GRZ62" s="608"/>
      <c r="GSA62" s="608"/>
      <c r="GSB62" s="608"/>
      <c r="GSC62" s="608"/>
      <c r="GSD62" s="608"/>
      <c r="GSE62" s="608"/>
      <c r="GSF62" s="608"/>
      <c r="GSG62" s="608"/>
      <c r="GSH62" s="608"/>
      <c r="GSI62" s="608"/>
      <c r="GSJ62" s="608"/>
      <c r="GSK62" s="608"/>
      <c r="GSL62" s="608"/>
      <c r="GSM62" s="608"/>
      <c r="GSN62" s="608"/>
      <c r="GSO62" s="608"/>
      <c r="GSP62" s="608"/>
      <c r="GSQ62" s="608"/>
      <c r="GSR62" s="608"/>
      <c r="GSS62" s="608"/>
      <c r="GST62" s="608"/>
      <c r="GSU62" s="608"/>
      <c r="GSV62" s="608"/>
      <c r="GSW62" s="608"/>
      <c r="GSX62" s="608"/>
      <c r="GSY62" s="608"/>
      <c r="GSZ62" s="608"/>
      <c r="GTA62" s="608"/>
      <c r="GTB62" s="608"/>
      <c r="GTC62" s="608"/>
      <c r="GTD62" s="608"/>
      <c r="GTE62" s="608"/>
      <c r="GTF62" s="608"/>
      <c r="GTG62" s="608"/>
      <c r="GTH62" s="608"/>
      <c r="GTI62" s="608"/>
      <c r="GTJ62" s="608"/>
      <c r="GTK62" s="608"/>
      <c r="GTL62" s="608"/>
      <c r="GTM62" s="608"/>
      <c r="GTN62" s="608"/>
      <c r="GTO62" s="608"/>
      <c r="GTP62" s="608"/>
      <c r="GTQ62" s="608"/>
      <c r="GTR62" s="608"/>
      <c r="GTS62" s="608"/>
      <c r="GTT62" s="608"/>
      <c r="GTU62" s="608"/>
      <c r="GTV62" s="608"/>
      <c r="GTW62" s="608"/>
      <c r="GTX62" s="608"/>
      <c r="GTY62" s="608"/>
      <c r="GTZ62" s="608"/>
      <c r="GUA62" s="608"/>
      <c r="GUB62" s="608"/>
      <c r="GUC62" s="608"/>
      <c r="GUD62" s="608"/>
      <c r="GUE62" s="608"/>
      <c r="GUF62" s="608"/>
      <c r="GUG62" s="608"/>
      <c r="GUH62" s="608"/>
      <c r="GUI62" s="608"/>
      <c r="GUJ62" s="608"/>
      <c r="GUK62" s="608"/>
      <c r="GUL62" s="608"/>
      <c r="GUM62" s="608"/>
      <c r="GUN62" s="608"/>
      <c r="GUO62" s="608"/>
      <c r="GUP62" s="608"/>
      <c r="GUQ62" s="608"/>
      <c r="GUR62" s="608"/>
      <c r="GUS62" s="608"/>
      <c r="GUT62" s="608"/>
      <c r="GUU62" s="608"/>
      <c r="GUV62" s="608"/>
      <c r="GUW62" s="608"/>
      <c r="GUX62" s="608"/>
      <c r="GUY62" s="608"/>
      <c r="GUZ62" s="608"/>
      <c r="GVA62" s="608"/>
      <c r="GVB62" s="608"/>
      <c r="GVC62" s="608"/>
      <c r="GVD62" s="608"/>
      <c r="GVE62" s="608"/>
      <c r="GVF62" s="608"/>
      <c r="GVG62" s="608"/>
      <c r="GVH62" s="608"/>
      <c r="GVI62" s="608"/>
      <c r="GVJ62" s="608"/>
      <c r="GVK62" s="608"/>
      <c r="GVL62" s="608"/>
      <c r="GVM62" s="608"/>
      <c r="GVN62" s="608"/>
      <c r="GVO62" s="608"/>
      <c r="GVP62" s="608"/>
      <c r="GVQ62" s="608"/>
      <c r="GVR62" s="608"/>
      <c r="GVS62" s="608"/>
      <c r="GVT62" s="608"/>
      <c r="GVU62" s="608"/>
      <c r="GVV62" s="608"/>
      <c r="GVW62" s="608"/>
      <c r="GVX62" s="608"/>
      <c r="GVY62" s="608"/>
      <c r="GVZ62" s="608"/>
      <c r="GWA62" s="608"/>
      <c r="GWB62" s="608"/>
      <c r="GWC62" s="608"/>
      <c r="GWD62" s="608"/>
      <c r="GWE62" s="608"/>
      <c r="GWF62" s="608"/>
      <c r="GWG62" s="608"/>
      <c r="GWH62" s="608"/>
      <c r="GWI62" s="608"/>
      <c r="GWJ62" s="608"/>
      <c r="GWK62" s="608"/>
      <c r="GWL62" s="608"/>
      <c r="GWM62" s="608"/>
      <c r="GWN62" s="608"/>
      <c r="GWO62" s="608"/>
      <c r="GWP62" s="608"/>
      <c r="GWQ62" s="608"/>
      <c r="GWR62" s="608"/>
      <c r="GWS62" s="608"/>
      <c r="GWT62" s="608"/>
      <c r="GWU62" s="608"/>
      <c r="GWV62" s="608"/>
      <c r="GWW62" s="608"/>
      <c r="GWX62" s="608"/>
      <c r="GWY62" s="608"/>
      <c r="GWZ62" s="608"/>
      <c r="GXA62" s="608"/>
      <c r="GXB62" s="608"/>
      <c r="GXC62" s="608"/>
      <c r="GXD62" s="608"/>
      <c r="GXE62" s="608"/>
      <c r="GXF62" s="608"/>
      <c r="GXG62" s="608"/>
      <c r="GXH62" s="608"/>
      <c r="GXI62" s="608"/>
      <c r="GXJ62" s="608"/>
      <c r="GXK62" s="608"/>
      <c r="GXL62" s="608"/>
      <c r="GXM62" s="608"/>
      <c r="GXN62" s="608"/>
      <c r="GXO62" s="608"/>
      <c r="GXP62" s="608"/>
      <c r="GXQ62" s="608"/>
      <c r="GXR62" s="608"/>
      <c r="GXS62" s="608"/>
      <c r="GXT62" s="608"/>
      <c r="GXU62" s="608"/>
      <c r="GXV62" s="608"/>
      <c r="GXW62" s="608"/>
      <c r="GXX62" s="608"/>
      <c r="GXY62" s="608"/>
      <c r="GXZ62" s="608"/>
      <c r="GYA62" s="608"/>
      <c r="GYB62" s="608"/>
      <c r="GYC62" s="608"/>
      <c r="GYD62" s="608"/>
      <c r="GYE62" s="608"/>
      <c r="GYF62" s="608"/>
      <c r="GYG62" s="608"/>
      <c r="GYH62" s="608"/>
      <c r="GYI62" s="608"/>
      <c r="GYJ62" s="608"/>
      <c r="GYK62" s="608"/>
      <c r="GYL62" s="608"/>
      <c r="GYM62" s="608"/>
      <c r="GYN62" s="608"/>
      <c r="GYO62" s="608"/>
      <c r="GYP62" s="608"/>
      <c r="GYQ62" s="608"/>
      <c r="GYR62" s="608"/>
      <c r="GYS62" s="608"/>
      <c r="GYT62" s="608"/>
      <c r="GYU62" s="608"/>
      <c r="GYV62" s="608"/>
      <c r="GYW62" s="608"/>
      <c r="GYX62" s="608"/>
      <c r="GYY62" s="608"/>
      <c r="GYZ62" s="608"/>
      <c r="GZA62" s="608"/>
      <c r="GZB62" s="608"/>
      <c r="GZC62" s="608"/>
      <c r="GZD62" s="608"/>
      <c r="GZE62" s="608"/>
      <c r="GZF62" s="608"/>
      <c r="GZG62" s="608"/>
      <c r="GZH62" s="608"/>
      <c r="GZI62" s="608"/>
      <c r="GZJ62" s="608"/>
      <c r="GZK62" s="608"/>
      <c r="GZL62" s="608"/>
      <c r="GZM62" s="608"/>
      <c r="GZN62" s="608"/>
      <c r="GZO62" s="608"/>
      <c r="GZP62" s="608"/>
      <c r="GZQ62" s="608"/>
      <c r="GZR62" s="608"/>
      <c r="GZS62" s="608"/>
      <c r="GZT62" s="608"/>
      <c r="GZU62" s="608"/>
      <c r="GZV62" s="608"/>
      <c r="GZW62" s="608"/>
      <c r="GZX62" s="608"/>
      <c r="GZY62" s="608"/>
      <c r="GZZ62" s="608"/>
      <c r="HAA62" s="608"/>
      <c r="HAB62" s="608"/>
      <c r="HAC62" s="608"/>
      <c r="HAD62" s="608"/>
      <c r="HAE62" s="608"/>
      <c r="HAF62" s="608"/>
      <c r="HAG62" s="608"/>
      <c r="HAH62" s="608"/>
      <c r="HAI62" s="608"/>
      <c r="HAJ62" s="608"/>
      <c r="HAK62" s="608"/>
      <c r="HAL62" s="608"/>
      <c r="HAM62" s="608"/>
      <c r="HAN62" s="608"/>
      <c r="HAO62" s="608"/>
      <c r="HAP62" s="608"/>
      <c r="HAQ62" s="608"/>
      <c r="HAR62" s="608"/>
      <c r="HAS62" s="608"/>
      <c r="HAT62" s="608"/>
      <c r="HAU62" s="608"/>
      <c r="HAV62" s="608"/>
      <c r="HAW62" s="608"/>
      <c r="HAX62" s="608"/>
      <c r="HAY62" s="608"/>
      <c r="HAZ62" s="608"/>
      <c r="HBA62" s="608"/>
      <c r="HBB62" s="608"/>
      <c r="HBC62" s="608"/>
      <c r="HBD62" s="608"/>
      <c r="HBE62" s="608"/>
      <c r="HBF62" s="608"/>
      <c r="HBG62" s="608"/>
      <c r="HBH62" s="608"/>
      <c r="HBI62" s="608"/>
      <c r="HBJ62" s="608"/>
      <c r="HBK62" s="608"/>
      <c r="HBL62" s="608"/>
      <c r="HBM62" s="608"/>
      <c r="HBN62" s="608"/>
      <c r="HBO62" s="608"/>
      <c r="HBP62" s="608"/>
      <c r="HBQ62" s="608"/>
      <c r="HBR62" s="608"/>
      <c r="HBS62" s="608"/>
      <c r="HBT62" s="608"/>
      <c r="HBU62" s="608"/>
      <c r="HBV62" s="608"/>
      <c r="HBW62" s="608"/>
      <c r="HBX62" s="608"/>
      <c r="HBY62" s="608"/>
      <c r="HBZ62" s="608"/>
      <c r="HCA62" s="608"/>
      <c r="HCB62" s="608"/>
      <c r="HCC62" s="608"/>
      <c r="HCD62" s="608"/>
      <c r="HCE62" s="608"/>
      <c r="HCF62" s="608"/>
      <c r="HCG62" s="608"/>
      <c r="HCH62" s="608"/>
      <c r="HCI62" s="608"/>
      <c r="HCJ62" s="608"/>
      <c r="HCK62" s="608"/>
      <c r="HCL62" s="608"/>
      <c r="HCM62" s="608"/>
      <c r="HCN62" s="608"/>
      <c r="HCO62" s="608"/>
      <c r="HCP62" s="608"/>
      <c r="HCQ62" s="608"/>
      <c r="HCR62" s="608"/>
      <c r="HCS62" s="608"/>
      <c r="HCT62" s="608"/>
      <c r="HCU62" s="608"/>
      <c r="HCV62" s="608"/>
      <c r="HCW62" s="608"/>
      <c r="HCX62" s="608"/>
      <c r="HCY62" s="608"/>
      <c r="HCZ62" s="608"/>
      <c r="HDA62" s="608"/>
      <c r="HDB62" s="608"/>
      <c r="HDC62" s="608"/>
      <c r="HDD62" s="608"/>
      <c r="HDE62" s="608"/>
      <c r="HDF62" s="608"/>
      <c r="HDG62" s="608"/>
      <c r="HDH62" s="608"/>
      <c r="HDI62" s="608"/>
      <c r="HDJ62" s="608"/>
      <c r="HDK62" s="608"/>
      <c r="HDL62" s="608"/>
      <c r="HDM62" s="608"/>
      <c r="HDN62" s="608"/>
      <c r="HDO62" s="608"/>
      <c r="HDP62" s="608"/>
      <c r="HDQ62" s="608"/>
      <c r="HDR62" s="608"/>
      <c r="HDS62" s="608"/>
      <c r="HDT62" s="608"/>
      <c r="HDU62" s="608"/>
      <c r="HDV62" s="608"/>
      <c r="HDW62" s="608"/>
      <c r="HDX62" s="608"/>
      <c r="HDY62" s="608"/>
      <c r="HDZ62" s="608"/>
      <c r="HEA62" s="608"/>
      <c r="HEB62" s="608"/>
      <c r="HEC62" s="608"/>
      <c r="HED62" s="608"/>
      <c r="HEE62" s="608"/>
      <c r="HEF62" s="608"/>
      <c r="HEG62" s="608"/>
      <c r="HEH62" s="608"/>
      <c r="HEI62" s="608"/>
      <c r="HEJ62" s="608"/>
      <c r="HEK62" s="608"/>
      <c r="HEL62" s="608"/>
      <c r="HEM62" s="608"/>
      <c r="HEN62" s="608"/>
      <c r="HEO62" s="608"/>
      <c r="HEP62" s="608"/>
      <c r="HEQ62" s="608"/>
      <c r="HER62" s="608"/>
      <c r="HES62" s="608"/>
      <c r="HET62" s="608"/>
      <c r="HEU62" s="608"/>
      <c r="HEV62" s="608"/>
      <c r="HEW62" s="608"/>
      <c r="HEX62" s="608"/>
      <c r="HEY62" s="608"/>
      <c r="HEZ62" s="608"/>
      <c r="HFA62" s="608"/>
      <c r="HFB62" s="608"/>
      <c r="HFC62" s="608"/>
      <c r="HFD62" s="608"/>
      <c r="HFE62" s="608"/>
      <c r="HFF62" s="608"/>
      <c r="HFG62" s="608"/>
      <c r="HFH62" s="608"/>
      <c r="HFI62" s="608"/>
      <c r="HFJ62" s="608"/>
      <c r="HFK62" s="608"/>
      <c r="HFL62" s="608"/>
      <c r="HFM62" s="608"/>
      <c r="HFN62" s="608"/>
      <c r="HFO62" s="608"/>
      <c r="HFP62" s="608"/>
      <c r="HFQ62" s="608"/>
      <c r="HFR62" s="608"/>
      <c r="HFS62" s="608"/>
      <c r="HFT62" s="608"/>
      <c r="HFU62" s="608"/>
      <c r="HFV62" s="608"/>
      <c r="HFW62" s="608"/>
      <c r="HFX62" s="608"/>
      <c r="HFY62" s="608"/>
      <c r="HFZ62" s="608"/>
      <c r="HGA62" s="608"/>
      <c r="HGB62" s="608"/>
      <c r="HGC62" s="608"/>
      <c r="HGD62" s="608"/>
      <c r="HGE62" s="608"/>
      <c r="HGF62" s="608"/>
      <c r="HGG62" s="608"/>
      <c r="HGH62" s="608"/>
      <c r="HGI62" s="608"/>
      <c r="HGJ62" s="608"/>
      <c r="HGK62" s="608"/>
      <c r="HGL62" s="608"/>
      <c r="HGM62" s="608"/>
      <c r="HGN62" s="608"/>
      <c r="HGO62" s="608"/>
      <c r="HGP62" s="608"/>
      <c r="HGQ62" s="608"/>
      <c r="HGR62" s="608"/>
      <c r="HGS62" s="608"/>
      <c r="HGT62" s="608"/>
      <c r="HGU62" s="608"/>
      <c r="HGV62" s="608"/>
      <c r="HGW62" s="608"/>
      <c r="HGX62" s="608"/>
      <c r="HGY62" s="608"/>
      <c r="HGZ62" s="608"/>
      <c r="HHA62" s="608"/>
      <c r="HHB62" s="608"/>
      <c r="HHC62" s="608"/>
      <c r="HHD62" s="608"/>
      <c r="HHE62" s="608"/>
      <c r="HHF62" s="608"/>
      <c r="HHG62" s="608"/>
      <c r="HHH62" s="608"/>
      <c r="HHI62" s="608"/>
      <c r="HHJ62" s="608"/>
      <c r="HHK62" s="608"/>
      <c r="HHL62" s="608"/>
      <c r="HHM62" s="608"/>
      <c r="HHN62" s="608"/>
      <c r="HHO62" s="608"/>
      <c r="HHP62" s="608"/>
      <c r="HHQ62" s="608"/>
      <c r="HHR62" s="608"/>
      <c r="HHS62" s="608"/>
      <c r="HHT62" s="608"/>
      <c r="HHU62" s="608"/>
      <c r="HHV62" s="608"/>
      <c r="HHW62" s="608"/>
      <c r="HHX62" s="608"/>
      <c r="HHY62" s="608"/>
      <c r="HHZ62" s="608"/>
      <c r="HIA62" s="608"/>
      <c r="HIB62" s="608"/>
      <c r="HIC62" s="608"/>
      <c r="HID62" s="608"/>
      <c r="HIE62" s="608"/>
      <c r="HIF62" s="608"/>
      <c r="HIG62" s="608"/>
      <c r="HIH62" s="608"/>
      <c r="HII62" s="608"/>
      <c r="HIJ62" s="608"/>
      <c r="HIK62" s="608"/>
      <c r="HIL62" s="608"/>
      <c r="HIM62" s="608"/>
      <c r="HIN62" s="608"/>
      <c r="HIO62" s="608"/>
      <c r="HIP62" s="608"/>
      <c r="HIQ62" s="608"/>
      <c r="HIR62" s="608"/>
      <c r="HIS62" s="608"/>
      <c r="HIT62" s="608"/>
      <c r="HIU62" s="608"/>
      <c r="HIV62" s="608"/>
      <c r="HIW62" s="608"/>
      <c r="HIX62" s="608"/>
      <c r="HIY62" s="608"/>
      <c r="HIZ62" s="608"/>
      <c r="HJA62" s="608"/>
      <c r="HJB62" s="608"/>
      <c r="HJC62" s="608"/>
      <c r="HJD62" s="608"/>
      <c r="HJE62" s="608"/>
      <c r="HJF62" s="608"/>
      <c r="HJG62" s="608"/>
      <c r="HJH62" s="608"/>
      <c r="HJI62" s="608"/>
      <c r="HJJ62" s="608"/>
      <c r="HJK62" s="608"/>
      <c r="HJL62" s="608"/>
      <c r="HJM62" s="608"/>
      <c r="HJN62" s="608"/>
      <c r="HJO62" s="608"/>
      <c r="HJP62" s="608"/>
      <c r="HJQ62" s="608"/>
      <c r="HJR62" s="608"/>
      <c r="HJS62" s="608"/>
      <c r="HJT62" s="608"/>
      <c r="HJU62" s="608"/>
      <c r="HJV62" s="608"/>
      <c r="HJW62" s="608"/>
      <c r="HJX62" s="608"/>
      <c r="HJY62" s="608"/>
      <c r="HJZ62" s="608"/>
      <c r="HKA62" s="608"/>
      <c r="HKB62" s="608"/>
      <c r="HKC62" s="608"/>
      <c r="HKD62" s="608"/>
      <c r="HKE62" s="608"/>
      <c r="HKF62" s="608"/>
      <c r="HKG62" s="608"/>
      <c r="HKH62" s="608"/>
      <c r="HKI62" s="608"/>
      <c r="HKJ62" s="608"/>
      <c r="HKK62" s="608"/>
      <c r="HKL62" s="608"/>
      <c r="HKM62" s="608"/>
      <c r="HKN62" s="608"/>
      <c r="HKO62" s="608"/>
      <c r="HKP62" s="608"/>
      <c r="HKQ62" s="608"/>
      <c r="HKR62" s="608"/>
      <c r="HKS62" s="608"/>
      <c r="HKT62" s="608"/>
      <c r="HKU62" s="608"/>
      <c r="HKV62" s="608"/>
      <c r="HKW62" s="608"/>
      <c r="HKX62" s="608"/>
      <c r="HKY62" s="608"/>
      <c r="HKZ62" s="608"/>
      <c r="HLA62" s="608"/>
      <c r="HLB62" s="608"/>
      <c r="HLC62" s="608"/>
      <c r="HLD62" s="608"/>
      <c r="HLE62" s="608"/>
      <c r="HLF62" s="608"/>
      <c r="HLG62" s="608"/>
      <c r="HLH62" s="608"/>
      <c r="HLI62" s="608"/>
      <c r="HLJ62" s="608"/>
      <c r="HLK62" s="608"/>
      <c r="HLL62" s="608"/>
      <c r="HLM62" s="608"/>
      <c r="HLN62" s="608"/>
      <c r="HLO62" s="608"/>
      <c r="HLP62" s="608"/>
      <c r="HLQ62" s="608"/>
      <c r="HLR62" s="608"/>
      <c r="HLS62" s="608"/>
      <c r="HLT62" s="608"/>
      <c r="HLU62" s="608"/>
      <c r="HLV62" s="608"/>
      <c r="HLW62" s="608"/>
      <c r="HLX62" s="608"/>
      <c r="HLY62" s="608"/>
      <c r="HLZ62" s="608"/>
      <c r="HMA62" s="608"/>
      <c r="HMB62" s="608"/>
      <c r="HMC62" s="608"/>
      <c r="HMD62" s="608"/>
      <c r="HME62" s="608"/>
      <c r="HMF62" s="608"/>
      <c r="HMG62" s="608"/>
      <c r="HMH62" s="608"/>
      <c r="HMI62" s="608"/>
      <c r="HMJ62" s="608"/>
      <c r="HMK62" s="608"/>
      <c r="HML62" s="608"/>
      <c r="HMM62" s="608"/>
      <c r="HMN62" s="608"/>
      <c r="HMO62" s="608"/>
      <c r="HMP62" s="608"/>
      <c r="HMQ62" s="608"/>
      <c r="HMR62" s="608"/>
      <c r="HMS62" s="608"/>
      <c r="HMT62" s="608"/>
      <c r="HMU62" s="608"/>
      <c r="HMV62" s="608"/>
      <c r="HMW62" s="608"/>
      <c r="HMX62" s="608"/>
      <c r="HMY62" s="608"/>
      <c r="HMZ62" s="608"/>
      <c r="HNA62" s="608"/>
      <c r="HNB62" s="608"/>
      <c r="HNC62" s="608"/>
      <c r="HND62" s="608"/>
      <c r="HNE62" s="608"/>
      <c r="HNF62" s="608"/>
      <c r="HNG62" s="608"/>
      <c r="HNH62" s="608"/>
      <c r="HNI62" s="608"/>
      <c r="HNJ62" s="608"/>
      <c r="HNK62" s="608"/>
      <c r="HNL62" s="608"/>
      <c r="HNM62" s="608"/>
      <c r="HNN62" s="608"/>
      <c r="HNO62" s="608"/>
      <c r="HNP62" s="608"/>
      <c r="HNQ62" s="608"/>
      <c r="HNR62" s="608"/>
      <c r="HNS62" s="608"/>
      <c r="HNT62" s="608"/>
      <c r="HNU62" s="608"/>
      <c r="HNV62" s="608"/>
      <c r="HNW62" s="608"/>
      <c r="HNX62" s="608"/>
      <c r="HNY62" s="608"/>
      <c r="HNZ62" s="608"/>
      <c r="HOA62" s="608"/>
      <c r="HOB62" s="608"/>
      <c r="HOC62" s="608"/>
      <c r="HOD62" s="608"/>
      <c r="HOE62" s="608"/>
      <c r="HOF62" s="608"/>
      <c r="HOG62" s="608"/>
      <c r="HOH62" s="608"/>
      <c r="HOI62" s="608"/>
      <c r="HOJ62" s="608"/>
      <c r="HOK62" s="608"/>
      <c r="HOL62" s="608"/>
      <c r="HOM62" s="608"/>
      <c r="HON62" s="608"/>
      <c r="HOO62" s="608"/>
      <c r="HOP62" s="608"/>
      <c r="HOQ62" s="608"/>
      <c r="HOR62" s="608"/>
      <c r="HOS62" s="608"/>
      <c r="HOT62" s="608"/>
      <c r="HOU62" s="608"/>
      <c r="HOV62" s="608"/>
      <c r="HOW62" s="608"/>
      <c r="HOX62" s="608"/>
      <c r="HOY62" s="608"/>
      <c r="HOZ62" s="608"/>
      <c r="HPA62" s="608"/>
      <c r="HPB62" s="608"/>
      <c r="HPC62" s="608"/>
      <c r="HPD62" s="608"/>
      <c r="HPE62" s="608"/>
      <c r="HPF62" s="608"/>
      <c r="HPG62" s="608"/>
      <c r="HPH62" s="608"/>
      <c r="HPI62" s="608"/>
      <c r="HPJ62" s="608"/>
      <c r="HPK62" s="608"/>
      <c r="HPL62" s="608"/>
      <c r="HPM62" s="608"/>
      <c r="HPN62" s="608"/>
      <c r="HPO62" s="608"/>
      <c r="HPP62" s="608"/>
      <c r="HPQ62" s="608"/>
      <c r="HPR62" s="608"/>
      <c r="HPS62" s="608"/>
      <c r="HPT62" s="608"/>
      <c r="HPU62" s="608"/>
      <c r="HPV62" s="608"/>
      <c r="HPW62" s="608"/>
      <c r="HPX62" s="608"/>
      <c r="HPY62" s="608"/>
      <c r="HPZ62" s="608"/>
      <c r="HQA62" s="608"/>
      <c r="HQB62" s="608"/>
      <c r="HQC62" s="608"/>
      <c r="HQD62" s="608"/>
      <c r="HQE62" s="608"/>
      <c r="HQF62" s="608"/>
      <c r="HQG62" s="608"/>
      <c r="HQH62" s="608"/>
      <c r="HQI62" s="608"/>
      <c r="HQJ62" s="608"/>
      <c r="HQK62" s="608"/>
      <c r="HQL62" s="608"/>
      <c r="HQM62" s="608"/>
      <c r="HQN62" s="608"/>
      <c r="HQO62" s="608"/>
      <c r="HQP62" s="608"/>
      <c r="HQQ62" s="608"/>
      <c r="HQR62" s="608"/>
      <c r="HQS62" s="608"/>
      <c r="HQT62" s="608"/>
      <c r="HQU62" s="608"/>
      <c r="HQV62" s="608"/>
      <c r="HQW62" s="608"/>
      <c r="HQX62" s="608"/>
      <c r="HQY62" s="608"/>
      <c r="HQZ62" s="608"/>
      <c r="HRA62" s="608"/>
      <c r="HRB62" s="608"/>
      <c r="HRC62" s="608"/>
      <c r="HRD62" s="608"/>
      <c r="HRE62" s="608"/>
      <c r="HRF62" s="608"/>
      <c r="HRG62" s="608"/>
      <c r="HRH62" s="608"/>
      <c r="HRI62" s="608"/>
      <c r="HRJ62" s="608"/>
      <c r="HRK62" s="608"/>
      <c r="HRL62" s="608"/>
      <c r="HRM62" s="608"/>
      <c r="HRN62" s="608"/>
      <c r="HRO62" s="608"/>
      <c r="HRP62" s="608"/>
      <c r="HRQ62" s="608"/>
      <c r="HRR62" s="608"/>
      <c r="HRS62" s="608"/>
      <c r="HRT62" s="608"/>
      <c r="HRU62" s="608"/>
      <c r="HRV62" s="608"/>
      <c r="HRW62" s="608"/>
      <c r="HRX62" s="608"/>
      <c r="HRY62" s="608"/>
      <c r="HRZ62" s="608"/>
      <c r="HSA62" s="608"/>
      <c r="HSB62" s="608"/>
      <c r="HSC62" s="608"/>
      <c r="HSD62" s="608"/>
      <c r="HSE62" s="608"/>
      <c r="HSF62" s="608"/>
      <c r="HSG62" s="608"/>
      <c r="HSH62" s="608"/>
      <c r="HSI62" s="608"/>
      <c r="HSJ62" s="608"/>
      <c r="HSK62" s="608"/>
      <c r="HSL62" s="608"/>
      <c r="HSM62" s="608"/>
      <c r="HSN62" s="608"/>
      <c r="HSO62" s="608"/>
      <c r="HSP62" s="608"/>
      <c r="HSQ62" s="608"/>
      <c r="HSR62" s="608"/>
      <c r="HSS62" s="608"/>
      <c r="HST62" s="608"/>
      <c r="HSU62" s="608"/>
      <c r="HSV62" s="608"/>
      <c r="HSW62" s="608"/>
      <c r="HSX62" s="608"/>
      <c r="HSY62" s="608"/>
      <c r="HSZ62" s="608"/>
      <c r="HTA62" s="608"/>
      <c r="HTB62" s="608"/>
      <c r="HTC62" s="608"/>
      <c r="HTD62" s="608"/>
      <c r="HTE62" s="608"/>
      <c r="HTF62" s="608"/>
      <c r="HTG62" s="608"/>
      <c r="HTH62" s="608"/>
      <c r="HTI62" s="608"/>
      <c r="HTJ62" s="608"/>
      <c r="HTK62" s="608"/>
      <c r="HTL62" s="608"/>
      <c r="HTM62" s="608"/>
      <c r="HTN62" s="608"/>
      <c r="HTO62" s="608"/>
      <c r="HTP62" s="608"/>
      <c r="HTQ62" s="608"/>
      <c r="HTR62" s="608"/>
      <c r="HTS62" s="608"/>
      <c r="HTT62" s="608"/>
      <c r="HTU62" s="608"/>
      <c r="HTV62" s="608"/>
      <c r="HTW62" s="608"/>
      <c r="HTX62" s="608"/>
      <c r="HTY62" s="608"/>
      <c r="HTZ62" s="608"/>
      <c r="HUA62" s="608"/>
      <c r="HUB62" s="608"/>
      <c r="HUC62" s="608"/>
      <c r="HUD62" s="608"/>
      <c r="HUE62" s="608"/>
      <c r="HUF62" s="608"/>
      <c r="HUG62" s="608"/>
      <c r="HUH62" s="608"/>
      <c r="HUI62" s="608"/>
      <c r="HUJ62" s="608"/>
      <c r="HUK62" s="608"/>
      <c r="HUL62" s="608"/>
      <c r="HUM62" s="608"/>
      <c r="HUN62" s="608"/>
      <c r="HUO62" s="608"/>
      <c r="HUP62" s="608"/>
      <c r="HUQ62" s="608"/>
      <c r="HUR62" s="608"/>
      <c r="HUS62" s="608"/>
      <c r="HUT62" s="608"/>
      <c r="HUU62" s="608"/>
      <c r="HUV62" s="608"/>
      <c r="HUW62" s="608"/>
      <c r="HUX62" s="608"/>
      <c r="HUY62" s="608"/>
      <c r="HUZ62" s="608"/>
      <c r="HVA62" s="608"/>
      <c r="HVB62" s="608"/>
      <c r="HVC62" s="608"/>
      <c r="HVD62" s="608"/>
      <c r="HVE62" s="608"/>
      <c r="HVF62" s="608"/>
      <c r="HVG62" s="608"/>
      <c r="HVH62" s="608"/>
      <c r="HVI62" s="608"/>
      <c r="HVJ62" s="608"/>
      <c r="HVK62" s="608"/>
      <c r="HVL62" s="608"/>
      <c r="HVM62" s="608"/>
      <c r="HVN62" s="608"/>
      <c r="HVO62" s="608"/>
      <c r="HVP62" s="608"/>
      <c r="HVQ62" s="608"/>
      <c r="HVR62" s="608"/>
      <c r="HVS62" s="608"/>
      <c r="HVT62" s="608"/>
      <c r="HVU62" s="608"/>
      <c r="HVV62" s="608"/>
      <c r="HVW62" s="608"/>
      <c r="HVX62" s="608"/>
      <c r="HVY62" s="608"/>
      <c r="HVZ62" s="608"/>
      <c r="HWA62" s="608"/>
      <c r="HWB62" s="608"/>
      <c r="HWC62" s="608"/>
      <c r="HWD62" s="608"/>
      <c r="HWE62" s="608"/>
      <c r="HWF62" s="608"/>
      <c r="HWG62" s="608"/>
      <c r="HWH62" s="608"/>
      <c r="HWI62" s="608"/>
      <c r="HWJ62" s="608"/>
      <c r="HWK62" s="608"/>
      <c r="HWL62" s="608"/>
      <c r="HWM62" s="608"/>
      <c r="HWN62" s="608"/>
      <c r="HWO62" s="608"/>
      <c r="HWP62" s="608"/>
      <c r="HWQ62" s="608"/>
      <c r="HWR62" s="608"/>
      <c r="HWS62" s="608"/>
      <c r="HWT62" s="608"/>
      <c r="HWU62" s="608"/>
      <c r="HWV62" s="608"/>
      <c r="HWW62" s="608"/>
      <c r="HWX62" s="608"/>
      <c r="HWY62" s="608"/>
      <c r="HWZ62" s="608"/>
      <c r="HXA62" s="608"/>
      <c r="HXB62" s="608"/>
      <c r="HXC62" s="608"/>
      <c r="HXD62" s="608"/>
      <c r="HXE62" s="608"/>
      <c r="HXF62" s="608"/>
      <c r="HXG62" s="608"/>
      <c r="HXH62" s="608"/>
      <c r="HXI62" s="608"/>
      <c r="HXJ62" s="608"/>
      <c r="HXK62" s="608"/>
      <c r="HXL62" s="608"/>
      <c r="HXM62" s="608"/>
      <c r="HXN62" s="608"/>
      <c r="HXO62" s="608"/>
      <c r="HXP62" s="608"/>
      <c r="HXQ62" s="608"/>
      <c r="HXR62" s="608"/>
      <c r="HXS62" s="608"/>
      <c r="HXT62" s="608"/>
      <c r="HXU62" s="608"/>
      <c r="HXV62" s="608"/>
      <c r="HXW62" s="608"/>
      <c r="HXX62" s="608"/>
      <c r="HXY62" s="608"/>
      <c r="HXZ62" s="608"/>
      <c r="HYA62" s="608"/>
      <c r="HYB62" s="608"/>
      <c r="HYC62" s="608"/>
      <c r="HYD62" s="608"/>
      <c r="HYE62" s="608"/>
      <c r="HYF62" s="608"/>
      <c r="HYG62" s="608"/>
      <c r="HYH62" s="608"/>
      <c r="HYI62" s="608"/>
      <c r="HYJ62" s="608"/>
      <c r="HYK62" s="608"/>
      <c r="HYL62" s="608"/>
      <c r="HYM62" s="608"/>
      <c r="HYN62" s="608"/>
      <c r="HYO62" s="608"/>
      <c r="HYP62" s="608"/>
      <c r="HYQ62" s="608"/>
      <c r="HYR62" s="608"/>
      <c r="HYS62" s="608"/>
      <c r="HYT62" s="608"/>
      <c r="HYU62" s="608"/>
      <c r="HYV62" s="608"/>
      <c r="HYW62" s="608"/>
      <c r="HYX62" s="608"/>
      <c r="HYY62" s="608"/>
      <c r="HYZ62" s="608"/>
      <c r="HZA62" s="608"/>
      <c r="HZB62" s="608"/>
      <c r="HZC62" s="608"/>
      <c r="HZD62" s="608"/>
      <c r="HZE62" s="608"/>
      <c r="HZF62" s="608"/>
      <c r="HZG62" s="608"/>
      <c r="HZH62" s="608"/>
      <c r="HZI62" s="608"/>
      <c r="HZJ62" s="608"/>
      <c r="HZK62" s="608"/>
      <c r="HZL62" s="608"/>
      <c r="HZM62" s="608"/>
      <c r="HZN62" s="608"/>
      <c r="HZO62" s="608"/>
      <c r="HZP62" s="608"/>
      <c r="HZQ62" s="608"/>
      <c r="HZR62" s="608"/>
      <c r="HZS62" s="608"/>
      <c r="HZT62" s="608"/>
      <c r="HZU62" s="608"/>
      <c r="HZV62" s="608"/>
      <c r="HZW62" s="608"/>
      <c r="HZX62" s="608"/>
      <c r="HZY62" s="608"/>
      <c r="HZZ62" s="608"/>
      <c r="IAA62" s="608"/>
      <c r="IAB62" s="608"/>
      <c r="IAC62" s="608"/>
      <c r="IAD62" s="608"/>
      <c r="IAE62" s="608"/>
      <c r="IAF62" s="608"/>
      <c r="IAG62" s="608"/>
      <c r="IAH62" s="608"/>
      <c r="IAI62" s="608"/>
      <c r="IAJ62" s="608"/>
      <c r="IAK62" s="608"/>
      <c r="IAL62" s="608"/>
      <c r="IAM62" s="608"/>
      <c r="IAN62" s="608"/>
      <c r="IAO62" s="608"/>
      <c r="IAP62" s="608"/>
      <c r="IAQ62" s="608"/>
      <c r="IAR62" s="608"/>
      <c r="IAS62" s="608"/>
      <c r="IAT62" s="608"/>
      <c r="IAU62" s="608"/>
      <c r="IAV62" s="608"/>
      <c r="IAW62" s="608"/>
      <c r="IAX62" s="608"/>
      <c r="IAY62" s="608"/>
      <c r="IAZ62" s="608"/>
      <c r="IBA62" s="608"/>
      <c r="IBB62" s="608"/>
      <c r="IBC62" s="608"/>
      <c r="IBD62" s="608"/>
      <c r="IBE62" s="608"/>
      <c r="IBF62" s="608"/>
      <c r="IBG62" s="608"/>
      <c r="IBH62" s="608"/>
      <c r="IBI62" s="608"/>
      <c r="IBJ62" s="608"/>
      <c r="IBK62" s="608"/>
      <c r="IBL62" s="608"/>
      <c r="IBM62" s="608"/>
      <c r="IBN62" s="608"/>
      <c r="IBO62" s="608"/>
      <c r="IBP62" s="608"/>
      <c r="IBQ62" s="608"/>
      <c r="IBR62" s="608"/>
      <c r="IBS62" s="608"/>
      <c r="IBT62" s="608"/>
      <c r="IBU62" s="608"/>
      <c r="IBV62" s="608"/>
      <c r="IBW62" s="608"/>
      <c r="IBX62" s="608"/>
      <c r="IBY62" s="608"/>
      <c r="IBZ62" s="608"/>
      <c r="ICA62" s="608"/>
      <c r="ICB62" s="608"/>
      <c r="ICC62" s="608"/>
      <c r="ICD62" s="608"/>
      <c r="ICE62" s="608"/>
      <c r="ICF62" s="608"/>
      <c r="ICG62" s="608"/>
      <c r="ICH62" s="608"/>
      <c r="ICI62" s="608"/>
      <c r="ICJ62" s="608"/>
      <c r="ICK62" s="608"/>
      <c r="ICL62" s="608"/>
      <c r="ICM62" s="608"/>
      <c r="ICN62" s="608"/>
      <c r="ICO62" s="608"/>
      <c r="ICP62" s="608"/>
      <c r="ICQ62" s="608"/>
      <c r="ICR62" s="608"/>
      <c r="ICS62" s="608"/>
      <c r="ICT62" s="608"/>
      <c r="ICU62" s="608"/>
      <c r="ICV62" s="608"/>
      <c r="ICW62" s="608"/>
      <c r="ICX62" s="608"/>
      <c r="ICY62" s="608"/>
      <c r="ICZ62" s="608"/>
      <c r="IDA62" s="608"/>
      <c r="IDB62" s="608"/>
      <c r="IDC62" s="608"/>
      <c r="IDD62" s="608"/>
      <c r="IDE62" s="608"/>
      <c r="IDF62" s="608"/>
      <c r="IDG62" s="608"/>
      <c r="IDH62" s="608"/>
      <c r="IDI62" s="608"/>
      <c r="IDJ62" s="608"/>
      <c r="IDK62" s="608"/>
      <c r="IDL62" s="608"/>
      <c r="IDM62" s="608"/>
      <c r="IDN62" s="608"/>
      <c r="IDO62" s="608"/>
      <c r="IDP62" s="608"/>
      <c r="IDQ62" s="608"/>
      <c r="IDR62" s="608"/>
      <c r="IDS62" s="608"/>
      <c r="IDT62" s="608"/>
      <c r="IDU62" s="608"/>
      <c r="IDV62" s="608"/>
      <c r="IDW62" s="608"/>
      <c r="IDX62" s="608"/>
      <c r="IDY62" s="608"/>
      <c r="IDZ62" s="608"/>
      <c r="IEA62" s="608"/>
      <c r="IEB62" s="608"/>
      <c r="IEC62" s="608"/>
      <c r="IED62" s="608"/>
      <c r="IEE62" s="608"/>
      <c r="IEF62" s="608"/>
      <c r="IEG62" s="608"/>
      <c r="IEH62" s="608"/>
      <c r="IEI62" s="608"/>
      <c r="IEJ62" s="608"/>
      <c r="IEK62" s="608"/>
      <c r="IEL62" s="608"/>
      <c r="IEM62" s="608"/>
      <c r="IEN62" s="608"/>
      <c r="IEO62" s="608"/>
      <c r="IEP62" s="608"/>
      <c r="IEQ62" s="608"/>
      <c r="IER62" s="608"/>
      <c r="IES62" s="608"/>
      <c r="IET62" s="608"/>
      <c r="IEU62" s="608"/>
      <c r="IEV62" s="608"/>
      <c r="IEW62" s="608"/>
      <c r="IEX62" s="608"/>
      <c r="IEY62" s="608"/>
      <c r="IEZ62" s="608"/>
      <c r="IFA62" s="608"/>
      <c r="IFB62" s="608"/>
      <c r="IFC62" s="608"/>
      <c r="IFD62" s="608"/>
      <c r="IFE62" s="608"/>
      <c r="IFF62" s="608"/>
      <c r="IFG62" s="608"/>
      <c r="IFH62" s="608"/>
      <c r="IFI62" s="608"/>
      <c r="IFJ62" s="608"/>
      <c r="IFK62" s="608"/>
      <c r="IFL62" s="608"/>
      <c r="IFM62" s="608"/>
      <c r="IFN62" s="608"/>
      <c r="IFO62" s="608"/>
      <c r="IFP62" s="608"/>
      <c r="IFQ62" s="608"/>
      <c r="IFR62" s="608"/>
      <c r="IFS62" s="608"/>
      <c r="IFT62" s="608"/>
      <c r="IFU62" s="608"/>
      <c r="IFV62" s="608"/>
      <c r="IFW62" s="608"/>
      <c r="IFX62" s="608"/>
      <c r="IFY62" s="608"/>
      <c r="IFZ62" s="608"/>
      <c r="IGA62" s="608"/>
      <c r="IGB62" s="608"/>
      <c r="IGC62" s="608"/>
      <c r="IGD62" s="608"/>
      <c r="IGE62" s="608"/>
      <c r="IGF62" s="608"/>
      <c r="IGG62" s="608"/>
      <c r="IGH62" s="608"/>
      <c r="IGI62" s="608"/>
      <c r="IGJ62" s="608"/>
      <c r="IGK62" s="608"/>
      <c r="IGL62" s="608"/>
      <c r="IGM62" s="608"/>
      <c r="IGN62" s="608"/>
      <c r="IGO62" s="608"/>
      <c r="IGP62" s="608"/>
      <c r="IGQ62" s="608"/>
      <c r="IGR62" s="608"/>
      <c r="IGS62" s="608"/>
      <c r="IGT62" s="608"/>
      <c r="IGU62" s="608"/>
      <c r="IGV62" s="608"/>
      <c r="IGW62" s="608"/>
      <c r="IGX62" s="608"/>
      <c r="IGY62" s="608"/>
      <c r="IGZ62" s="608"/>
      <c r="IHA62" s="608"/>
      <c r="IHB62" s="608"/>
      <c r="IHC62" s="608"/>
      <c r="IHD62" s="608"/>
      <c r="IHE62" s="608"/>
      <c r="IHF62" s="608"/>
      <c r="IHG62" s="608"/>
      <c r="IHH62" s="608"/>
      <c r="IHI62" s="608"/>
      <c r="IHJ62" s="608"/>
      <c r="IHK62" s="608"/>
      <c r="IHL62" s="608"/>
      <c r="IHM62" s="608"/>
      <c r="IHN62" s="608"/>
      <c r="IHO62" s="608"/>
      <c r="IHP62" s="608"/>
      <c r="IHQ62" s="608"/>
      <c r="IHR62" s="608"/>
      <c r="IHS62" s="608"/>
      <c r="IHT62" s="608"/>
      <c r="IHU62" s="608"/>
      <c r="IHV62" s="608"/>
      <c r="IHW62" s="608"/>
      <c r="IHX62" s="608"/>
      <c r="IHY62" s="608"/>
      <c r="IHZ62" s="608"/>
      <c r="IIA62" s="608"/>
      <c r="IIB62" s="608"/>
      <c r="IIC62" s="608"/>
      <c r="IID62" s="608"/>
      <c r="IIE62" s="608"/>
      <c r="IIF62" s="608"/>
      <c r="IIG62" s="608"/>
      <c r="IIH62" s="608"/>
      <c r="III62" s="608"/>
      <c r="IIJ62" s="608"/>
      <c r="IIK62" s="608"/>
      <c r="IIL62" s="608"/>
      <c r="IIM62" s="608"/>
      <c r="IIN62" s="608"/>
      <c r="IIO62" s="608"/>
      <c r="IIP62" s="608"/>
      <c r="IIQ62" s="608"/>
      <c r="IIR62" s="608"/>
      <c r="IIS62" s="608"/>
      <c r="IIT62" s="608"/>
      <c r="IIU62" s="608"/>
      <c r="IIV62" s="608"/>
      <c r="IIW62" s="608"/>
      <c r="IIX62" s="608"/>
      <c r="IIY62" s="608"/>
      <c r="IIZ62" s="608"/>
      <c r="IJA62" s="608"/>
      <c r="IJB62" s="608"/>
      <c r="IJC62" s="608"/>
      <c r="IJD62" s="608"/>
      <c r="IJE62" s="608"/>
      <c r="IJF62" s="608"/>
      <c r="IJG62" s="608"/>
      <c r="IJH62" s="608"/>
      <c r="IJI62" s="608"/>
      <c r="IJJ62" s="608"/>
      <c r="IJK62" s="608"/>
      <c r="IJL62" s="608"/>
      <c r="IJM62" s="608"/>
      <c r="IJN62" s="608"/>
      <c r="IJO62" s="608"/>
      <c r="IJP62" s="608"/>
      <c r="IJQ62" s="608"/>
      <c r="IJR62" s="608"/>
      <c r="IJS62" s="608"/>
      <c r="IJT62" s="608"/>
      <c r="IJU62" s="608"/>
      <c r="IJV62" s="608"/>
      <c r="IJW62" s="608"/>
      <c r="IJX62" s="608"/>
      <c r="IJY62" s="608"/>
      <c r="IJZ62" s="608"/>
      <c r="IKA62" s="608"/>
      <c r="IKB62" s="608"/>
      <c r="IKC62" s="608"/>
      <c r="IKD62" s="608"/>
      <c r="IKE62" s="608"/>
      <c r="IKF62" s="608"/>
      <c r="IKG62" s="608"/>
      <c r="IKH62" s="608"/>
      <c r="IKI62" s="608"/>
      <c r="IKJ62" s="608"/>
      <c r="IKK62" s="608"/>
      <c r="IKL62" s="608"/>
      <c r="IKM62" s="608"/>
      <c r="IKN62" s="608"/>
      <c r="IKO62" s="608"/>
      <c r="IKP62" s="608"/>
      <c r="IKQ62" s="608"/>
      <c r="IKR62" s="608"/>
      <c r="IKS62" s="608"/>
      <c r="IKT62" s="608"/>
      <c r="IKU62" s="608"/>
      <c r="IKV62" s="608"/>
      <c r="IKW62" s="608"/>
      <c r="IKX62" s="608"/>
      <c r="IKY62" s="608"/>
      <c r="IKZ62" s="608"/>
      <c r="ILA62" s="608"/>
      <c r="ILB62" s="608"/>
      <c r="ILC62" s="608"/>
      <c r="ILD62" s="608"/>
      <c r="ILE62" s="608"/>
      <c r="ILF62" s="608"/>
      <c r="ILG62" s="608"/>
      <c r="ILH62" s="608"/>
      <c r="ILI62" s="608"/>
      <c r="ILJ62" s="608"/>
      <c r="ILK62" s="608"/>
      <c r="ILL62" s="608"/>
      <c r="ILM62" s="608"/>
      <c r="ILN62" s="608"/>
      <c r="ILO62" s="608"/>
      <c r="ILP62" s="608"/>
      <c r="ILQ62" s="608"/>
      <c r="ILR62" s="608"/>
      <c r="ILS62" s="608"/>
      <c r="ILT62" s="608"/>
      <c r="ILU62" s="608"/>
      <c r="ILV62" s="608"/>
      <c r="ILW62" s="608"/>
      <c r="ILX62" s="608"/>
      <c r="ILY62" s="608"/>
      <c r="ILZ62" s="608"/>
      <c r="IMA62" s="608"/>
      <c r="IMB62" s="608"/>
      <c r="IMC62" s="608"/>
      <c r="IMD62" s="608"/>
      <c r="IME62" s="608"/>
      <c r="IMF62" s="608"/>
      <c r="IMG62" s="608"/>
      <c r="IMH62" s="608"/>
      <c r="IMI62" s="608"/>
      <c r="IMJ62" s="608"/>
      <c r="IMK62" s="608"/>
      <c r="IML62" s="608"/>
      <c r="IMM62" s="608"/>
      <c r="IMN62" s="608"/>
      <c r="IMO62" s="608"/>
      <c r="IMP62" s="608"/>
      <c r="IMQ62" s="608"/>
      <c r="IMR62" s="608"/>
      <c r="IMS62" s="608"/>
      <c r="IMT62" s="608"/>
      <c r="IMU62" s="608"/>
      <c r="IMV62" s="608"/>
      <c r="IMW62" s="608"/>
      <c r="IMX62" s="608"/>
      <c r="IMY62" s="608"/>
      <c r="IMZ62" s="608"/>
      <c r="INA62" s="608"/>
      <c r="INB62" s="608"/>
      <c r="INC62" s="608"/>
      <c r="IND62" s="608"/>
      <c r="INE62" s="608"/>
      <c r="INF62" s="608"/>
      <c r="ING62" s="608"/>
      <c r="INH62" s="608"/>
      <c r="INI62" s="608"/>
      <c r="INJ62" s="608"/>
      <c r="INK62" s="608"/>
      <c r="INL62" s="608"/>
      <c r="INM62" s="608"/>
      <c r="INN62" s="608"/>
      <c r="INO62" s="608"/>
      <c r="INP62" s="608"/>
      <c r="INQ62" s="608"/>
      <c r="INR62" s="608"/>
      <c r="INS62" s="608"/>
      <c r="INT62" s="608"/>
      <c r="INU62" s="608"/>
      <c r="INV62" s="608"/>
      <c r="INW62" s="608"/>
      <c r="INX62" s="608"/>
      <c r="INY62" s="608"/>
      <c r="INZ62" s="608"/>
      <c r="IOA62" s="608"/>
      <c r="IOB62" s="608"/>
      <c r="IOC62" s="608"/>
      <c r="IOD62" s="608"/>
      <c r="IOE62" s="608"/>
      <c r="IOF62" s="608"/>
      <c r="IOG62" s="608"/>
      <c r="IOH62" s="608"/>
      <c r="IOI62" s="608"/>
      <c r="IOJ62" s="608"/>
      <c r="IOK62" s="608"/>
      <c r="IOL62" s="608"/>
      <c r="IOM62" s="608"/>
      <c r="ION62" s="608"/>
      <c r="IOO62" s="608"/>
      <c r="IOP62" s="608"/>
      <c r="IOQ62" s="608"/>
      <c r="IOR62" s="608"/>
      <c r="IOS62" s="608"/>
      <c r="IOT62" s="608"/>
      <c r="IOU62" s="608"/>
      <c r="IOV62" s="608"/>
      <c r="IOW62" s="608"/>
      <c r="IOX62" s="608"/>
      <c r="IOY62" s="608"/>
      <c r="IOZ62" s="608"/>
      <c r="IPA62" s="608"/>
      <c r="IPB62" s="608"/>
      <c r="IPC62" s="608"/>
      <c r="IPD62" s="608"/>
      <c r="IPE62" s="608"/>
      <c r="IPF62" s="608"/>
      <c r="IPG62" s="608"/>
      <c r="IPH62" s="608"/>
      <c r="IPI62" s="608"/>
      <c r="IPJ62" s="608"/>
      <c r="IPK62" s="608"/>
      <c r="IPL62" s="608"/>
      <c r="IPM62" s="608"/>
      <c r="IPN62" s="608"/>
      <c r="IPO62" s="608"/>
      <c r="IPP62" s="608"/>
      <c r="IPQ62" s="608"/>
      <c r="IPR62" s="608"/>
      <c r="IPS62" s="608"/>
      <c r="IPT62" s="608"/>
      <c r="IPU62" s="608"/>
      <c r="IPV62" s="608"/>
      <c r="IPW62" s="608"/>
      <c r="IPX62" s="608"/>
      <c r="IPY62" s="608"/>
      <c r="IPZ62" s="608"/>
      <c r="IQA62" s="608"/>
      <c r="IQB62" s="608"/>
      <c r="IQC62" s="608"/>
      <c r="IQD62" s="608"/>
      <c r="IQE62" s="608"/>
      <c r="IQF62" s="608"/>
      <c r="IQG62" s="608"/>
      <c r="IQH62" s="608"/>
      <c r="IQI62" s="608"/>
      <c r="IQJ62" s="608"/>
      <c r="IQK62" s="608"/>
      <c r="IQL62" s="608"/>
      <c r="IQM62" s="608"/>
      <c r="IQN62" s="608"/>
      <c r="IQO62" s="608"/>
      <c r="IQP62" s="608"/>
      <c r="IQQ62" s="608"/>
      <c r="IQR62" s="608"/>
      <c r="IQS62" s="608"/>
      <c r="IQT62" s="608"/>
      <c r="IQU62" s="608"/>
      <c r="IQV62" s="608"/>
      <c r="IQW62" s="608"/>
      <c r="IQX62" s="608"/>
      <c r="IQY62" s="608"/>
      <c r="IQZ62" s="608"/>
      <c r="IRA62" s="608"/>
      <c r="IRB62" s="608"/>
      <c r="IRC62" s="608"/>
      <c r="IRD62" s="608"/>
      <c r="IRE62" s="608"/>
      <c r="IRF62" s="608"/>
      <c r="IRG62" s="608"/>
      <c r="IRH62" s="608"/>
      <c r="IRI62" s="608"/>
      <c r="IRJ62" s="608"/>
      <c r="IRK62" s="608"/>
      <c r="IRL62" s="608"/>
      <c r="IRM62" s="608"/>
      <c r="IRN62" s="608"/>
      <c r="IRO62" s="608"/>
      <c r="IRP62" s="608"/>
      <c r="IRQ62" s="608"/>
      <c r="IRR62" s="608"/>
      <c r="IRS62" s="608"/>
      <c r="IRT62" s="608"/>
      <c r="IRU62" s="608"/>
      <c r="IRV62" s="608"/>
      <c r="IRW62" s="608"/>
      <c r="IRX62" s="608"/>
      <c r="IRY62" s="608"/>
      <c r="IRZ62" s="608"/>
      <c r="ISA62" s="608"/>
      <c r="ISB62" s="608"/>
      <c r="ISC62" s="608"/>
      <c r="ISD62" s="608"/>
      <c r="ISE62" s="608"/>
      <c r="ISF62" s="608"/>
      <c r="ISG62" s="608"/>
      <c r="ISH62" s="608"/>
      <c r="ISI62" s="608"/>
      <c r="ISJ62" s="608"/>
      <c r="ISK62" s="608"/>
      <c r="ISL62" s="608"/>
      <c r="ISM62" s="608"/>
      <c r="ISN62" s="608"/>
      <c r="ISO62" s="608"/>
      <c r="ISP62" s="608"/>
      <c r="ISQ62" s="608"/>
      <c r="ISR62" s="608"/>
      <c r="ISS62" s="608"/>
      <c r="IST62" s="608"/>
      <c r="ISU62" s="608"/>
      <c r="ISV62" s="608"/>
      <c r="ISW62" s="608"/>
      <c r="ISX62" s="608"/>
      <c r="ISY62" s="608"/>
      <c r="ISZ62" s="608"/>
      <c r="ITA62" s="608"/>
      <c r="ITB62" s="608"/>
      <c r="ITC62" s="608"/>
      <c r="ITD62" s="608"/>
      <c r="ITE62" s="608"/>
      <c r="ITF62" s="608"/>
      <c r="ITG62" s="608"/>
      <c r="ITH62" s="608"/>
      <c r="ITI62" s="608"/>
      <c r="ITJ62" s="608"/>
      <c r="ITK62" s="608"/>
      <c r="ITL62" s="608"/>
      <c r="ITM62" s="608"/>
      <c r="ITN62" s="608"/>
      <c r="ITO62" s="608"/>
      <c r="ITP62" s="608"/>
      <c r="ITQ62" s="608"/>
      <c r="ITR62" s="608"/>
      <c r="ITS62" s="608"/>
      <c r="ITT62" s="608"/>
      <c r="ITU62" s="608"/>
      <c r="ITV62" s="608"/>
      <c r="ITW62" s="608"/>
      <c r="ITX62" s="608"/>
      <c r="ITY62" s="608"/>
      <c r="ITZ62" s="608"/>
      <c r="IUA62" s="608"/>
      <c r="IUB62" s="608"/>
      <c r="IUC62" s="608"/>
      <c r="IUD62" s="608"/>
      <c r="IUE62" s="608"/>
      <c r="IUF62" s="608"/>
      <c r="IUG62" s="608"/>
      <c r="IUH62" s="608"/>
      <c r="IUI62" s="608"/>
      <c r="IUJ62" s="608"/>
      <c r="IUK62" s="608"/>
      <c r="IUL62" s="608"/>
      <c r="IUM62" s="608"/>
      <c r="IUN62" s="608"/>
      <c r="IUO62" s="608"/>
      <c r="IUP62" s="608"/>
      <c r="IUQ62" s="608"/>
      <c r="IUR62" s="608"/>
      <c r="IUS62" s="608"/>
      <c r="IUT62" s="608"/>
      <c r="IUU62" s="608"/>
      <c r="IUV62" s="608"/>
      <c r="IUW62" s="608"/>
      <c r="IUX62" s="608"/>
      <c r="IUY62" s="608"/>
      <c r="IUZ62" s="608"/>
      <c r="IVA62" s="608"/>
      <c r="IVB62" s="608"/>
      <c r="IVC62" s="608"/>
      <c r="IVD62" s="608"/>
      <c r="IVE62" s="608"/>
      <c r="IVF62" s="608"/>
      <c r="IVG62" s="608"/>
      <c r="IVH62" s="608"/>
      <c r="IVI62" s="608"/>
      <c r="IVJ62" s="608"/>
      <c r="IVK62" s="608"/>
      <c r="IVL62" s="608"/>
      <c r="IVM62" s="608"/>
      <c r="IVN62" s="608"/>
      <c r="IVO62" s="608"/>
      <c r="IVP62" s="608"/>
      <c r="IVQ62" s="608"/>
      <c r="IVR62" s="608"/>
      <c r="IVS62" s="608"/>
      <c r="IVT62" s="608"/>
      <c r="IVU62" s="608"/>
      <c r="IVV62" s="608"/>
      <c r="IVW62" s="608"/>
      <c r="IVX62" s="608"/>
      <c r="IVY62" s="608"/>
      <c r="IVZ62" s="608"/>
      <c r="IWA62" s="608"/>
      <c r="IWB62" s="608"/>
      <c r="IWC62" s="608"/>
      <c r="IWD62" s="608"/>
      <c r="IWE62" s="608"/>
      <c r="IWF62" s="608"/>
      <c r="IWG62" s="608"/>
      <c r="IWH62" s="608"/>
      <c r="IWI62" s="608"/>
      <c r="IWJ62" s="608"/>
      <c r="IWK62" s="608"/>
      <c r="IWL62" s="608"/>
      <c r="IWM62" s="608"/>
      <c r="IWN62" s="608"/>
      <c r="IWO62" s="608"/>
      <c r="IWP62" s="608"/>
      <c r="IWQ62" s="608"/>
      <c r="IWR62" s="608"/>
      <c r="IWS62" s="608"/>
      <c r="IWT62" s="608"/>
      <c r="IWU62" s="608"/>
      <c r="IWV62" s="608"/>
      <c r="IWW62" s="608"/>
      <c r="IWX62" s="608"/>
      <c r="IWY62" s="608"/>
      <c r="IWZ62" s="608"/>
      <c r="IXA62" s="608"/>
      <c r="IXB62" s="608"/>
      <c r="IXC62" s="608"/>
      <c r="IXD62" s="608"/>
      <c r="IXE62" s="608"/>
      <c r="IXF62" s="608"/>
      <c r="IXG62" s="608"/>
      <c r="IXH62" s="608"/>
      <c r="IXI62" s="608"/>
      <c r="IXJ62" s="608"/>
      <c r="IXK62" s="608"/>
      <c r="IXL62" s="608"/>
      <c r="IXM62" s="608"/>
      <c r="IXN62" s="608"/>
      <c r="IXO62" s="608"/>
      <c r="IXP62" s="608"/>
      <c r="IXQ62" s="608"/>
      <c r="IXR62" s="608"/>
      <c r="IXS62" s="608"/>
      <c r="IXT62" s="608"/>
      <c r="IXU62" s="608"/>
      <c r="IXV62" s="608"/>
      <c r="IXW62" s="608"/>
      <c r="IXX62" s="608"/>
      <c r="IXY62" s="608"/>
      <c r="IXZ62" s="608"/>
      <c r="IYA62" s="608"/>
      <c r="IYB62" s="608"/>
      <c r="IYC62" s="608"/>
      <c r="IYD62" s="608"/>
      <c r="IYE62" s="608"/>
      <c r="IYF62" s="608"/>
      <c r="IYG62" s="608"/>
      <c r="IYH62" s="608"/>
      <c r="IYI62" s="608"/>
      <c r="IYJ62" s="608"/>
      <c r="IYK62" s="608"/>
      <c r="IYL62" s="608"/>
      <c r="IYM62" s="608"/>
      <c r="IYN62" s="608"/>
      <c r="IYO62" s="608"/>
      <c r="IYP62" s="608"/>
      <c r="IYQ62" s="608"/>
      <c r="IYR62" s="608"/>
      <c r="IYS62" s="608"/>
      <c r="IYT62" s="608"/>
      <c r="IYU62" s="608"/>
      <c r="IYV62" s="608"/>
      <c r="IYW62" s="608"/>
      <c r="IYX62" s="608"/>
      <c r="IYY62" s="608"/>
      <c r="IYZ62" s="608"/>
      <c r="IZA62" s="608"/>
      <c r="IZB62" s="608"/>
      <c r="IZC62" s="608"/>
      <c r="IZD62" s="608"/>
      <c r="IZE62" s="608"/>
      <c r="IZF62" s="608"/>
      <c r="IZG62" s="608"/>
      <c r="IZH62" s="608"/>
      <c r="IZI62" s="608"/>
      <c r="IZJ62" s="608"/>
      <c r="IZK62" s="608"/>
      <c r="IZL62" s="608"/>
      <c r="IZM62" s="608"/>
      <c r="IZN62" s="608"/>
      <c r="IZO62" s="608"/>
      <c r="IZP62" s="608"/>
      <c r="IZQ62" s="608"/>
      <c r="IZR62" s="608"/>
      <c r="IZS62" s="608"/>
      <c r="IZT62" s="608"/>
      <c r="IZU62" s="608"/>
      <c r="IZV62" s="608"/>
      <c r="IZW62" s="608"/>
      <c r="IZX62" s="608"/>
      <c r="IZY62" s="608"/>
      <c r="IZZ62" s="608"/>
      <c r="JAA62" s="608"/>
      <c r="JAB62" s="608"/>
      <c r="JAC62" s="608"/>
      <c r="JAD62" s="608"/>
      <c r="JAE62" s="608"/>
      <c r="JAF62" s="608"/>
      <c r="JAG62" s="608"/>
      <c r="JAH62" s="608"/>
      <c r="JAI62" s="608"/>
      <c r="JAJ62" s="608"/>
      <c r="JAK62" s="608"/>
      <c r="JAL62" s="608"/>
      <c r="JAM62" s="608"/>
      <c r="JAN62" s="608"/>
      <c r="JAO62" s="608"/>
      <c r="JAP62" s="608"/>
      <c r="JAQ62" s="608"/>
      <c r="JAR62" s="608"/>
      <c r="JAS62" s="608"/>
      <c r="JAT62" s="608"/>
      <c r="JAU62" s="608"/>
      <c r="JAV62" s="608"/>
      <c r="JAW62" s="608"/>
      <c r="JAX62" s="608"/>
      <c r="JAY62" s="608"/>
      <c r="JAZ62" s="608"/>
      <c r="JBA62" s="608"/>
      <c r="JBB62" s="608"/>
      <c r="JBC62" s="608"/>
      <c r="JBD62" s="608"/>
      <c r="JBE62" s="608"/>
      <c r="JBF62" s="608"/>
      <c r="JBG62" s="608"/>
      <c r="JBH62" s="608"/>
      <c r="JBI62" s="608"/>
      <c r="JBJ62" s="608"/>
      <c r="JBK62" s="608"/>
      <c r="JBL62" s="608"/>
      <c r="JBM62" s="608"/>
      <c r="JBN62" s="608"/>
      <c r="JBO62" s="608"/>
      <c r="JBP62" s="608"/>
      <c r="JBQ62" s="608"/>
      <c r="JBR62" s="608"/>
      <c r="JBS62" s="608"/>
      <c r="JBT62" s="608"/>
      <c r="JBU62" s="608"/>
      <c r="JBV62" s="608"/>
      <c r="JBW62" s="608"/>
      <c r="JBX62" s="608"/>
      <c r="JBY62" s="608"/>
      <c r="JBZ62" s="608"/>
      <c r="JCA62" s="608"/>
      <c r="JCB62" s="608"/>
      <c r="JCC62" s="608"/>
      <c r="JCD62" s="608"/>
      <c r="JCE62" s="608"/>
      <c r="JCF62" s="608"/>
      <c r="JCG62" s="608"/>
      <c r="JCH62" s="608"/>
      <c r="JCI62" s="608"/>
      <c r="JCJ62" s="608"/>
      <c r="JCK62" s="608"/>
      <c r="JCL62" s="608"/>
      <c r="JCM62" s="608"/>
      <c r="JCN62" s="608"/>
      <c r="JCO62" s="608"/>
      <c r="JCP62" s="608"/>
      <c r="JCQ62" s="608"/>
      <c r="JCR62" s="608"/>
      <c r="JCS62" s="608"/>
      <c r="JCT62" s="608"/>
      <c r="JCU62" s="608"/>
      <c r="JCV62" s="608"/>
      <c r="JCW62" s="608"/>
      <c r="JCX62" s="608"/>
      <c r="JCY62" s="608"/>
      <c r="JCZ62" s="608"/>
      <c r="JDA62" s="608"/>
      <c r="JDB62" s="608"/>
      <c r="JDC62" s="608"/>
      <c r="JDD62" s="608"/>
      <c r="JDE62" s="608"/>
      <c r="JDF62" s="608"/>
      <c r="JDG62" s="608"/>
      <c r="JDH62" s="608"/>
      <c r="JDI62" s="608"/>
      <c r="JDJ62" s="608"/>
      <c r="JDK62" s="608"/>
      <c r="JDL62" s="608"/>
      <c r="JDM62" s="608"/>
      <c r="JDN62" s="608"/>
      <c r="JDO62" s="608"/>
      <c r="JDP62" s="608"/>
      <c r="JDQ62" s="608"/>
      <c r="JDR62" s="608"/>
      <c r="JDS62" s="608"/>
      <c r="JDT62" s="608"/>
      <c r="JDU62" s="608"/>
      <c r="JDV62" s="608"/>
      <c r="JDW62" s="608"/>
      <c r="JDX62" s="608"/>
      <c r="JDY62" s="608"/>
      <c r="JDZ62" s="608"/>
      <c r="JEA62" s="608"/>
      <c r="JEB62" s="608"/>
      <c r="JEC62" s="608"/>
      <c r="JED62" s="608"/>
      <c r="JEE62" s="608"/>
      <c r="JEF62" s="608"/>
      <c r="JEG62" s="608"/>
      <c r="JEH62" s="608"/>
      <c r="JEI62" s="608"/>
      <c r="JEJ62" s="608"/>
      <c r="JEK62" s="608"/>
      <c r="JEL62" s="608"/>
      <c r="JEM62" s="608"/>
      <c r="JEN62" s="608"/>
      <c r="JEO62" s="608"/>
      <c r="JEP62" s="608"/>
      <c r="JEQ62" s="608"/>
      <c r="JER62" s="608"/>
      <c r="JES62" s="608"/>
      <c r="JET62" s="608"/>
      <c r="JEU62" s="608"/>
      <c r="JEV62" s="608"/>
      <c r="JEW62" s="608"/>
      <c r="JEX62" s="608"/>
      <c r="JEY62" s="608"/>
      <c r="JEZ62" s="608"/>
      <c r="JFA62" s="608"/>
      <c r="JFB62" s="608"/>
      <c r="JFC62" s="608"/>
      <c r="JFD62" s="608"/>
      <c r="JFE62" s="608"/>
      <c r="JFF62" s="608"/>
      <c r="JFG62" s="608"/>
      <c r="JFH62" s="608"/>
      <c r="JFI62" s="608"/>
      <c r="JFJ62" s="608"/>
      <c r="JFK62" s="608"/>
      <c r="JFL62" s="608"/>
      <c r="JFM62" s="608"/>
      <c r="JFN62" s="608"/>
      <c r="JFO62" s="608"/>
      <c r="JFP62" s="608"/>
      <c r="JFQ62" s="608"/>
      <c r="JFR62" s="608"/>
      <c r="JFS62" s="608"/>
      <c r="JFT62" s="608"/>
      <c r="JFU62" s="608"/>
      <c r="JFV62" s="608"/>
      <c r="JFW62" s="608"/>
      <c r="JFX62" s="608"/>
      <c r="JFY62" s="608"/>
      <c r="JFZ62" s="608"/>
      <c r="JGA62" s="608"/>
      <c r="JGB62" s="608"/>
      <c r="JGC62" s="608"/>
      <c r="JGD62" s="608"/>
      <c r="JGE62" s="608"/>
      <c r="JGF62" s="608"/>
      <c r="JGG62" s="608"/>
      <c r="JGH62" s="608"/>
      <c r="JGI62" s="608"/>
      <c r="JGJ62" s="608"/>
      <c r="JGK62" s="608"/>
      <c r="JGL62" s="608"/>
      <c r="JGM62" s="608"/>
      <c r="JGN62" s="608"/>
      <c r="JGO62" s="608"/>
      <c r="JGP62" s="608"/>
      <c r="JGQ62" s="608"/>
      <c r="JGR62" s="608"/>
      <c r="JGS62" s="608"/>
      <c r="JGT62" s="608"/>
      <c r="JGU62" s="608"/>
      <c r="JGV62" s="608"/>
      <c r="JGW62" s="608"/>
      <c r="JGX62" s="608"/>
      <c r="JGY62" s="608"/>
      <c r="JGZ62" s="608"/>
      <c r="JHA62" s="608"/>
      <c r="JHB62" s="608"/>
      <c r="JHC62" s="608"/>
      <c r="JHD62" s="608"/>
      <c r="JHE62" s="608"/>
      <c r="JHF62" s="608"/>
      <c r="JHG62" s="608"/>
      <c r="JHH62" s="608"/>
      <c r="JHI62" s="608"/>
      <c r="JHJ62" s="608"/>
      <c r="JHK62" s="608"/>
      <c r="JHL62" s="608"/>
      <c r="JHM62" s="608"/>
      <c r="JHN62" s="608"/>
      <c r="JHO62" s="608"/>
      <c r="JHP62" s="608"/>
      <c r="JHQ62" s="608"/>
      <c r="JHR62" s="608"/>
      <c r="JHS62" s="608"/>
      <c r="JHT62" s="608"/>
      <c r="JHU62" s="608"/>
      <c r="JHV62" s="608"/>
      <c r="JHW62" s="608"/>
      <c r="JHX62" s="608"/>
      <c r="JHY62" s="608"/>
      <c r="JHZ62" s="608"/>
      <c r="JIA62" s="608"/>
      <c r="JIB62" s="608"/>
      <c r="JIC62" s="608"/>
      <c r="JID62" s="608"/>
      <c r="JIE62" s="608"/>
      <c r="JIF62" s="608"/>
      <c r="JIG62" s="608"/>
      <c r="JIH62" s="608"/>
      <c r="JII62" s="608"/>
      <c r="JIJ62" s="608"/>
      <c r="JIK62" s="608"/>
      <c r="JIL62" s="608"/>
      <c r="JIM62" s="608"/>
      <c r="JIN62" s="608"/>
      <c r="JIO62" s="608"/>
      <c r="JIP62" s="608"/>
      <c r="JIQ62" s="608"/>
      <c r="JIR62" s="608"/>
      <c r="JIS62" s="608"/>
      <c r="JIT62" s="608"/>
      <c r="JIU62" s="608"/>
      <c r="JIV62" s="608"/>
      <c r="JIW62" s="608"/>
      <c r="JIX62" s="608"/>
      <c r="JIY62" s="608"/>
      <c r="JIZ62" s="608"/>
      <c r="JJA62" s="608"/>
      <c r="JJB62" s="608"/>
      <c r="JJC62" s="608"/>
      <c r="JJD62" s="608"/>
      <c r="JJE62" s="608"/>
      <c r="JJF62" s="608"/>
      <c r="JJG62" s="608"/>
      <c r="JJH62" s="608"/>
      <c r="JJI62" s="608"/>
      <c r="JJJ62" s="608"/>
      <c r="JJK62" s="608"/>
      <c r="JJL62" s="608"/>
      <c r="JJM62" s="608"/>
      <c r="JJN62" s="608"/>
      <c r="JJO62" s="608"/>
      <c r="JJP62" s="608"/>
      <c r="JJQ62" s="608"/>
      <c r="JJR62" s="608"/>
      <c r="JJS62" s="608"/>
      <c r="JJT62" s="608"/>
      <c r="JJU62" s="608"/>
      <c r="JJV62" s="608"/>
      <c r="JJW62" s="608"/>
      <c r="JJX62" s="608"/>
      <c r="JJY62" s="608"/>
      <c r="JJZ62" s="608"/>
      <c r="JKA62" s="608"/>
      <c r="JKB62" s="608"/>
      <c r="JKC62" s="608"/>
      <c r="JKD62" s="608"/>
      <c r="JKE62" s="608"/>
      <c r="JKF62" s="608"/>
      <c r="JKG62" s="608"/>
      <c r="JKH62" s="608"/>
      <c r="JKI62" s="608"/>
      <c r="JKJ62" s="608"/>
      <c r="JKK62" s="608"/>
      <c r="JKL62" s="608"/>
      <c r="JKM62" s="608"/>
      <c r="JKN62" s="608"/>
      <c r="JKO62" s="608"/>
      <c r="JKP62" s="608"/>
      <c r="JKQ62" s="608"/>
      <c r="JKR62" s="608"/>
      <c r="JKS62" s="608"/>
      <c r="JKT62" s="608"/>
      <c r="JKU62" s="608"/>
      <c r="JKV62" s="608"/>
      <c r="JKW62" s="608"/>
      <c r="JKX62" s="608"/>
      <c r="JKY62" s="608"/>
      <c r="JKZ62" s="608"/>
      <c r="JLA62" s="608"/>
      <c r="JLB62" s="608"/>
      <c r="JLC62" s="608"/>
      <c r="JLD62" s="608"/>
      <c r="JLE62" s="608"/>
      <c r="JLF62" s="608"/>
      <c r="JLG62" s="608"/>
      <c r="JLH62" s="608"/>
      <c r="JLI62" s="608"/>
      <c r="JLJ62" s="608"/>
      <c r="JLK62" s="608"/>
      <c r="JLL62" s="608"/>
      <c r="JLM62" s="608"/>
      <c r="JLN62" s="608"/>
      <c r="JLO62" s="608"/>
      <c r="JLP62" s="608"/>
      <c r="JLQ62" s="608"/>
      <c r="JLR62" s="608"/>
      <c r="JLS62" s="608"/>
      <c r="JLT62" s="608"/>
      <c r="JLU62" s="608"/>
      <c r="JLV62" s="608"/>
      <c r="JLW62" s="608"/>
      <c r="JLX62" s="608"/>
      <c r="JLY62" s="608"/>
      <c r="JLZ62" s="608"/>
      <c r="JMA62" s="608"/>
      <c r="JMB62" s="608"/>
      <c r="JMC62" s="608"/>
      <c r="JMD62" s="608"/>
      <c r="JME62" s="608"/>
      <c r="JMF62" s="608"/>
      <c r="JMG62" s="608"/>
      <c r="JMH62" s="608"/>
      <c r="JMI62" s="608"/>
      <c r="JMJ62" s="608"/>
      <c r="JMK62" s="608"/>
      <c r="JML62" s="608"/>
      <c r="JMM62" s="608"/>
      <c r="JMN62" s="608"/>
      <c r="JMO62" s="608"/>
      <c r="JMP62" s="608"/>
      <c r="JMQ62" s="608"/>
      <c r="JMR62" s="608"/>
      <c r="JMS62" s="608"/>
      <c r="JMT62" s="608"/>
      <c r="JMU62" s="608"/>
      <c r="JMV62" s="608"/>
      <c r="JMW62" s="608"/>
      <c r="JMX62" s="608"/>
      <c r="JMY62" s="608"/>
      <c r="JMZ62" s="608"/>
      <c r="JNA62" s="608"/>
      <c r="JNB62" s="608"/>
      <c r="JNC62" s="608"/>
      <c r="JND62" s="608"/>
      <c r="JNE62" s="608"/>
      <c r="JNF62" s="608"/>
      <c r="JNG62" s="608"/>
      <c r="JNH62" s="608"/>
      <c r="JNI62" s="608"/>
      <c r="JNJ62" s="608"/>
      <c r="JNK62" s="608"/>
      <c r="JNL62" s="608"/>
      <c r="JNM62" s="608"/>
      <c r="JNN62" s="608"/>
      <c r="JNO62" s="608"/>
      <c r="JNP62" s="608"/>
      <c r="JNQ62" s="608"/>
      <c r="JNR62" s="608"/>
      <c r="JNS62" s="608"/>
      <c r="JNT62" s="608"/>
      <c r="JNU62" s="608"/>
      <c r="JNV62" s="608"/>
      <c r="JNW62" s="608"/>
      <c r="JNX62" s="608"/>
      <c r="JNY62" s="608"/>
      <c r="JNZ62" s="608"/>
      <c r="JOA62" s="608"/>
      <c r="JOB62" s="608"/>
      <c r="JOC62" s="608"/>
      <c r="JOD62" s="608"/>
      <c r="JOE62" s="608"/>
      <c r="JOF62" s="608"/>
      <c r="JOG62" s="608"/>
      <c r="JOH62" s="608"/>
      <c r="JOI62" s="608"/>
      <c r="JOJ62" s="608"/>
      <c r="JOK62" s="608"/>
      <c r="JOL62" s="608"/>
      <c r="JOM62" s="608"/>
      <c r="JON62" s="608"/>
      <c r="JOO62" s="608"/>
      <c r="JOP62" s="608"/>
      <c r="JOQ62" s="608"/>
      <c r="JOR62" s="608"/>
      <c r="JOS62" s="608"/>
      <c r="JOT62" s="608"/>
      <c r="JOU62" s="608"/>
      <c r="JOV62" s="608"/>
      <c r="JOW62" s="608"/>
      <c r="JOX62" s="608"/>
      <c r="JOY62" s="608"/>
      <c r="JOZ62" s="608"/>
      <c r="JPA62" s="608"/>
      <c r="JPB62" s="608"/>
      <c r="JPC62" s="608"/>
      <c r="JPD62" s="608"/>
      <c r="JPE62" s="608"/>
      <c r="JPF62" s="608"/>
      <c r="JPG62" s="608"/>
      <c r="JPH62" s="608"/>
      <c r="JPI62" s="608"/>
      <c r="JPJ62" s="608"/>
      <c r="JPK62" s="608"/>
      <c r="JPL62" s="608"/>
      <c r="JPM62" s="608"/>
      <c r="JPN62" s="608"/>
      <c r="JPO62" s="608"/>
      <c r="JPP62" s="608"/>
      <c r="JPQ62" s="608"/>
      <c r="JPR62" s="608"/>
      <c r="JPS62" s="608"/>
      <c r="JPT62" s="608"/>
      <c r="JPU62" s="608"/>
      <c r="JPV62" s="608"/>
      <c r="JPW62" s="608"/>
      <c r="JPX62" s="608"/>
      <c r="JPY62" s="608"/>
      <c r="JPZ62" s="608"/>
      <c r="JQA62" s="608"/>
      <c r="JQB62" s="608"/>
      <c r="JQC62" s="608"/>
      <c r="JQD62" s="608"/>
      <c r="JQE62" s="608"/>
      <c r="JQF62" s="608"/>
      <c r="JQG62" s="608"/>
      <c r="JQH62" s="608"/>
      <c r="JQI62" s="608"/>
      <c r="JQJ62" s="608"/>
      <c r="JQK62" s="608"/>
      <c r="JQL62" s="608"/>
      <c r="JQM62" s="608"/>
      <c r="JQN62" s="608"/>
      <c r="JQO62" s="608"/>
      <c r="JQP62" s="608"/>
      <c r="JQQ62" s="608"/>
      <c r="JQR62" s="608"/>
      <c r="JQS62" s="608"/>
      <c r="JQT62" s="608"/>
      <c r="JQU62" s="608"/>
      <c r="JQV62" s="608"/>
      <c r="JQW62" s="608"/>
      <c r="JQX62" s="608"/>
      <c r="JQY62" s="608"/>
      <c r="JQZ62" s="608"/>
      <c r="JRA62" s="608"/>
      <c r="JRB62" s="608"/>
      <c r="JRC62" s="608"/>
      <c r="JRD62" s="608"/>
      <c r="JRE62" s="608"/>
      <c r="JRF62" s="608"/>
      <c r="JRG62" s="608"/>
      <c r="JRH62" s="608"/>
      <c r="JRI62" s="608"/>
      <c r="JRJ62" s="608"/>
      <c r="JRK62" s="608"/>
      <c r="JRL62" s="608"/>
      <c r="JRM62" s="608"/>
      <c r="JRN62" s="608"/>
      <c r="JRO62" s="608"/>
      <c r="JRP62" s="608"/>
      <c r="JRQ62" s="608"/>
      <c r="JRR62" s="608"/>
      <c r="JRS62" s="608"/>
      <c r="JRT62" s="608"/>
      <c r="JRU62" s="608"/>
      <c r="JRV62" s="608"/>
      <c r="JRW62" s="608"/>
      <c r="JRX62" s="608"/>
      <c r="JRY62" s="608"/>
      <c r="JRZ62" s="608"/>
      <c r="JSA62" s="608"/>
      <c r="JSB62" s="608"/>
      <c r="JSC62" s="608"/>
      <c r="JSD62" s="608"/>
      <c r="JSE62" s="608"/>
      <c r="JSF62" s="608"/>
      <c r="JSG62" s="608"/>
      <c r="JSH62" s="608"/>
      <c r="JSI62" s="608"/>
      <c r="JSJ62" s="608"/>
      <c r="JSK62" s="608"/>
      <c r="JSL62" s="608"/>
      <c r="JSM62" s="608"/>
      <c r="JSN62" s="608"/>
      <c r="JSO62" s="608"/>
      <c r="JSP62" s="608"/>
      <c r="JSQ62" s="608"/>
      <c r="JSR62" s="608"/>
      <c r="JSS62" s="608"/>
      <c r="JST62" s="608"/>
      <c r="JSU62" s="608"/>
      <c r="JSV62" s="608"/>
      <c r="JSW62" s="608"/>
      <c r="JSX62" s="608"/>
      <c r="JSY62" s="608"/>
      <c r="JSZ62" s="608"/>
      <c r="JTA62" s="608"/>
      <c r="JTB62" s="608"/>
      <c r="JTC62" s="608"/>
      <c r="JTD62" s="608"/>
      <c r="JTE62" s="608"/>
      <c r="JTF62" s="608"/>
      <c r="JTG62" s="608"/>
      <c r="JTH62" s="608"/>
      <c r="JTI62" s="608"/>
      <c r="JTJ62" s="608"/>
      <c r="JTK62" s="608"/>
      <c r="JTL62" s="608"/>
      <c r="JTM62" s="608"/>
      <c r="JTN62" s="608"/>
      <c r="JTO62" s="608"/>
      <c r="JTP62" s="608"/>
      <c r="JTQ62" s="608"/>
      <c r="JTR62" s="608"/>
      <c r="JTS62" s="608"/>
      <c r="JTT62" s="608"/>
      <c r="JTU62" s="608"/>
      <c r="JTV62" s="608"/>
      <c r="JTW62" s="608"/>
      <c r="JTX62" s="608"/>
      <c r="JTY62" s="608"/>
      <c r="JTZ62" s="608"/>
      <c r="JUA62" s="608"/>
      <c r="JUB62" s="608"/>
      <c r="JUC62" s="608"/>
      <c r="JUD62" s="608"/>
      <c r="JUE62" s="608"/>
      <c r="JUF62" s="608"/>
      <c r="JUG62" s="608"/>
      <c r="JUH62" s="608"/>
      <c r="JUI62" s="608"/>
      <c r="JUJ62" s="608"/>
      <c r="JUK62" s="608"/>
      <c r="JUL62" s="608"/>
      <c r="JUM62" s="608"/>
      <c r="JUN62" s="608"/>
      <c r="JUO62" s="608"/>
      <c r="JUP62" s="608"/>
      <c r="JUQ62" s="608"/>
      <c r="JUR62" s="608"/>
      <c r="JUS62" s="608"/>
      <c r="JUT62" s="608"/>
      <c r="JUU62" s="608"/>
      <c r="JUV62" s="608"/>
      <c r="JUW62" s="608"/>
      <c r="JUX62" s="608"/>
      <c r="JUY62" s="608"/>
      <c r="JUZ62" s="608"/>
      <c r="JVA62" s="608"/>
      <c r="JVB62" s="608"/>
      <c r="JVC62" s="608"/>
      <c r="JVD62" s="608"/>
      <c r="JVE62" s="608"/>
      <c r="JVF62" s="608"/>
      <c r="JVG62" s="608"/>
      <c r="JVH62" s="608"/>
      <c r="JVI62" s="608"/>
      <c r="JVJ62" s="608"/>
      <c r="JVK62" s="608"/>
      <c r="JVL62" s="608"/>
      <c r="JVM62" s="608"/>
      <c r="JVN62" s="608"/>
      <c r="JVO62" s="608"/>
      <c r="JVP62" s="608"/>
      <c r="JVQ62" s="608"/>
      <c r="JVR62" s="608"/>
      <c r="JVS62" s="608"/>
      <c r="JVT62" s="608"/>
      <c r="JVU62" s="608"/>
      <c r="JVV62" s="608"/>
      <c r="JVW62" s="608"/>
      <c r="JVX62" s="608"/>
      <c r="JVY62" s="608"/>
      <c r="JVZ62" s="608"/>
      <c r="JWA62" s="608"/>
      <c r="JWB62" s="608"/>
      <c r="JWC62" s="608"/>
      <c r="JWD62" s="608"/>
      <c r="JWE62" s="608"/>
      <c r="JWF62" s="608"/>
      <c r="JWG62" s="608"/>
      <c r="JWH62" s="608"/>
      <c r="JWI62" s="608"/>
      <c r="JWJ62" s="608"/>
      <c r="JWK62" s="608"/>
      <c r="JWL62" s="608"/>
      <c r="JWM62" s="608"/>
      <c r="JWN62" s="608"/>
      <c r="JWO62" s="608"/>
      <c r="JWP62" s="608"/>
      <c r="JWQ62" s="608"/>
      <c r="JWR62" s="608"/>
      <c r="JWS62" s="608"/>
      <c r="JWT62" s="608"/>
      <c r="JWU62" s="608"/>
      <c r="JWV62" s="608"/>
      <c r="JWW62" s="608"/>
      <c r="JWX62" s="608"/>
      <c r="JWY62" s="608"/>
      <c r="JWZ62" s="608"/>
      <c r="JXA62" s="608"/>
      <c r="JXB62" s="608"/>
      <c r="JXC62" s="608"/>
      <c r="JXD62" s="608"/>
      <c r="JXE62" s="608"/>
      <c r="JXF62" s="608"/>
      <c r="JXG62" s="608"/>
      <c r="JXH62" s="608"/>
      <c r="JXI62" s="608"/>
      <c r="JXJ62" s="608"/>
      <c r="JXK62" s="608"/>
      <c r="JXL62" s="608"/>
      <c r="JXM62" s="608"/>
      <c r="JXN62" s="608"/>
      <c r="JXO62" s="608"/>
      <c r="JXP62" s="608"/>
      <c r="JXQ62" s="608"/>
      <c r="JXR62" s="608"/>
      <c r="JXS62" s="608"/>
      <c r="JXT62" s="608"/>
      <c r="JXU62" s="608"/>
      <c r="JXV62" s="608"/>
      <c r="JXW62" s="608"/>
      <c r="JXX62" s="608"/>
      <c r="JXY62" s="608"/>
      <c r="JXZ62" s="608"/>
      <c r="JYA62" s="608"/>
      <c r="JYB62" s="608"/>
      <c r="JYC62" s="608"/>
      <c r="JYD62" s="608"/>
      <c r="JYE62" s="608"/>
      <c r="JYF62" s="608"/>
      <c r="JYG62" s="608"/>
      <c r="JYH62" s="608"/>
      <c r="JYI62" s="608"/>
      <c r="JYJ62" s="608"/>
      <c r="JYK62" s="608"/>
      <c r="JYL62" s="608"/>
      <c r="JYM62" s="608"/>
      <c r="JYN62" s="608"/>
      <c r="JYO62" s="608"/>
      <c r="JYP62" s="608"/>
      <c r="JYQ62" s="608"/>
      <c r="JYR62" s="608"/>
      <c r="JYS62" s="608"/>
      <c r="JYT62" s="608"/>
      <c r="JYU62" s="608"/>
      <c r="JYV62" s="608"/>
      <c r="JYW62" s="608"/>
      <c r="JYX62" s="608"/>
      <c r="JYY62" s="608"/>
      <c r="JYZ62" s="608"/>
      <c r="JZA62" s="608"/>
      <c r="JZB62" s="608"/>
      <c r="JZC62" s="608"/>
      <c r="JZD62" s="608"/>
      <c r="JZE62" s="608"/>
      <c r="JZF62" s="608"/>
      <c r="JZG62" s="608"/>
      <c r="JZH62" s="608"/>
      <c r="JZI62" s="608"/>
      <c r="JZJ62" s="608"/>
      <c r="JZK62" s="608"/>
      <c r="JZL62" s="608"/>
      <c r="JZM62" s="608"/>
      <c r="JZN62" s="608"/>
      <c r="JZO62" s="608"/>
      <c r="JZP62" s="608"/>
      <c r="JZQ62" s="608"/>
      <c r="JZR62" s="608"/>
      <c r="JZS62" s="608"/>
      <c r="JZT62" s="608"/>
      <c r="JZU62" s="608"/>
      <c r="JZV62" s="608"/>
      <c r="JZW62" s="608"/>
      <c r="JZX62" s="608"/>
      <c r="JZY62" s="608"/>
      <c r="JZZ62" s="608"/>
      <c r="KAA62" s="608"/>
      <c r="KAB62" s="608"/>
      <c r="KAC62" s="608"/>
      <c r="KAD62" s="608"/>
      <c r="KAE62" s="608"/>
      <c r="KAF62" s="608"/>
      <c r="KAG62" s="608"/>
      <c r="KAH62" s="608"/>
      <c r="KAI62" s="608"/>
      <c r="KAJ62" s="608"/>
      <c r="KAK62" s="608"/>
      <c r="KAL62" s="608"/>
      <c r="KAM62" s="608"/>
      <c r="KAN62" s="608"/>
      <c r="KAO62" s="608"/>
      <c r="KAP62" s="608"/>
      <c r="KAQ62" s="608"/>
      <c r="KAR62" s="608"/>
      <c r="KAS62" s="608"/>
      <c r="KAT62" s="608"/>
      <c r="KAU62" s="608"/>
      <c r="KAV62" s="608"/>
      <c r="KAW62" s="608"/>
      <c r="KAX62" s="608"/>
      <c r="KAY62" s="608"/>
      <c r="KAZ62" s="608"/>
      <c r="KBA62" s="608"/>
      <c r="KBB62" s="608"/>
      <c r="KBC62" s="608"/>
      <c r="KBD62" s="608"/>
      <c r="KBE62" s="608"/>
      <c r="KBF62" s="608"/>
      <c r="KBG62" s="608"/>
      <c r="KBH62" s="608"/>
      <c r="KBI62" s="608"/>
      <c r="KBJ62" s="608"/>
      <c r="KBK62" s="608"/>
      <c r="KBL62" s="608"/>
      <c r="KBM62" s="608"/>
      <c r="KBN62" s="608"/>
      <c r="KBO62" s="608"/>
      <c r="KBP62" s="608"/>
      <c r="KBQ62" s="608"/>
      <c r="KBR62" s="608"/>
      <c r="KBS62" s="608"/>
      <c r="KBT62" s="608"/>
      <c r="KBU62" s="608"/>
      <c r="KBV62" s="608"/>
      <c r="KBW62" s="608"/>
      <c r="KBX62" s="608"/>
      <c r="KBY62" s="608"/>
      <c r="KBZ62" s="608"/>
      <c r="KCA62" s="608"/>
      <c r="KCB62" s="608"/>
      <c r="KCC62" s="608"/>
      <c r="KCD62" s="608"/>
      <c r="KCE62" s="608"/>
      <c r="KCF62" s="608"/>
      <c r="KCG62" s="608"/>
      <c r="KCH62" s="608"/>
      <c r="KCI62" s="608"/>
      <c r="KCJ62" s="608"/>
      <c r="KCK62" s="608"/>
      <c r="KCL62" s="608"/>
      <c r="KCM62" s="608"/>
      <c r="KCN62" s="608"/>
      <c r="KCO62" s="608"/>
      <c r="KCP62" s="608"/>
      <c r="KCQ62" s="608"/>
      <c r="KCR62" s="608"/>
      <c r="KCS62" s="608"/>
      <c r="KCT62" s="608"/>
      <c r="KCU62" s="608"/>
      <c r="KCV62" s="608"/>
      <c r="KCW62" s="608"/>
      <c r="KCX62" s="608"/>
      <c r="KCY62" s="608"/>
      <c r="KCZ62" s="608"/>
      <c r="KDA62" s="608"/>
      <c r="KDB62" s="608"/>
      <c r="KDC62" s="608"/>
      <c r="KDD62" s="608"/>
      <c r="KDE62" s="608"/>
      <c r="KDF62" s="608"/>
      <c r="KDG62" s="608"/>
      <c r="KDH62" s="608"/>
      <c r="KDI62" s="608"/>
      <c r="KDJ62" s="608"/>
      <c r="KDK62" s="608"/>
      <c r="KDL62" s="608"/>
      <c r="KDM62" s="608"/>
      <c r="KDN62" s="608"/>
      <c r="KDO62" s="608"/>
      <c r="KDP62" s="608"/>
      <c r="KDQ62" s="608"/>
      <c r="KDR62" s="608"/>
      <c r="KDS62" s="608"/>
      <c r="KDT62" s="608"/>
      <c r="KDU62" s="608"/>
      <c r="KDV62" s="608"/>
      <c r="KDW62" s="608"/>
      <c r="KDX62" s="608"/>
      <c r="KDY62" s="608"/>
      <c r="KDZ62" s="608"/>
      <c r="KEA62" s="608"/>
      <c r="KEB62" s="608"/>
      <c r="KEC62" s="608"/>
      <c r="KED62" s="608"/>
      <c r="KEE62" s="608"/>
      <c r="KEF62" s="608"/>
      <c r="KEG62" s="608"/>
      <c r="KEH62" s="608"/>
      <c r="KEI62" s="608"/>
      <c r="KEJ62" s="608"/>
      <c r="KEK62" s="608"/>
      <c r="KEL62" s="608"/>
      <c r="KEM62" s="608"/>
      <c r="KEN62" s="608"/>
      <c r="KEO62" s="608"/>
      <c r="KEP62" s="608"/>
      <c r="KEQ62" s="608"/>
      <c r="KER62" s="608"/>
      <c r="KES62" s="608"/>
      <c r="KET62" s="608"/>
      <c r="KEU62" s="608"/>
      <c r="KEV62" s="608"/>
      <c r="KEW62" s="608"/>
      <c r="KEX62" s="608"/>
      <c r="KEY62" s="608"/>
      <c r="KEZ62" s="608"/>
      <c r="KFA62" s="608"/>
      <c r="KFB62" s="608"/>
      <c r="KFC62" s="608"/>
      <c r="KFD62" s="608"/>
      <c r="KFE62" s="608"/>
      <c r="KFF62" s="608"/>
      <c r="KFG62" s="608"/>
      <c r="KFH62" s="608"/>
      <c r="KFI62" s="608"/>
      <c r="KFJ62" s="608"/>
      <c r="KFK62" s="608"/>
      <c r="KFL62" s="608"/>
      <c r="KFM62" s="608"/>
      <c r="KFN62" s="608"/>
      <c r="KFO62" s="608"/>
      <c r="KFP62" s="608"/>
      <c r="KFQ62" s="608"/>
      <c r="KFR62" s="608"/>
      <c r="KFS62" s="608"/>
      <c r="KFT62" s="608"/>
      <c r="KFU62" s="608"/>
      <c r="KFV62" s="608"/>
      <c r="KFW62" s="608"/>
      <c r="KFX62" s="608"/>
      <c r="KFY62" s="608"/>
      <c r="KFZ62" s="608"/>
      <c r="KGA62" s="608"/>
      <c r="KGB62" s="608"/>
      <c r="KGC62" s="608"/>
      <c r="KGD62" s="608"/>
      <c r="KGE62" s="608"/>
      <c r="KGF62" s="608"/>
      <c r="KGG62" s="608"/>
      <c r="KGH62" s="608"/>
      <c r="KGI62" s="608"/>
      <c r="KGJ62" s="608"/>
      <c r="KGK62" s="608"/>
      <c r="KGL62" s="608"/>
      <c r="KGM62" s="608"/>
      <c r="KGN62" s="608"/>
      <c r="KGO62" s="608"/>
      <c r="KGP62" s="608"/>
      <c r="KGQ62" s="608"/>
      <c r="KGR62" s="608"/>
      <c r="KGS62" s="608"/>
      <c r="KGT62" s="608"/>
      <c r="KGU62" s="608"/>
      <c r="KGV62" s="608"/>
      <c r="KGW62" s="608"/>
      <c r="KGX62" s="608"/>
      <c r="KGY62" s="608"/>
      <c r="KGZ62" s="608"/>
      <c r="KHA62" s="608"/>
      <c r="KHB62" s="608"/>
      <c r="KHC62" s="608"/>
      <c r="KHD62" s="608"/>
      <c r="KHE62" s="608"/>
      <c r="KHF62" s="608"/>
      <c r="KHG62" s="608"/>
      <c r="KHH62" s="608"/>
      <c r="KHI62" s="608"/>
      <c r="KHJ62" s="608"/>
      <c r="KHK62" s="608"/>
      <c r="KHL62" s="608"/>
      <c r="KHM62" s="608"/>
      <c r="KHN62" s="608"/>
      <c r="KHO62" s="608"/>
      <c r="KHP62" s="608"/>
      <c r="KHQ62" s="608"/>
      <c r="KHR62" s="608"/>
      <c r="KHS62" s="608"/>
      <c r="KHT62" s="608"/>
      <c r="KHU62" s="608"/>
      <c r="KHV62" s="608"/>
      <c r="KHW62" s="608"/>
      <c r="KHX62" s="608"/>
      <c r="KHY62" s="608"/>
      <c r="KHZ62" s="608"/>
      <c r="KIA62" s="608"/>
      <c r="KIB62" s="608"/>
      <c r="KIC62" s="608"/>
      <c r="KID62" s="608"/>
      <c r="KIE62" s="608"/>
      <c r="KIF62" s="608"/>
      <c r="KIG62" s="608"/>
      <c r="KIH62" s="608"/>
      <c r="KII62" s="608"/>
      <c r="KIJ62" s="608"/>
      <c r="KIK62" s="608"/>
      <c r="KIL62" s="608"/>
      <c r="KIM62" s="608"/>
      <c r="KIN62" s="608"/>
      <c r="KIO62" s="608"/>
      <c r="KIP62" s="608"/>
      <c r="KIQ62" s="608"/>
      <c r="KIR62" s="608"/>
      <c r="KIS62" s="608"/>
      <c r="KIT62" s="608"/>
      <c r="KIU62" s="608"/>
      <c r="KIV62" s="608"/>
      <c r="KIW62" s="608"/>
      <c r="KIX62" s="608"/>
      <c r="KIY62" s="608"/>
      <c r="KIZ62" s="608"/>
      <c r="KJA62" s="608"/>
      <c r="KJB62" s="608"/>
      <c r="KJC62" s="608"/>
      <c r="KJD62" s="608"/>
      <c r="KJE62" s="608"/>
      <c r="KJF62" s="608"/>
      <c r="KJG62" s="608"/>
      <c r="KJH62" s="608"/>
      <c r="KJI62" s="608"/>
      <c r="KJJ62" s="608"/>
      <c r="KJK62" s="608"/>
      <c r="KJL62" s="608"/>
      <c r="KJM62" s="608"/>
      <c r="KJN62" s="608"/>
      <c r="KJO62" s="608"/>
      <c r="KJP62" s="608"/>
      <c r="KJQ62" s="608"/>
      <c r="KJR62" s="608"/>
      <c r="KJS62" s="608"/>
      <c r="KJT62" s="608"/>
      <c r="KJU62" s="608"/>
      <c r="KJV62" s="608"/>
      <c r="KJW62" s="608"/>
      <c r="KJX62" s="608"/>
      <c r="KJY62" s="608"/>
      <c r="KJZ62" s="608"/>
      <c r="KKA62" s="608"/>
      <c r="KKB62" s="608"/>
      <c r="KKC62" s="608"/>
      <c r="KKD62" s="608"/>
      <c r="KKE62" s="608"/>
      <c r="KKF62" s="608"/>
      <c r="KKG62" s="608"/>
      <c r="KKH62" s="608"/>
      <c r="KKI62" s="608"/>
      <c r="KKJ62" s="608"/>
      <c r="KKK62" s="608"/>
      <c r="KKL62" s="608"/>
      <c r="KKM62" s="608"/>
      <c r="KKN62" s="608"/>
      <c r="KKO62" s="608"/>
      <c r="KKP62" s="608"/>
      <c r="KKQ62" s="608"/>
      <c r="KKR62" s="608"/>
      <c r="KKS62" s="608"/>
      <c r="KKT62" s="608"/>
      <c r="KKU62" s="608"/>
      <c r="KKV62" s="608"/>
      <c r="KKW62" s="608"/>
      <c r="KKX62" s="608"/>
      <c r="KKY62" s="608"/>
      <c r="KKZ62" s="608"/>
      <c r="KLA62" s="608"/>
      <c r="KLB62" s="608"/>
      <c r="KLC62" s="608"/>
      <c r="KLD62" s="608"/>
      <c r="KLE62" s="608"/>
      <c r="KLF62" s="608"/>
      <c r="KLG62" s="608"/>
      <c r="KLH62" s="608"/>
      <c r="KLI62" s="608"/>
      <c r="KLJ62" s="608"/>
      <c r="KLK62" s="608"/>
      <c r="KLL62" s="608"/>
      <c r="KLM62" s="608"/>
      <c r="KLN62" s="608"/>
      <c r="KLO62" s="608"/>
      <c r="KLP62" s="608"/>
      <c r="KLQ62" s="608"/>
      <c r="KLR62" s="608"/>
      <c r="KLS62" s="608"/>
      <c r="KLT62" s="608"/>
      <c r="KLU62" s="608"/>
      <c r="KLV62" s="608"/>
      <c r="KLW62" s="608"/>
      <c r="KLX62" s="608"/>
      <c r="KLY62" s="608"/>
      <c r="KLZ62" s="608"/>
      <c r="KMA62" s="608"/>
      <c r="KMB62" s="608"/>
      <c r="KMC62" s="608"/>
      <c r="KMD62" s="608"/>
      <c r="KME62" s="608"/>
      <c r="KMF62" s="608"/>
      <c r="KMG62" s="608"/>
      <c r="KMH62" s="608"/>
      <c r="KMI62" s="608"/>
      <c r="KMJ62" s="608"/>
      <c r="KMK62" s="608"/>
      <c r="KML62" s="608"/>
      <c r="KMM62" s="608"/>
      <c r="KMN62" s="608"/>
      <c r="KMO62" s="608"/>
      <c r="KMP62" s="608"/>
      <c r="KMQ62" s="608"/>
      <c r="KMR62" s="608"/>
      <c r="KMS62" s="608"/>
      <c r="KMT62" s="608"/>
      <c r="KMU62" s="608"/>
      <c r="KMV62" s="608"/>
      <c r="KMW62" s="608"/>
      <c r="KMX62" s="608"/>
      <c r="KMY62" s="608"/>
      <c r="KMZ62" s="608"/>
      <c r="KNA62" s="608"/>
      <c r="KNB62" s="608"/>
      <c r="KNC62" s="608"/>
      <c r="KND62" s="608"/>
      <c r="KNE62" s="608"/>
      <c r="KNF62" s="608"/>
      <c r="KNG62" s="608"/>
      <c r="KNH62" s="608"/>
      <c r="KNI62" s="608"/>
      <c r="KNJ62" s="608"/>
      <c r="KNK62" s="608"/>
      <c r="KNL62" s="608"/>
      <c r="KNM62" s="608"/>
      <c r="KNN62" s="608"/>
      <c r="KNO62" s="608"/>
      <c r="KNP62" s="608"/>
      <c r="KNQ62" s="608"/>
      <c r="KNR62" s="608"/>
      <c r="KNS62" s="608"/>
      <c r="KNT62" s="608"/>
      <c r="KNU62" s="608"/>
      <c r="KNV62" s="608"/>
      <c r="KNW62" s="608"/>
      <c r="KNX62" s="608"/>
      <c r="KNY62" s="608"/>
      <c r="KNZ62" s="608"/>
      <c r="KOA62" s="608"/>
      <c r="KOB62" s="608"/>
      <c r="KOC62" s="608"/>
      <c r="KOD62" s="608"/>
      <c r="KOE62" s="608"/>
      <c r="KOF62" s="608"/>
      <c r="KOG62" s="608"/>
      <c r="KOH62" s="608"/>
      <c r="KOI62" s="608"/>
      <c r="KOJ62" s="608"/>
      <c r="KOK62" s="608"/>
      <c r="KOL62" s="608"/>
      <c r="KOM62" s="608"/>
      <c r="KON62" s="608"/>
      <c r="KOO62" s="608"/>
      <c r="KOP62" s="608"/>
      <c r="KOQ62" s="608"/>
      <c r="KOR62" s="608"/>
      <c r="KOS62" s="608"/>
      <c r="KOT62" s="608"/>
      <c r="KOU62" s="608"/>
      <c r="KOV62" s="608"/>
      <c r="KOW62" s="608"/>
      <c r="KOX62" s="608"/>
      <c r="KOY62" s="608"/>
      <c r="KOZ62" s="608"/>
      <c r="KPA62" s="608"/>
      <c r="KPB62" s="608"/>
      <c r="KPC62" s="608"/>
      <c r="KPD62" s="608"/>
      <c r="KPE62" s="608"/>
      <c r="KPF62" s="608"/>
      <c r="KPG62" s="608"/>
      <c r="KPH62" s="608"/>
      <c r="KPI62" s="608"/>
      <c r="KPJ62" s="608"/>
      <c r="KPK62" s="608"/>
      <c r="KPL62" s="608"/>
      <c r="KPM62" s="608"/>
      <c r="KPN62" s="608"/>
      <c r="KPO62" s="608"/>
      <c r="KPP62" s="608"/>
      <c r="KPQ62" s="608"/>
      <c r="KPR62" s="608"/>
      <c r="KPS62" s="608"/>
      <c r="KPT62" s="608"/>
      <c r="KPU62" s="608"/>
      <c r="KPV62" s="608"/>
      <c r="KPW62" s="608"/>
      <c r="KPX62" s="608"/>
      <c r="KPY62" s="608"/>
      <c r="KPZ62" s="608"/>
      <c r="KQA62" s="608"/>
      <c r="KQB62" s="608"/>
      <c r="KQC62" s="608"/>
      <c r="KQD62" s="608"/>
      <c r="KQE62" s="608"/>
      <c r="KQF62" s="608"/>
      <c r="KQG62" s="608"/>
      <c r="KQH62" s="608"/>
      <c r="KQI62" s="608"/>
      <c r="KQJ62" s="608"/>
      <c r="KQK62" s="608"/>
      <c r="KQL62" s="608"/>
      <c r="KQM62" s="608"/>
      <c r="KQN62" s="608"/>
      <c r="KQO62" s="608"/>
      <c r="KQP62" s="608"/>
      <c r="KQQ62" s="608"/>
      <c r="KQR62" s="608"/>
      <c r="KQS62" s="608"/>
      <c r="KQT62" s="608"/>
      <c r="KQU62" s="608"/>
      <c r="KQV62" s="608"/>
      <c r="KQW62" s="608"/>
      <c r="KQX62" s="608"/>
      <c r="KQY62" s="608"/>
      <c r="KQZ62" s="608"/>
      <c r="KRA62" s="608"/>
      <c r="KRB62" s="608"/>
      <c r="KRC62" s="608"/>
      <c r="KRD62" s="608"/>
      <c r="KRE62" s="608"/>
      <c r="KRF62" s="608"/>
      <c r="KRG62" s="608"/>
      <c r="KRH62" s="608"/>
      <c r="KRI62" s="608"/>
      <c r="KRJ62" s="608"/>
      <c r="KRK62" s="608"/>
      <c r="KRL62" s="608"/>
      <c r="KRM62" s="608"/>
      <c r="KRN62" s="608"/>
      <c r="KRO62" s="608"/>
      <c r="KRP62" s="608"/>
      <c r="KRQ62" s="608"/>
      <c r="KRR62" s="608"/>
      <c r="KRS62" s="608"/>
      <c r="KRT62" s="608"/>
      <c r="KRU62" s="608"/>
      <c r="KRV62" s="608"/>
      <c r="KRW62" s="608"/>
      <c r="KRX62" s="608"/>
      <c r="KRY62" s="608"/>
      <c r="KRZ62" s="608"/>
      <c r="KSA62" s="608"/>
      <c r="KSB62" s="608"/>
      <c r="KSC62" s="608"/>
      <c r="KSD62" s="608"/>
      <c r="KSE62" s="608"/>
      <c r="KSF62" s="608"/>
      <c r="KSG62" s="608"/>
      <c r="KSH62" s="608"/>
      <c r="KSI62" s="608"/>
      <c r="KSJ62" s="608"/>
      <c r="KSK62" s="608"/>
      <c r="KSL62" s="608"/>
      <c r="KSM62" s="608"/>
      <c r="KSN62" s="608"/>
      <c r="KSO62" s="608"/>
      <c r="KSP62" s="608"/>
      <c r="KSQ62" s="608"/>
      <c r="KSR62" s="608"/>
      <c r="KSS62" s="608"/>
      <c r="KST62" s="608"/>
      <c r="KSU62" s="608"/>
      <c r="KSV62" s="608"/>
      <c r="KSW62" s="608"/>
      <c r="KSX62" s="608"/>
      <c r="KSY62" s="608"/>
      <c r="KSZ62" s="608"/>
      <c r="KTA62" s="608"/>
      <c r="KTB62" s="608"/>
      <c r="KTC62" s="608"/>
      <c r="KTD62" s="608"/>
      <c r="KTE62" s="608"/>
      <c r="KTF62" s="608"/>
      <c r="KTG62" s="608"/>
      <c r="KTH62" s="608"/>
      <c r="KTI62" s="608"/>
      <c r="KTJ62" s="608"/>
      <c r="KTK62" s="608"/>
      <c r="KTL62" s="608"/>
      <c r="KTM62" s="608"/>
      <c r="KTN62" s="608"/>
      <c r="KTO62" s="608"/>
      <c r="KTP62" s="608"/>
      <c r="KTQ62" s="608"/>
      <c r="KTR62" s="608"/>
      <c r="KTS62" s="608"/>
      <c r="KTT62" s="608"/>
      <c r="KTU62" s="608"/>
      <c r="KTV62" s="608"/>
      <c r="KTW62" s="608"/>
      <c r="KTX62" s="608"/>
      <c r="KTY62" s="608"/>
      <c r="KTZ62" s="608"/>
      <c r="KUA62" s="608"/>
      <c r="KUB62" s="608"/>
      <c r="KUC62" s="608"/>
      <c r="KUD62" s="608"/>
      <c r="KUE62" s="608"/>
      <c r="KUF62" s="608"/>
      <c r="KUG62" s="608"/>
      <c r="KUH62" s="608"/>
      <c r="KUI62" s="608"/>
      <c r="KUJ62" s="608"/>
      <c r="KUK62" s="608"/>
      <c r="KUL62" s="608"/>
      <c r="KUM62" s="608"/>
      <c r="KUN62" s="608"/>
      <c r="KUO62" s="608"/>
      <c r="KUP62" s="608"/>
      <c r="KUQ62" s="608"/>
      <c r="KUR62" s="608"/>
      <c r="KUS62" s="608"/>
      <c r="KUT62" s="608"/>
      <c r="KUU62" s="608"/>
      <c r="KUV62" s="608"/>
      <c r="KUW62" s="608"/>
      <c r="KUX62" s="608"/>
      <c r="KUY62" s="608"/>
      <c r="KUZ62" s="608"/>
      <c r="KVA62" s="608"/>
      <c r="KVB62" s="608"/>
      <c r="KVC62" s="608"/>
      <c r="KVD62" s="608"/>
      <c r="KVE62" s="608"/>
      <c r="KVF62" s="608"/>
      <c r="KVG62" s="608"/>
      <c r="KVH62" s="608"/>
      <c r="KVI62" s="608"/>
      <c r="KVJ62" s="608"/>
      <c r="KVK62" s="608"/>
      <c r="KVL62" s="608"/>
      <c r="KVM62" s="608"/>
      <c r="KVN62" s="608"/>
      <c r="KVO62" s="608"/>
      <c r="KVP62" s="608"/>
      <c r="KVQ62" s="608"/>
      <c r="KVR62" s="608"/>
      <c r="KVS62" s="608"/>
      <c r="KVT62" s="608"/>
      <c r="KVU62" s="608"/>
      <c r="KVV62" s="608"/>
      <c r="KVW62" s="608"/>
      <c r="KVX62" s="608"/>
      <c r="KVY62" s="608"/>
      <c r="KVZ62" s="608"/>
      <c r="KWA62" s="608"/>
      <c r="KWB62" s="608"/>
      <c r="KWC62" s="608"/>
      <c r="KWD62" s="608"/>
      <c r="KWE62" s="608"/>
      <c r="KWF62" s="608"/>
      <c r="KWG62" s="608"/>
      <c r="KWH62" s="608"/>
      <c r="KWI62" s="608"/>
      <c r="KWJ62" s="608"/>
      <c r="KWK62" s="608"/>
      <c r="KWL62" s="608"/>
      <c r="KWM62" s="608"/>
      <c r="KWN62" s="608"/>
      <c r="KWO62" s="608"/>
      <c r="KWP62" s="608"/>
      <c r="KWQ62" s="608"/>
      <c r="KWR62" s="608"/>
      <c r="KWS62" s="608"/>
      <c r="KWT62" s="608"/>
      <c r="KWU62" s="608"/>
      <c r="KWV62" s="608"/>
      <c r="KWW62" s="608"/>
      <c r="KWX62" s="608"/>
      <c r="KWY62" s="608"/>
      <c r="KWZ62" s="608"/>
      <c r="KXA62" s="608"/>
      <c r="KXB62" s="608"/>
      <c r="KXC62" s="608"/>
      <c r="KXD62" s="608"/>
      <c r="KXE62" s="608"/>
      <c r="KXF62" s="608"/>
      <c r="KXG62" s="608"/>
      <c r="KXH62" s="608"/>
      <c r="KXI62" s="608"/>
      <c r="KXJ62" s="608"/>
      <c r="KXK62" s="608"/>
      <c r="KXL62" s="608"/>
      <c r="KXM62" s="608"/>
      <c r="KXN62" s="608"/>
      <c r="KXO62" s="608"/>
      <c r="KXP62" s="608"/>
      <c r="KXQ62" s="608"/>
      <c r="KXR62" s="608"/>
      <c r="KXS62" s="608"/>
      <c r="KXT62" s="608"/>
      <c r="KXU62" s="608"/>
      <c r="KXV62" s="608"/>
      <c r="KXW62" s="608"/>
      <c r="KXX62" s="608"/>
      <c r="KXY62" s="608"/>
      <c r="KXZ62" s="608"/>
      <c r="KYA62" s="608"/>
      <c r="KYB62" s="608"/>
      <c r="KYC62" s="608"/>
      <c r="KYD62" s="608"/>
      <c r="KYE62" s="608"/>
      <c r="KYF62" s="608"/>
      <c r="KYG62" s="608"/>
      <c r="KYH62" s="608"/>
      <c r="KYI62" s="608"/>
      <c r="KYJ62" s="608"/>
      <c r="KYK62" s="608"/>
      <c r="KYL62" s="608"/>
      <c r="KYM62" s="608"/>
      <c r="KYN62" s="608"/>
      <c r="KYO62" s="608"/>
      <c r="KYP62" s="608"/>
      <c r="KYQ62" s="608"/>
      <c r="KYR62" s="608"/>
      <c r="KYS62" s="608"/>
      <c r="KYT62" s="608"/>
      <c r="KYU62" s="608"/>
      <c r="KYV62" s="608"/>
      <c r="KYW62" s="608"/>
      <c r="KYX62" s="608"/>
      <c r="KYY62" s="608"/>
      <c r="KYZ62" s="608"/>
      <c r="KZA62" s="608"/>
      <c r="KZB62" s="608"/>
      <c r="KZC62" s="608"/>
      <c r="KZD62" s="608"/>
      <c r="KZE62" s="608"/>
      <c r="KZF62" s="608"/>
      <c r="KZG62" s="608"/>
      <c r="KZH62" s="608"/>
      <c r="KZI62" s="608"/>
      <c r="KZJ62" s="608"/>
      <c r="KZK62" s="608"/>
      <c r="KZL62" s="608"/>
      <c r="KZM62" s="608"/>
      <c r="KZN62" s="608"/>
      <c r="KZO62" s="608"/>
      <c r="KZP62" s="608"/>
      <c r="KZQ62" s="608"/>
      <c r="KZR62" s="608"/>
      <c r="KZS62" s="608"/>
      <c r="KZT62" s="608"/>
      <c r="KZU62" s="608"/>
      <c r="KZV62" s="608"/>
      <c r="KZW62" s="608"/>
      <c r="KZX62" s="608"/>
      <c r="KZY62" s="608"/>
      <c r="KZZ62" s="608"/>
      <c r="LAA62" s="608"/>
      <c r="LAB62" s="608"/>
      <c r="LAC62" s="608"/>
      <c r="LAD62" s="608"/>
      <c r="LAE62" s="608"/>
      <c r="LAF62" s="608"/>
      <c r="LAG62" s="608"/>
      <c r="LAH62" s="608"/>
      <c r="LAI62" s="608"/>
      <c r="LAJ62" s="608"/>
      <c r="LAK62" s="608"/>
      <c r="LAL62" s="608"/>
      <c r="LAM62" s="608"/>
      <c r="LAN62" s="608"/>
      <c r="LAO62" s="608"/>
      <c r="LAP62" s="608"/>
      <c r="LAQ62" s="608"/>
      <c r="LAR62" s="608"/>
      <c r="LAS62" s="608"/>
      <c r="LAT62" s="608"/>
      <c r="LAU62" s="608"/>
      <c r="LAV62" s="608"/>
      <c r="LAW62" s="608"/>
      <c r="LAX62" s="608"/>
      <c r="LAY62" s="608"/>
      <c r="LAZ62" s="608"/>
      <c r="LBA62" s="608"/>
      <c r="LBB62" s="608"/>
      <c r="LBC62" s="608"/>
      <c r="LBD62" s="608"/>
      <c r="LBE62" s="608"/>
      <c r="LBF62" s="608"/>
      <c r="LBG62" s="608"/>
      <c r="LBH62" s="608"/>
      <c r="LBI62" s="608"/>
      <c r="LBJ62" s="608"/>
      <c r="LBK62" s="608"/>
      <c r="LBL62" s="608"/>
      <c r="LBM62" s="608"/>
      <c r="LBN62" s="608"/>
      <c r="LBO62" s="608"/>
      <c r="LBP62" s="608"/>
      <c r="LBQ62" s="608"/>
      <c r="LBR62" s="608"/>
      <c r="LBS62" s="608"/>
      <c r="LBT62" s="608"/>
      <c r="LBU62" s="608"/>
      <c r="LBV62" s="608"/>
      <c r="LBW62" s="608"/>
      <c r="LBX62" s="608"/>
      <c r="LBY62" s="608"/>
      <c r="LBZ62" s="608"/>
      <c r="LCA62" s="608"/>
      <c r="LCB62" s="608"/>
      <c r="LCC62" s="608"/>
      <c r="LCD62" s="608"/>
      <c r="LCE62" s="608"/>
      <c r="LCF62" s="608"/>
      <c r="LCG62" s="608"/>
      <c r="LCH62" s="608"/>
      <c r="LCI62" s="608"/>
      <c r="LCJ62" s="608"/>
      <c r="LCK62" s="608"/>
      <c r="LCL62" s="608"/>
      <c r="LCM62" s="608"/>
      <c r="LCN62" s="608"/>
      <c r="LCO62" s="608"/>
      <c r="LCP62" s="608"/>
      <c r="LCQ62" s="608"/>
      <c r="LCR62" s="608"/>
      <c r="LCS62" s="608"/>
      <c r="LCT62" s="608"/>
      <c r="LCU62" s="608"/>
      <c r="LCV62" s="608"/>
      <c r="LCW62" s="608"/>
      <c r="LCX62" s="608"/>
      <c r="LCY62" s="608"/>
      <c r="LCZ62" s="608"/>
      <c r="LDA62" s="608"/>
      <c r="LDB62" s="608"/>
      <c r="LDC62" s="608"/>
      <c r="LDD62" s="608"/>
      <c r="LDE62" s="608"/>
      <c r="LDF62" s="608"/>
      <c r="LDG62" s="608"/>
      <c r="LDH62" s="608"/>
      <c r="LDI62" s="608"/>
      <c r="LDJ62" s="608"/>
      <c r="LDK62" s="608"/>
      <c r="LDL62" s="608"/>
      <c r="LDM62" s="608"/>
      <c r="LDN62" s="608"/>
      <c r="LDO62" s="608"/>
      <c r="LDP62" s="608"/>
      <c r="LDQ62" s="608"/>
      <c r="LDR62" s="608"/>
      <c r="LDS62" s="608"/>
      <c r="LDT62" s="608"/>
      <c r="LDU62" s="608"/>
      <c r="LDV62" s="608"/>
      <c r="LDW62" s="608"/>
      <c r="LDX62" s="608"/>
      <c r="LDY62" s="608"/>
      <c r="LDZ62" s="608"/>
      <c r="LEA62" s="608"/>
      <c r="LEB62" s="608"/>
      <c r="LEC62" s="608"/>
      <c r="LED62" s="608"/>
      <c r="LEE62" s="608"/>
      <c r="LEF62" s="608"/>
      <c r="LEG62" s="608"/>
      <c r="LEH62" s="608"/>
      <c r="LEI62" s="608"/>
      <c r="LEJ62" s="608"/>
      <c r="LEK62" s="608"/>
      <c r="LEL62" s="608"/>
      <c r="LEM62" s="608"/>
      <c r="LEN62" s="608"/>
      <c r="LEO62" s="608"/>
      <c r="LEP62" s="608"/>
      <c r="LEQ62" s="608"/>
      <c r="LER62" s="608"/>
      <c r="LES62" s="608"/>
      <c r="LET62" s="608"/>
      <c r="LEU62" s="608"/>
      <c r="LEV62" s="608"/>
      <c r="LEW62" s="608"/>
      <c r="LEX62" s="608"/>
      <c r="LEY62" s="608"/>
      <c r="LEZ62" s="608"/>
      <c r="LFA62" s="608"/>
      <c r="LFB62" s="608"/>
      <c r="LFC62" s="608"/>
      <c r="LFD62" s="608"/>
      <c r="LFE62" s="608"/>
      <c r="LFF62" s="608"/>
      <c r="LFG62" s="608"/>
      <c r="LFH62" s="608"/>
      <c r="LFI62" s="608"/>
      <c r="LFJ62" s="608"/>
      <c r="LFK62" s="608"/>
      <c r="LFL62" s="608"/>
      <c r="LFM62" s="608"/>
      <c r="LFN62" s="608"/>
      <c r="LFO62" s="608"/>
      <c r="LFP62" s="608"/>
      <c r="LFQ62" s="608"/>
      <c r="LFR62" s="608"/>
      <c r="LFS62" s="608"/>
      <c r="LFT62" s="608"/>
      <c r="LFU62" s="608"/>
      <c r="LFV62" s="608"/>
      <c r="LFW62" s="608"/>
      <c r="LFX62" s="608"/>
      <c r="LFY62" s="608"/>
      <c r="LFZ62" s="608"/>
      <c r="LGA62" s="608"/>
      <c r="LGB62" s="608"/>
      <c r="LGC62" s="608"/>
      <c r="LGD62" s="608"/>
      <c r="LGE62" s="608"/>
      <c r="LGF62" s="608"/>
      <c r="LGG62" s="608"/>
      <c r="LGH62" s="608"/>
      <c r="LGI62" s="608"/>
      <c r="LGJ62" s="608"/>
      <c r="LGK62" s="608"/>
      <c r="LGL62" s="608"/>
      <c r="LGM62" s="608"/>
      <c r="LGN62" s="608"/>
      <c r="LGO62" s="608"/>
      <c r="LGP62" s="608"/>
      <c r="LGQ62" s="608"/>
      <c r="LGR62" s="608"/>
      <c r="LGS62" s="608"/>
      <c r="LGT62" s="608"/>
      <c r="LGU62" s="608"/>
      <c r="LGV62" s="608"/>
      <c r="LGW62" s="608"/>
      <c r="LGX62" s="608"/>
      <c r="LGY62" s="608"/>
      <c r="LGZ62" s="608"/>
      <c r="LHA62" s="608"/>
      <c r="LHB62" s="608"/>
      <c r="LHC62" s="608"/>
      <c r="LHD62" s="608"/>
      <c r="LHE62" s="608"/>
      <c r="LHF62" s="608"/>
      <c r="LHG62" s="608"/>
      <c r="LHH62" s="608"/>
      <c r="LHI62" s="608"/>
      <c r="LHJ62" s="608"/>
      <c r="LHK62" s="608"/>
      <c r="LHL62" s="608"/>
      <c r="LHM62" s="608"/>
      <c r="LHN62" s="608"/>
      <c r="LHO62" s="608"/>
      <c r="LHP62" s="608"/>
      <c r="LHQ62" s="608"/>
      <c r="LHR62" s="608"/>
      <c r="LHS62" s="608"/>
      <c r="LHT62" s="608"/>
      <c r="LHU62" s="608"/>
      <c r="LHV62" s="608"/>
      <c r="LHW62" s="608"/>
      <c r="LHX62" s="608"/>
      <c r="LHY62" s="608"/>
      <c r="LHZ62" s="608"/>
      <c r="LIA62" s="608"/>
      <c r="LIB62" s="608"/>
      <c r="LIC62" s="608"/>
      <c r="LID62" s="608"/>
      <c r="LIE62" s="608"/>
      <c r="LIF62" s="608"/>
      <c r="LIG62" s="608"/>
      <c r="LIH62" s="608"/>
      <c r="LII62" s="608"/>
      <c r="LIJ62" s="608"/>
      <c r="LIK62" s="608"/>
      <c r="LIL62" s="608"/>
      <c r="LIM62" s="608"/>
      <c r="LIN62" s="608"/>
      <c r="LIO62" s="608"/>
      <c r="LIP62" s="608"/>
      <c r="LIQ62" s="608"/>
      <c r="LIR62" s="608"/>
      <c r="LIS62" s="608"/>
      <c r="LIT62" s="608"/>
      <c r="LIU62" s="608"/>
      <c r="LIV62" s="608"/>
      <c r="LIW62" s="608"/>
      <c r="LIX62" s="608"/>
      <c r="LIY62" s="608"/>
      <c r="LIZ62" s="608"/>
      <c r="LJA62" s="608"/>
      <c r="LJB62" s="608"/>
      <c r="LJC62" s="608"/>
      <c r="LJD62" s="608"/>
      <c r="LJE62" s="608"/>
      <c r="LJF62" s="608"/>
      <c r="LJG62" s="608"/>
      <c r="LJH62" s="608"/>
      <c r="LJI62" s="608"/>
      <c r="LJJ62" s="608"/>
      <c r="LJK62" s="608"/>
      <c r="LJL62" s="608"/>
      <c r="LJM62" s="608"/>
      <c r="LJN62" s="608"/>
      <c r="LJO62" s="608"/>
      <c r="LJP62" s="608"/>
      <c r="LJQ62" s="608"/>
      <c r="LJR62" s="608"/>
      <c r="LJS62" s="608"/>
      <c r="LJT62" s="608"/>
      <c r="LJU62" s="608"/>
      <c r="LJV62" s="608"/>
      <c r="LJW62" s="608"/>
      <c r="LJX62" s="608"/>
      <c r="LJY62" s="608"/>
      <c r="LJZ62" s="608"/>
      <c r="LKA62" s="608"/>
      <c r="LKB62" s="608"/>
      <c r="LKC62" s="608"/>
      <c r="LKD62" s="608"/>
      <c r="LKE62" s="608"/>
      <c r="LKF62" s="608"/>
      <c r="LKG62" s="608"/>
      <c r="LKH62" s="608"/>
      <c r="LKI62" s="608"/>
      <c r="LKJ62" s="608"/>
      <c r="LKK62" s="608"/>
      <c r="LKL62" s="608"/>
      <c r="LKM62" s="608"/>
      <c r="LKN62" s="608"/>
      <c r="LKO62" s="608"/>
      <c r="LKP62" s="608"/>
      <c r="LKQ62" s="608"/>
      <c r="LKR62" s="608"/>
      <c r="LKS62" s="608"/>
      <c r="LKT62" s="608"/>
      <c r="LKU62" s="608"/>
      <c r="LKV62" s="608"/>
      <c r="LKW62" s="608"/>
      <c r="LKX62" s="608"/>
      <c r="LKY62" s="608"/>
      <c r="LKZ62" s="608"/>
      <c r="LLA62" s="608"/>
      <c r="LLB62" s="608"/>
      <c r="LLC62" s="608"/>
      <c r="LLD62" s="608"/>
      <c r="LLE62" s="608"/>
      <c r="LLF62" s="608"/>
      <c r="LLG62" s="608"/>
      <c r="LLH62" s="608"/>
      <c r="LLI62" s="608"/>
      <c r="LLJ62" s="608"/>
      <c r="LLK62" s="608"/>
      <c r="LLL62" s="608"/>
      <c r="LLM62" s="608"/>
      <c r="LLN62" s="608"/>
      <c r="LLO62" s="608"/>
      <c r="LLP62" s="608"/>
      <c r="LLQ62" s="608"/>
      <c r="LLR62" s="608"/>
      <c r="LLS62" s="608"/>
      <c r="LLT62" s="608"/>
      <c r="LLU62" s="608"/>
      <c r="LLV62" s="608"/>
      <c r="LLW62" s="608"/>
      <c r="LLX62" s="608"/>
      <c r="LLY62" s="608"/>
      <c r="LLZ62" s="608"/>
      <c r="LMA62" s="608"/>
      <c r="LMB62" s="608"/>
      <c r="LMC62" s="608"/>
      <c r="LMD62" s="608"/>
      <c r="LME62" s="608"/>
      <c r="LMF62" s="608"/>
      <c r="LMG62" s="608"/>
      <c r="LMH62" s="608"/>
      <c r="LMI62" s="608"/>
      <c r="LMJ62" s="608"/>
      <c r="LMK62" s="608"/>
      <c r="LML62" s="608"/>
      <c r="LMM62" s="608"/>
      <c r="LMN62" s="608"/>
      <c r="LMO62" s="608"/>
      <c r="LMP62" s="608"/>
      <c r="LMQ62" s="608"/>
      <c r="LMR62" s="608"/>
      <c r="LMS62" s="608"/>
      <c r="LMT62" s="608"/>
      <c r="LMU62" s="608"/>
      <c r="LMV62" s="608"/>
      <c r="LMW62" s="608"/>
      <c r="LMX62" s="608"/>
      <c r="LMY62" s="608"/>
      <c r="LMZ62" s="608"/>
      <c r="LNA62" s="608"/>
      <c r="LNB62" s="608"/>
      <c r="LNC62" s="608"/>
      <c r="LND62" s="608"/>
      <c r="LNE62" s="608"/>
      <c r="LNF62" s="608"/>
      <c r="LNG62" s="608"/>
      <c r="LNH62" s="608"/>
      <c r="LNI62" s="608"/>
      <c r="LNJ62" s="608"/>
      <c r="LNK62" s="608"/>
      <c r="LNL62" s="608"/>
      <c r="LNM62" s="608"/>
      <c r="LNN62" s="608"/>
      <c r="LNO62" s="608"/>
      <c r="LNP62" s="608"/>
      <c r="LNQ62" s="608"/>
      <c r="LNR62" s="608"/>
      <c r="LNS62" s="608"/>
      <c r="LNT62" s="608"/>
      <c r="LNU62" s="608"/>
      <c r="LNV62" s="608"/>
      <c r="LNW62" s="608"/>
      <c r="LNX62" s="608"/>
      <c r="LNY62" s="608"/>
      <c r="LNZ62" s="608"/>
      <c r="LOA62" s="608"/>
      <c r="LOB62" s="608"/>
      <c r="LOC62" s="608"/>
      <c r="LOD62" s="608"/>
      <c r="LOE62" s="608"/>
      <c r="LOF62" s="608"/>
      <c r="LOG62" s="608"/>
      <c r="LOH62" s="608"/>
      <c r="LOI62" s="608"/>
      <c r="LOJ62" s="608"/>
      <c r="LOK62" s="608"/>
      <c r="LOL62" s="608"/>
      <c r="LOM62" s="608"/>
      <c r="LON62" s="608"/>
      <c r="LOO62" s="608"/>
      <c r="LOP62" s="608"/>
      <c r="LOQ62" s="608"/>
      <c r="LOR62" s="608"/>
      <c r="LOS62" s="608"/>
      <c r="LOT62" s="608"/>
      <c r="LOU62" s="608"/>
      <c r="LOV62" s="608"/>
      <c r="LOW62" s="608"/>
      <c r="LOX62" s="608"/>
      <c r="LOY62" s="608"/>
      <c r="LOZ62" s="608"/>
      <c r="LPA62" s="608"/>
      <c r="LPB62" s="608"/>
      <c r="LPC62" s="608"/>
      <c r="LPD62" s="608"/>
      <c r="LPE62" s="608"/>
      <c r="LPF62" s="608"/>
      <c r="LPG62" s="608"/>
      <c r="LPH62" s="608"/>
      <c r="LPI62" s="608"/>
      <c r="LPJ62" s="608"/>
      <c r="LPK62" s="608"/>
      <c r="LPL62" s="608"/>
      <c r="LPM62" s="608"/>
      <c r="LPN62" s="608"/>
      <c r="LPO62" s="608"/>
      <c r="LPP62" s="608"/>
      <c r="LPQ62" s="608"/>
      <c r="LPR62" s="608"/>
      <c r="LPS62" s="608"/>
      <c r="LPT62" s="608"/>
      <c r="LPU62" s="608"/>
      <c r="LPV62" s="608"/>
      <c r="LPW62" s="608"/>
      <c r="LPX62" s="608"/>
      <c r="LPY62" s="608"/>
      <c r="LPZ62" s="608"/>
      <c r="LQA62" s="608"/>
      <c r="LQB62" s="608"/>
      <c r="LQC62" s="608"/>
      <c r="LQD62" s="608"/>
      <c r="LQE62" s="608"/>
      <c r="LQF62" s="608"/>
      <c r="LQG62" s="608"/>
      <c r="LQH62" s="608"/>
      <c r="LQI62" s="608"/>
      <c r="LQJ62" s="608"/>
      <c r="LQK62" s="608"/>
      <c r="LQL62" s="608"/>
      <c r="LQM62" s="608"/>
      <c r="LQN62" s="608"/>
      <c r="LQO62" s="608"/>
      <c r="LQP62" s="608"/>
      <c r="LQQ62" s="608"/>
      <c r="LQR62" s="608"/>
      <c r="LQS62" s="608"/>
      <c r="LQT62" s="608"/>
      <c r="LQU62" s="608"/>
      <c r="LQV62" s="608"/>
      <c r="LQW62" s="608"/>
      <c r="LQX62" s="608"/>
      <c r="LQY62" s="608"/>
      <c r="LQZ62" s="608"/>
      <c r="LRA62" s="608"/>
      <c r="LRB62" s="608"/>
      <c r="LRC62" s="608"/>
      <c r="LRD62" s="608"/>
      <c r="LRE62" s="608"/>
      <c r="LRF62" s="608"/>
      <c r="LRG62" s="608"/>
      <c r="LRH62" s="608"/>
      <c r="LRI62" s="608"/>
      <c r="LRJ62" s="608"/>
      <c r="LRK62" s="608"/>
      <c r="LRL62" s="608"/>
      <c r="LRM62" s="608"/>
      <c r="LRN62" s="608"/>
      <c r="LRO62" s="608"/>
      <c r="LRP62" s="608"/>
      <c r="LRQ62" s="608"/>
      <c r="LRR62" s="608"/>
      <c r="LRS62" s="608"/>
      <c r="LRT62" s="608"/>
      <c r="LRU62" s="608"/>
      <c r="LRV62" s="608"/>
      <c r="LRW62" s="608"/>
      <c r="LRX62" s="608"/>
      <c r="LRY62" s="608"/>
      <c r="LRZ62" s="608"/>
      <c r="LSA62" s="608"/>
      <c r="LSB62" s="608"/>
      <c r="LSC62" s="608"/>
      <c r="LSD62" s="608"/>
      <c r="LSE62" s="608"/>
      <c r="LSF62" s="608"/>
      <c r="LSG62" s="608"/>
      <c r="LSH62" s="608"/>
      <c r="LSI62" s="608"/>
      <c r="LSJ62" s="608"/>
      <c r="LSK62" s="608"/>
      <c r="LSL62" s="608"/>
      <c r="LSM62" s="608"/>
      <c r="LSN62" s="608"/>
      <c r="LSO62" s="608"/>
      <c r="LSP62" s="608"/>
      <c r="LSQ62" s="608"/>
      <c r="LSR62" s="608"/>
      <c r="LSS62" s="608"/>
      <c r="LST62" s="608"/>
      <c r="LSU62" s="608"/>
      <c r="LSV62" s="608"/>
      <c r="LSW62" s="608"/>
      <c r="LSX62" s="608"/>
      <c r="LSY62" s="608"/>
      <c r="LSZ62" s="608"/>
      <c r="LTA62" s="608"/>
      <c r="LTB62" s="608"/>
      <c r="LTC62" s="608"/>
      <c r="LTD62" s="608"/>
      <c r="LTE62" s="608"/>
      <c r="LTF62" s="608"/>
      <c r="LTG62" s="608"/>
      <c r="LTH62" s="608"/>
      <c r="LTI62" s="608"/>
      <c r="LTJ62" s="608"/>
      <c r="LTK62" s="608"/>
      <c r="LTL62" s="608"/>
      <c r="LTM62" s="608"/>
      <c r="LTN62" s="608"/>
      <c r="LTO62" s="608"/>
      <c r="LTP62" s="608"/>
      <c r="LTQ62" s="608"/>
      <c r="LTR62" s="608"/>
      <c r="LTS62" s="608"/>
      <c r="LTT62" s="608"/>
      <c r="LTU62" s="608"/>
      <c r="LTV62" s="608"/>
      <c r="LTW62" s="608"/>
      <c r="LTX62" s="608"/>
      <c r="LTY62" s="608"/>
      <c r="LTZ62" s="608"/>
      <c r="LUA62" s="608"/>
      <c r="LUB62" s="608"/>
      <c r="LUC62" s="608"/>
      <c r="LUD62" s="608"/>
      <c r="LUE62" s="608"/>
      <c r="LUF62" s="608"/>
      <c r="LUG62" s="608"/>
      <c r="LUH62" s="608"/>
      <c r="LUI62" s="608"/>
      <c r="LUJ62" s="608"/>
      <c r="LUK62" s="608"/>
      <c r="LUL62" s="608"/>
      <c r="LUM62" s="608"/>
      <c r="LUN62" s="608"/>
      <c r="LUO62" s="608"/>
      <c r="LUP62" s="608"/>
      <c r="LUQ62" s="608"/>
      <c r="LUR62" s="608"/>
      <c r="LUS62" s="608"/>
      <c r="LUT62" s="608"/>
      <c r="LUU62" s="608"/>
      <c r="LUV62" s="608"/>
      <c r="LUW62" s="608"/>
      <c r="LUX62" s="608"/>
      <c r="LUY62" s="608"/>
      <c r="LUZ62" s="608"/>
      <c r="LVA62" s="608"/>
      <c r="LVB62" s="608"/>
      <c r="LVC62" s="608"/>
      <c r="LVD62" s="608"/>
      <c r="LVE62" s="608"/>
      <c r="LVF62" s="608"/>
      <c r="LVG62" s="608"/>
      <c r="LVH62" s="608"/>
      <c r="LVI62" s="608"/>
      <c r="LVJ62" s="608"/>
      <c r="LVK62" s="608"/>
      <c r="LVL62" s="608"/>
      <c r="LVM62" s="608"/>
      <c r="LVN62" s="608"/>
      <c r="LVO62" s="608"/>
      <c r="LVP62" s="608"/>
      <c r="LVQ62" s="608"/>
      <c r="LVR62" s="608"/>
      <c r="LVS62" s="608"/>
      <c r="LVT62" s="608"/>
      <c r="LVU62" s="608"/>
      <c r="LVV62" s="608"/>
      <c r="LVW62" s="608"/>
      <c r="LVX62" s="608"/>
      <c r="LVY62" s="608"/>
      <c r="LVZ62" s="608"/>
      <c r="LWA62" s="608"/>
      <c r="LWB62" s="608"/>
      <c r="LWC62" s="608"/>
      <c r="LWD62" s="608"/>
      <c r="LWE62" s="608"/>
      <c r="LWF62" s="608"/>
      <c r="LWG62" s="608"/>
      <c r="LWH62" s="608"/>
      <c r="LWI62" s="608"/>
      <c r="LWJ62" s="608"/>
      <c r="LWK62" s="608"/>
      <c r="LWL62" s="608"/>
      <c r="LWM62" s="608"/>
      <c r="LWN62" s="608"/>
      <c r="LWO62" s="608"/>
      <c r="LWP62" s="608"/>
      <c r="LWQ62" s="608"/>
      <c r="LWR62" s="608"/>
      <c r="LWS62" s="608"/>
      <c r="LWT62" s="608"/>
      <c r="LWU62" s="608"/>
      <c r="LWV62" s="608"/>
      <c r="LWW62" s="608"/>
      <c r="LWX62" s="608"/>
      <c r="LWY62" s="608"/>
      <c r="LWZ62" s="608"/>
      <c r="LXA62" s="608"/>
      <c r="LXB62" s="608"/>
      <c r="LXC62" s="608"/>
      <c r="LXD62" s="608"/>
      <c r="LXE62" s="608"/>
      <c r="LXF62" s="608"/>
      <c r="LXG62" s="608"/>
      <c r="LXH62" s="608"/>
      <c r="LXI62" s="608"/>
      <c r="LXJ62" s="608"/>
      <c r="LXK62" s="608"/>
      <c r="LXL62" s="608"/>
      <c r="LXM62" s="608"/>
      <c r="LXN62" s="608"/>
      <c r="LXO62" s="608"/>
      <c r="LXP62" s="608"/>
      <c r="LXQ62" s="608"/>
      <c r="LXR62" s="608"/>
      <c r="LXS62" s="608"/>
      <c r="LXT62" s="608"/>
      <c r="LXU62" s="608"/>
      <c r="LXV62" s="608"/>
      <c r="LXW62" s="608"/>
      <c r="LXX62" s="608"/>
      <c r="LXY62" s="608"/>
      <c r="LXZ62" s="608"/>
      <c r="LYA62" s="608"/>
      <c r="LYB62" s="608"/>
      <c r="LYC62" s="608"/>
      <c r="LYD62" s="608"/>
      <c r="LYE62" s="608"/>
      <c r="LYF62" s="608"/>
      <c r="LYG62" s="608"/>
      <c r="LYH62" s="608"/>
      <c r="LYI62" s="608"/>
      <c r="LYJ62" s="608"/>
      <c r="LYK62" s="608"/>
      <c r="LYL62" s="608"/>
      <c r="LYM62" s="608"/>
      <c r="LYN62" s="608"/>
      <c r="LYO62" s="608"/>
      <c r="LYP62" s="608"/>
      <c r="LYQ62" s="608"/>
      <c r="LYR62" s="608"/>
      <c r="LYS62" s="608"/>
      <c r="LYT62" s="608"/>
      <c r="LYU62" s="608"/>
      <c r="LYV62" s="608"/>
      <c r="LYW62" s="608"/>
      <c r="LYX62" s="608"/>
      <c r="LYY62" s="608"/>
      <c r="LYZ62" s="608"/>
      <c r="LZA62" s="608"/>
      <c r="LZB62" s="608"/>
      <c r="LZC62" s="608"/>
      <c r="LZD62" s="608"/>
      <c r="LZE62" s="608"/>
      <c r="LZF62" s="608"/>
      <c r="LZG62" s="608"/>
      <c r="LZH62" s="608"/>
      <c r="LZI62" s="608"/>
      <c r="LZJ62" s="608"/>
      <c r="LZK62" s="608"/>
      <c r="LZL62" s="608"/>
      <c r="LZM62" s="608"/>
      <c r="LZN62" s="608"/>
      <c r="LZO62" s="608"/>
      <c r="LZP62" s="608"/>
      <c r="LZQ62" s="608"/>
      <c r="LZR62" s="608"/>
      <c r="LZS62" s="608"/>
      <c r="LZT62" s="608"/>
      <c r="LZU62" s="608"/>
      <c r="LZV62" s="608"/>
      <c r="LZW62" s="608"/>
      <c r="LZX62" s="608"/>
      <c r="LZY62" s="608"/>
      <c r="LZZ62" s="608"/>
      <c r="MAA62" s="608"/>
      <c r="MAB62" s="608"/>
      <c r="MAC62" s="608"/>
      <c r="MAD62" s="608"/>
      <c r="MAE62" s="608"/>
      <c r="MAF62" s="608"/>
      <c r="MAG62" s="608"/>
      <c r="MAH62" s="608"/>
      <c r="MAI62" s="608"/>
      <c r="MAJ62" s="608"/>
      <c r="MAK62" s="608"/>
      <c r="MAL62" s="608"/>
      <c r="MAM62" s="608"/>
      <c r="MAN62" s="608"/>
      <c r="MAO62" s="608"/>
      <c r="MAP62" s="608"/>
      <c r="MAQ62" s="608"/>
      <c r="MAR62" s="608"/>
      <c r="MAS62" s="608"/>
      <c r="MAT62" s="608"/>
      <c r="MAU62" s="608"/>
      <c r="MAV62" s="608"/>
      <c r="MAW62" s="608"/>
      <c r="MAX62" s="608"/>
      <c r="MAY62" s="608"/>
      <c r="MAZ62" s="608"/>
      <c r="MBA62" s="608"/>
      <c r="MBB62" s="608"/>
      <c r="MBC62" s="608"/>
      <c r="MBD62" s="608"/>
      <c r="MBE62" s="608"/>
      <c r="MBF62" s="608"/>
      <c r="MBG62" s="608"/>
      <c r="MBH62" s="608"/>
      <c r="MBI62" s="608"/>
      <c r="MBJ62" s="608"/>
      <c r="MBK62" s="608"/>
      <c r="MBL62" s="608"/>
      <c r="MBM62" s="608"/>
      <c r="MBN62" s="608"/>
      <c r="MBO62" s="608"/>
      <c r="MBP62" s="608"/>
      <c r="MBQ62" s="608"/>
      <c r="MBR62" s="608"/>
      <c r="MBS62" s="608"/>
      <c r="MBT62" s="608"/>
      <c r="MBU62" s="608"/>
      <c r="MBV62" s="608"/>
      <c r="MBW62" s="608"/>
      <c r="MBX62" s="608"/>
      <c r="MBY62" s="608"/>
      <c r="MBZ62" s="608"/>
      <c r="MCA62" s="608"/>
      <c r="MCB62" s="608"/>
      <c r="MCC62" s="608"/>
      <c r="MCD62" s="608"/>
      <c r="MCE62" s="608"/>
      <c r="MCF62" s="608"/>
      <c r="MCG62" s="608"/>
      <c r="MCH62" s="608"/>
      <c r="MCI62" s="608"/>
      <c r="MCJ62" s="608"/>
      <c r="MCK62" s="608"/>
      <c r="MCL62" s="608"/>
      <c r="MCM62" s="608"/>
      <c r="MCN62" s="608"/>
      <c r="MCO62" s="608"/>
      <c r="MCP62" s="608"/>
      <c r="MCQ62" s="608"/>
      <c r="MCR62" s="608"/>
      <c r="MCS62" s="608"/>
      <c r="MCT62" s="608"/>
      <c r="MCU62" s="608"/>
      <c r="MCV62" s="608"/>
      <c r="MCW62" s="608"/>
      <c r="MCX62" s="608"/>
      <c r="MCY62" s="608"/>
      <c r="MCZ62" s="608"/>
      <c r="MDA62" s="608"/>
      <c r="MDB62" s="608"/>
      <c r="MDC62" s="608"/>
      <c r="MDD62" s="608"/>
      <c r="MDE62" s="608"/>
      <c r="MDF62" s="608"/>
      <c r="MDG62" s="608"/>
      <c r="MDH62" s="608"/>
      <c r="MDI62" s="608"/>
      <c r="MDJ62" s="608"/>
      <c r="MDK62" s="608"/>
      <c r="MDL62" s="608"/>
      <c r="MDM62" s="608"/>
      <c r="MDN62" s="608"/>
      <c r="MDO62" s="608"/>
      <c r="MDP62" s="608"/>
      <c r="MDQ62" s="608"/>
      <c r="MDR62" s="608"/>
      <c r="MDS62" s="608"/>
      <c r="MDT62" s="608"/>
      <c r="MDU62" s="608"/>
      <c r="MDV62" s="608"/>
      <c r="MDW62" s="608"/>
      <c r="MDX62" s="608"/>
      <c r="MDY62" s="608"/>
      <c r="MDZ62" s="608"/>
      <c r="MEA62" s="608"/>
      <c r="MEB62" s="608"/>
      <c r="MEC62" s="608"/>
      <c r="MED62" s="608"/>
      <c r="MEE62" s="608"/>
      <c r="MEF62" s="608"/>
      <c r="MEG62" s="608"/>
      <c r="MEH62" s="608"/>
      <c r="MEI62" s="608"/>
      <c r="MEJ62" s="608"/>
      <c r="MEK62" s="608"/>
      <c r="MEL62" s="608"/>
      <c r="MEM62" s="608"/>
      <c r="MEN62" s="608"/>
      <c r="MEO62" s="608"/>
      <c r="MEP62" s="608"/>
      <c r="MEQ62" s="608"/>
      <c r="MER62" s="608"/>
      <c r="MES62" s="608"/>
      <c r="MET62" s="608"/>
      <c r="MEU62" s="608"/>
      <c r="MEV62" s="608"/>
      <c r="MEW62" s="608"/>
      <c r="MEX62" s="608"/>
      <c r="MEY62" s="608"/>
      <c r="MEZ62" s="608"/>
      <c r="MFA62" s="608"/>
      <c r="MFB62" s="608"/>
      <c r="MFC62" s="608"/>
      <c r="MFD62" s="608"/>
      <c r="MFE62" s="608"/>
      <c r="MFF62" s="608"/>
      <c r="MFG62" s="608"/>
      <c r="MFH62" s="608"/>
      <c r="MFI62" s="608"/>
      <c r="MFJ62" s="608"/>
      <c r="MFK62" s="608"/>
      <c r="MFL62" s="608"/>
      <c r="MFM62" s="608"/>
      <c r="MFN62" s="608"/>
      <c r="MFO62" s="608"/>
      <c r="MFP62" s="608"/>
      <c r="MFQ62" s="608"/>
      <c r="MFR62" s="608"/>
      <c r="MFS62" s="608"/>
      <c r="MFT62" s="608"/>
      <c r="MFU62" s="608"/>
      <c r="MFV62" s="608"/>
      <c r="MFW62" s="608"/>
      <c r="MFX62" s="608"/>
      <c r="MFY62" s="608"/>
      <c r="MFZ62" s="608"/>
      <c r="MGA62" s="608"/>
      <c r="MGB62" s="608"/>
      <c r="MGC62" s="608"/>
      <c r="MGD62" s="608"/>
      <c r="MGE62" s="608"/>
      <c r="MGF62" s="608"/>
      <c r="MGG62" s="608"/>
      <c r="MGH62" s="608"/>
      <c r="MGI62" s="608"/>
      <c r="MGJ62" s="608"/>
      <c r="MGK62" s="608"/>
      <c r="MGL62" s="608"/>
      <c r="MGM62" s="608"/>
      <c r="MGN62" s="608"/>
      <c r="MGO62" s="608"/>
      <c r="MGP62" s="608"/>
      <c r="MGQ62" s="608"/>
      <c r="MGR62" s="608"/>
      <c r="MGS62" s="608"/>
      <c r="MGT62" s="608"/>
      <c r="MGU62" s="608"/>
      <c r="MGV62" s="608"/>
      <c r="MGW62" s="608"/>
      <c r="MGX62" s="608"/>
      <c r="MGY62" s="608"/>
      <c r="MGZ62" s="608"/>
      <c r="MHA62" s="608"/>
      <c r="MHB62" s="608"/>
      <c r="MHC62" s="608"/>
      <c r="MHD62" s="608"/>
      <c r="MHE62" s="608"/>
      <c r="MHF62" s="608"/>
      <c r="MHG62" s="608"/>
      <c r="MHH62" s="608"/>
      <c r="MHI62" s="608"/>
      <c r="MHJ62" s="608"/>
      <c r="MHK62" s="608"/>
      <c r="MHL62" s="608"/>
      <c r="MHM62" s="608"/>
      <c r="MHN62" s="608"/>
      <c r="MHO62" s="608"/>
      <c r="MHP62" s="608"/>
      <c r="MHQ62" s="608"/>
      <c r="MHR62" s="608"/>
      <c r="MHS62" s="608"/>
      <c r="MHT62" s="608"/>
      <c r="MHU62" s="608"/>
      <c r="MHV62" s="608"/>
      <c r="MHW62" s="608"/>
      <c r="MHX62" s="608"/>
      <c r="MHY62" s="608"/>
      <c r="MHZ62" s="608"/>
      <c r="MIA62" s="608"/>
      <c r="MIB62" s="608"/>
      <c r="MIC62" s="608"/>
      <c r="MID62" s="608"/>
      <c r="MIE62" s="608"/>
      <c r="MIF62" s="608"/>
      <c r="MIG62" s="608"/>
      <c r="MIH62" s="608"/>
      <c r="MII62" s="608"/>
      <c r="MIJ62" s="608"/>
      <c r="MIK62" s="608"/>
      <c r="MIL62" s="608"/>
      <c r="MIM62" s="608"/>
      <c r="MIN62" s="608"/>
      <c r="MIO62" s="608"/>
      <c r="MIP62" s="608"/>
      <c r="MIQ62" s="608"/>
      <c r="MIR62" s="608"/>
      <c r="MIS62" s="608"/>
      <c r="MIT62" s="608"/>
      <c r="MIU62" s="608"/>
      <c r="MIV62" s="608"/>
      <c r="MIW62" s="608"/>
      <c r="MIX62" s="608"/>
      <c r="MIY62" s="608"/>
      <c r="MIZ62" s="608"/>
      <c r="MJA62" s="608"/>
      <c r="MJB62" s="608"/>
      <c r="MJC62" s="608"/>
      <c r="MJD62" s="608"/>
      <c r="MJE62" s="608"/>
      <c r="MJF62" s="608"/>
      <c r="MJG62" s="608"/>
      <c r="MJH62" s="608"/>
      <c r="MJI62" s="608"/>
      <c r="MJJ62" s="608"/>
      <c r="MJK62" s="608"/>
      <c r="MJL62" s="608"/>
      <c r="MJM62" s="608"/>
      <c r="MJN62" s="608"/>
      <c r="MJO62" s="608"/>
      <c r="MJP62" s="608"/>
      <c r="MJQ62" s="608"/>
      <c r="MJR62" s="608"/>
      <c r="MJS62" s="608"/>
      <c r="MJT62" s="608"/>
      <c r="MJU62" s="608"/>
      <c r="MJV62" s="608"/>
      <c r="MJW62" s="608"/>
      <c r="MJX62" s="608"/>
      <c r="MJY62" s="608"/>
      <c r="MJZ62" s="608"/>
      <c r="MKA62" s="608"/>
      <c r="MKB62" s="608"/>
      <c r="MKC62" s="608"/>
      <c r="MKD62" s="608"/>
      <c r="MKE62" s="608"/>
      <c r="MKF62" s="608"/>
      <c r="MKG62" s="608"/>
      <c r="MKH62" s="608"/>
      <c r="MKI62" s="608"/>
      <c r="MKJ62" s="608"/>
      <c r="MKK62" s="608"/>
      <c r="MKL62" s="608"/>
      <c r="MKM62" s="608"/>
      <c r="MKN62" s="608"/>
      <c r="MKO62" s="608"/>
      <c r="MKP62" s="608"/>
      <c r="MKQ62" s="608"/>
      <c r="MKR62" s="608"/>
      <c r="MKS62" s="608"/>
      <c r="MKT62" s="608"/>
      <c r="MKU62" s="608"/>
      <c r="MKV62" s="608"/>
      <c r="MKW62" s="608"/>
      <c r="MKX62" s="608"/>
      <c r="MKY62" s="608"/>
      <c r="MKZ62" s="608"/>
      <c r="MLA62" s="608"/>
      <c r="MLB62" s="608"/>
      <c r="MLC62" s="608"/>
      <c r="MLD62" s="608"/>
      <c r="MLE62" s="608"/>
      <c r="MLF62" s="608"/>
      <c r="MLG62" s="608"/>
      <c r="MLH62" s="608"/>
      <c r="MLI62" s="608"/>
      <c r="MLJ62" s="608"/>
      <c r="MLK62" s="608"/>
      <c r="MLL62" s="608"/>
      <c r="MLM62" s="608"/>
      <c r="MLN62" s="608"/>
      <c r="MLO62" s="608"/>
      <c r="MLP62" s="608"/>
      <c r="MLQ62" s="608"/>
      <c r="MLR62" s="608"/>
      <c r="MLS62" s="608"/>
      <c r="MLT62" s="608"/>
      <c r="MLU62" s="608"/>
      <c r="MLV62" s="608"/>
      <c r="MLW62" s="608"/>
      <c r="MLX62" s="608"/>
      <c r="MLY62" s="608"/>
      <c r="MLZ62" s="608"/>
      <c r="MMA62" s="608"/>
      <c r="MMB62" s="608"/>
      <c r="MMC62" s="608"/>
      <c r="MMD62" s="608"/>
      <c r="MME62" s="608"/>
      <c r="MMF62" s="608"/>
      <c r="MMG62" s="608"/>
      <c r="MMH62" s="608"/>
      <c r="MMI62" s="608"/>
      <c r="MMJ62" s="608"/>
      <c r="MMK62" s="608"/>
      <c r="MML62" s="608"/>
      <c r="MMM62" s="608"/>
      <c r="MMN62" s="608"/>
      <c r="MMO62" s="608"/>
      <c r="MMP62" s="608"/>
      <c r="MMQ62" s="608"/>
      <c r="MMR62" s="608"/>
      <c r="MMS62" s="608"/>
      <c r="MMT62" s="608"/>
      <c r="MMU62" s="608"/>
      <c r="MMV62" s="608"/>
      <c r="MMW62" s="608"/>
      <c r="MMX62" s="608"/>
      <c r="MMY62" s="608"/>
      <c r="MMZ62" s="608"/>
      <c r="MNA62" s="608"/>
      <c r="MNB62" s="608"/>
      <c r="MNC62" s="608"/>
      <c r="MND62" s="608"/>
      <c r="MNE62" s="608"/>
      <c r="MNF62" s="608"/>
      <c r="MNG62" s="608"/>
      <c r="MNH62" s="608"/>
      <c r="MNI62" s="608"/>
      <c r="MNJ62" s="608"/>
      <c r="MNK62" s="608"/>
      <c r="MNL62" s="608"/>
      <c r="MNM62" s="608"/>
      <c r="MNN62" s="608"/>
      <c r="MNO62" s="608"/>
      <c r="MNP62" s="608"/>
      <c r="MNQ62" s="608"/>
      <c r="MNR62" s="608"/>
      <c r="MNS62" s="608"/>
      <c r="MNT62" s="608"/>
      <c r="MNU62" s="608"/>
      <c r="MNV62" s="608"/>
      <c r="MNW62" s="608"/>
      <c r="MNX62" s="608"/>
      <c r="MNY62" s="608"/>
      <c r="MNZ62" s="608"/>
      <c r="MOA62" s="608"/>
      <c r="MOB62" s="608"/>
      <c r="MOC62" s="608"/>
      <c r="MOD62" s="608"/>
      <c r="MOE62" s="608"/>
      <c r="MOF62" s="608"/>
      <c r="MOG62" s="608"/>
      <c r="MOH62" s="608"/>
      <c r="MOI62" s="608"/>
      <c r="MOJ62" s="608"/>
      <c r="MOK62" s="608"/>
      <c r="MOL62" s="608"/>
      <c r="MOM62" s="608"/>
      <c r="MON62" s="608"/>
      <c r="MOO62" s="608"/>
      <c r="MOP62" s="608"/>
      <c r="MOQ62" s="608"/>
      <c r="MOR62" s="608"/>
      <c r="MOS62" s="608"/>
      <c r="MOT62" s="608"/>
      <c r="MOU62" s="608"/>
      <c r="MOV62" s="608"/>
      <c r="MOW62" s="608"/>
      <c r="MOX62" s="608"/>
      <c r="MOY62" s="608"/>
      <c r="MOZ62" s="608"/>
      <c r="MPA62" s="608"/>
      <c r="MPB62" s="608"/>
      <c r="MPC62" s="608"/>
      <c r="MPD62" s="608"/>
      <c r="MPE62" s="608"/>
      <c r="MPF62" s="608"/>
      <c r="MPG62" s="608"/>
      <c r="MPH62" s="608"/>
      <c r="MPI62" s="608"/>
      <c r="MPJ62" s="608"/>
      <c r="MPK62" s="608"/>
      <c r="MPL62" s="608"/>
      <c r="MPM62" s="608"/>
      <c r="MPN62" s="608"/>
      <c r="MPO62" s="608"/>
      <c r="MPP62" s="608"/>
      <c r="MPQ62" s="608"/>
      <c r="MPR62" s="608"/>
      <c r="MPS62" s="608"/>
      <c r="MPT62" s="608"/>
      <c r="MPU62" s="608"/>
      <c r="MPV62" s="608"/>
      <c r="MPW62" s="608"/>
      <c r="MPX62" s="608"/>
      <c r="MPY62" s="608"/>
      <c r="MPZ62" s="608"/>
      <c r="MQA62" s="608"/>
      <c r="MQB62" s="608"/>
      <c r="MQC62" s="608"/>
      <c r="MQD62" s="608"/>
      <c r="MQE62" s="608"/>
      <c r="MQF62" s="608"/>
      <c r="MQG62" s="608"/>
      <c r="MQH62" s="608"/>
      <c r="MQI62" s="608"/>
      <c r="MQJ62" s="608"/>
      <c r="MQK62" s="608"/>
      <c r="MQL62" s="608"/>
      <c r="MQM62" s="608"/>
      <c r="MQN62" s="608"/>
      <c r="MQO62" s="608"/>
      <c r="MQP62" s="608"/>
      <c r="MQQ62" s="608"/>
      <c r="MQR62" s="608"/>
      <c r="MQS62" s="608"/>
      <c r="MQT62" s="608"/>
      <c r="MQU62" s="608"/>
      <c r="MQV62" s="608"/>
      <c r="MQW62" s="608"/>
      <c r="MQX62" s="608"/>
      <c r="MQY62" s="608"/>
      <c r="MQZ62" s="608"/>
      <c r="MRA62" s="608"/>
      <c r="MRB62" s="608"/>
      <c r="MRC62" s="608"/>
      <c r="MRD62" s="608"/>
      <c r="MRE62" s="608"/>
      <c r="MRF62" s="608"/>
      <c r="MRG62" s="608"/>
      <c r="MRH62" s="608"/>
      <c r="MRI62" s="608"/>
      <c r="MRJ62" s="608"/>
      <c r="MRK62" s="608"/>
      <c r="MRL62" s="608"/>
      <c r="MRM62" s="608"/>
      <c r="MRN62" s="608"/>
      <c r="MRO62" s="608"/>
      <c r="MRP62" s="608"/>
      <c r="MRQ62" s="608"/>
      <c r="MRR62" s="608"/>
      <c r="MRS62" s="608"/>
      <c r="MRT62" s="608"/>
      <c r="MRU62" s="608"/>
      <c r="MRV62" s="608"/>
      <c r="MRW62" s="608"/>
      <c r="MRX62" s="608"/>
      <c r="MRY62" s="608"/>
      <c r="MRZ62" s="608"/>
      <c r="MSA62" s="608"/>
      <c r="MSB62" s="608"/>
      <c r="MSC62" s="608"/>
      <c r="MSD62" s="608"/>
      <c r="MSE62" s="608"/>
      <c r="MSF62" s="608"/>
      <c r="MSG62" s="608"/>
      <c r="MSH62" s="608"/>
      <c r="MSI62" s="608"/>
      <c r="MSJ62" s="608"/>
      <c r="MSK62" s="608"/>
      <c r="MSL62" s="608"/>
      <c r="MSM62" s="608"/>
      <c r="MSN62" s="608"/>
      <c r="MSO62" s="608"/>
      <c r="MSP62" s="608"/>
      <c r="MSQ62" s="608"/>
      <c r="MSR62" s="608"/>
      <c r="MSS62" s="608"/>
      <c r="MST62" s="608"/>
      <c r="MSU62" s="608"/>
      <c r="MSV62" s="608"/>
      <c r="MSW62" s="608"/>
      <c r="MSX62" s="608"/>
      <c r="MSY62" s="608"/>
      <c r="MSZ62" s="608"/>
      <c r="MTA62" s="608"/>
      <c r="MTB62" s="608"/>
      <c r="MTC62" s="608"/>
      <c r="MTD62" s="608"/>
      <c r="MTE62" s="608"/>
      <c r="MTF62" s="608"/>
      <c r="MTG62" s="608"/>
      <c r="MTH62" s="608"/>
      <c r="MTI62" s="608"/>
      <c r="MTJ62" s="608"/>
      <c r="MTK62" s="608"/>
      <c r="MTL62" s="608"/>
      <c r="MTM62" s="608"/>
      <c r="MTN62" s="608"/>
      <c r="MTO62" s="608"/>
      <c r="MTP62" s="608"/>
      <c r="MTQ62" s="608"/>
      <c r="MTR62" s="608"/>
      <c r="MTS62" s="608"/>
      <c r="MTT62" s="608"/>
      <c r="MTU62" s="608"/>
      <c r="MTV62" s="608"/>
      <c r="MTW62" s="608"/>
      <c r="MTX62" s="608"/>
      <c r="MTY62" s="608"/>
      <c r="MTZ62" s="608"/>
      <c r="MUA62" s="608"/>
      <c r="MUB62" s="608"/>
      <c r="MUC62" s="608"/>
      <c r="MUD62" s="608"/>
      <c r="MUE62" s="608"/>
      <c r="MUF62" s="608"/>
      <c r="MUG62" s="608"/>
      <c r="MUH62" s="608"/>
      <c r="MUI62" s="608"/>
      <c r="MUJ62" s="608"/>
      <c r="MUK62" s="608"/>
      <c r="MUL62" s="608"/>
      <c r="MUM62" s="608"/>
      <c r="MUN62" s="608"/>
      <c r="MUO62" s="608"/>
      <c r="MUP62" s="608"/>
      <c r="MUQ62" s="608"/>
      <c r="MUR62" s="608"/>
      <c r="MUS62" s="608"/>
      <c r="MUT62" s="608"/>
      <c r="MUU62" s="608"/>
      <c r="MUV62" s="608"/>
      <c r="MUW62" s="608"/>
      <c r="MUX62" s="608"/>
      <c r="MUY62" s="608"/>
      <c r="MUZ62" s="608"/>
      <c r="MVA62" s="608"/>
      <c r="MVB62" s="608"/>
      <c r="MVC62" s="608"/>
      <c r="MVD62" s="608"/>
      <c r="MVE62" s="608"/>
      <c r="MVF62" s="608"/>
      <c r="MVG62" s="608"/>
      <c r="MVH62" s="608"/>
      <c r="MVI62" s="608"/>
      <c r="MVJ62" s="608"/>
      <c r="MVK62" s="608"/>
      <c r="MVL62" s="608"/>
      <c r="MVM62" s="608"/>
      <c r="MVN62" s="608"/>
      <c r="MVO62" s="608"/>
      <c r="MVP62" s="608"/>
      <c r="MVQ62" s="608"/>
      <c r="MVR62" s="608"/>
      <c r="MVS62" s="608"/>
      <c r="MVT62" s="608"/>
      <c r="MVU62" s="608"/>
      <c r="MVV62" s="608"/>
      <c r="MVW62" s="608"/>
      <c r="MVX62" s="608"/>
      <c r="MVY62" s="608"/>
      <c r="MVZ62" s="608"/>
      <c r="MWA62" s="608"/>
      <c r="MWB62" s="608"/>
      <c r="MWC62" s="608"/>
      <c r="MWD62" s="608"/>
      <c r="MWE62" s="608"/>
      <c r="MWF62" s="608"/>
      <c r="MWG62" s="608"/>
      <c r="MWH62" s="608"/>
      <c r="MWI62" s="608"/>
      <c r="MWJ62" s="608"/>
      <c r="MWK62" s="608"/>
      <c r="MWL62" s="608"/>
      <c r="MWM62" s="608"/>
      <c r="MWN62" s="608"/>
      <c r="MWO62" s="608"/>
      <c r="MWP62" s="608"/>
      <c r="MWQ62" s="608"/>
      <c r="MWR62" s="608"/>
      <c r="MWS62" s="608"/>
      <c r="MWT62" s="608"/>
      <c r="MWU62" s="608"/>
      <c r="MWV62" s="608"/>
      <c r="MWW62" s="608"/>
      <c r="MWX62" s="608"/>
      <c r="MWY62" s="608"/>
      <c r="MWZ62" s="608"/>
      <c r="MXA62" s="608"/>
      <c r="MXB62" s="608"/>
      <c r="MXC62" s="608"/>
      <c r="MXD62" s="608"/>
      <c r="MXE62" s="608"/>
      <c r="MXF62" s="608"/>
      <c r="MXG62" s="608"/>
      <c r="MXH62" s="608"/>
      <c r="MXI62" s="608"/>
      <c r="MXJ62" s="608"/>
      <c r="MXK62" s="608"/>
      <c r="MXL62" s="608"/>
      <c r="MXM62" s="608"/>
      <c r="MXN62" s="608"/>
      <c r="MXO62" s="608"/>
      <c r="MXP62" s="608"/>
      <c r="MXQ62" s="608"/>
      <c r="MXR62" s="608"/>
      <c r="MXS62" s="608"/>
      <c r="MXT62" s="608"/>
      <c r="MXU62" s="608"/>
      <c r="MXV62" s="608"/>
      <c r="MXW62" s="608"/>
      <c r="MXX62" s="608"/>
      <c r="MXY62" s="608"/>
      <c r="MXZ62" s="608"/>
      <c r="MYA62" s="608"/>
      <c r="MYB62" s="608"/>
      <c r="MYC62" s="608"/>
      <c r="MYD62" s="608"/>
      <c r="MYE62" s="608"/>
      <c r="MYF62" s="608"/>
      <c r="MYG62" s="608"/>
      <c r="MYH62" s="608"/>
      <c r="MYI62" s="608"/>
      <c r="MYJ62" s="608"/>
      <c r="MYK62" s="608"/>
      <c r="MYL62" s="608"/>
      <c r="MYM62" s="608"/>
      <c r="MYN62" s="608"/>
      <c r="MYO62" s="608"/>
      <c r="MYP62" s="608"/>
      <c r="MYQ62" s="608"/>
      <c r="MYR62" s="608"/>
      <c r="MYS62" s="608"/>
      <c r="MYT62" s="608"/>
      <c r="MYU62" s="608"/>
      <c r="MYV62" s="608"/>
      <c r="MYW62" s="608"/>
      <c r="MYX62" s="608"/>
      <c r="MYY62" s="608"/>
      <c r="MYZ62" s="608"/>
      <c r="MZA62" s="608"/>
      <c r="MZB62" s="608"/>
      <c r="MZC62" s="608"/>
      <c r="MZD62" s="608"/>
      <c r="MZE62" s="608"/>
      <c r="MZF62" s="608"/>
      <c r="MZG62" s="608"/>
      <c r="MZH62" s="608"/>
      <c r="MZI62" s="608"/>
      <c r="MZJ62" s="608"/>
      <c r="MZK62" s="608"/>
      <c r="MZL62" s="608"/>
      <c r="MZM62" s="608"/>
      <c r="MZN62" s="608"/>
      <c r="MZO62" s="608"/>
      <c r="MZP62" s="608"/>
      <c r="MZQ62" s="608"/>
      <c r="MZR62" s="608"/>
      <c r="MZS62" s="608"/>
      <c r="MZT62" s="608"/>
      <c r="MZU62" s="608"/>
      <c r="MZV62" s="608"/>
      <c r="MZW62" s="608"/>
      <c r="MZX62" s="608"/>
      <c r="MZY62" s="608"/>
      <c r="MZZ62" s="608"/>
      <c r="NAA62" s="608"/>
      <c r="NAB62" s="608"/>
      <c r="NAC62" s="608"/>
      <c r="NAD62" s="608"/>
      <c r="NAE62" s="608"/>
      <c r="NAF62" s="608"/>
      <c r="NAG62" s="608"/>
      <c r="NAH62" s="608"/>
      <c r="NAI62" s="608"/>
      <c r="NAJ62" s="608"/>
      <c r="NAK62" s="608"/>
      <c r="NAL62" s="608"/>
      <c r="NAM62" s="608"/>
      <c r="NAN62" s="608"/>
      <c r="NAO62" s="608"/>
      <c r="NAP62" s="608"/>
      <c r="NAQ62" s="608"/>
      <c r="NAR62" s="608"/>
      <c r="NAS62" s="608"/>
      <c r="NAT62" s="608"/>
      <c r="NAU62" s="608"/>
      <c r="NAV62" s="608"/>
      <c r="NAW62" s="608"/>
      <c r="NAX62" s="608"/>
      <c r="NAY62" s="608"/>
      <c r="NAZ62" s="608"/>
      <c r="NBA62" s="608"/>
      <c r="NBB62" s="608"/>
      <c r="NBC62" s="608"/>
      <c r="NBD62" s="608"/>
      <c r="NBE62" s="608"/>
      <c r="NBF62" s="608"/>
      <c r="NBG62" s="608"/>
      <c r="NBH62" s="608"/>
      <c r="NBI62" s="608"/>
      <c r="NBJ62" s="608"/>
      <c r="NBK62" s="608"/>
      <c r="NBL62" s="608"/>
      <c r="NBM62" s="608"/>
      <c r="NBN62" s="608"/>
      <c r="NBO62" s="608"/>
      <c r="NBP62" s="608"/>
      <c r="NBQ62" s="608"/>
      <c r="NBR62" s="608"/>
      <c r="NBS62" s="608"/>
      <c r="NBT62" s="608"/>
      <c r="NBU62" s="608"/>
      <c r="NBV62" s="608"/>
      <c r="NBW62" s="608"/>
      <c r="NBX62" s="608"/>
      <c r="NBY62" s="608"/>
      <c r="NBZ62" s="608"/>
      <c r="NCA62" s="608"/>
      <c r="NCB62" s="608"/>
      <c r="NCC62" s="608"/>
      <c r="NCD62" s="608"/>
      <c r="NCE62" s="608"/>
      <c r="NCF62" s="608"/>
      <c r="NCG62" s="608"/>
      <c r="NCH62" s="608"/>
      <c r="NCI62" s="608"/>
      <c r="NCJ62" s="608"/>
      <c r="NCK62" s="608"/>
      <c r="NCL62" s="608"/>
      <c r="NCM62" s="608"/>
      <c r="NCN62" s="608"/>
      <c r="NCO62" s="608"/>
      <c r="NCP62" s="608"/>
      <c r="NCQ62" s="608"/>
      <c r="NCR62" s="608"/>
      <c r="NCS62" s="608"/>
      <c r="NCT62" s="608"/>
      <c r="NCU62" s="608"/>
      <c r="NCV62" s="608"/>
      <c r="NCW62" s="608"/>
      <c r="NCX62" s="608"/>
      <c r="NCY62" s="608"/>
      <c r="NCZ62" s="608"/>
      <c r="NDA62" s="608"/>
      <c r="NDB62" s="608"/>
      <c r="NDC62" s="608"/>
      <c r="NDD62" s="608"/>
      <c r="NDE62" s="608"/>
      <c r="NDF62" s="608"/>
      <c r="NDG62" s="608"/>
      <c r="NDH62" s="608"/>
      <c r="NDI62" s="608"/>
      <c r="NDJ62" s="608"/>
      <c r="NDK62" s="608"/>
      <c r="NDL62" s="608"/>
      <c r="NDM62" s="608"/>
      <c r="NDN62" s="608"/>
      <c r="NDO62" s="608"/>
      <c r="NDP62" s="608"/>
      <c r="NDQ62" s="608"/>
      <c r="NDR62" s="608"/>
      <c r="NDS62" s="608"/>
      <c r="NDT62" s="608"/>
      <c r="NDU62" s="608"/>
      <c r="NDV62" s="608"/>
      <c r="NDW62" s="608"/>
      <c r="NDX62" s="608"/>
      <c r="NDY62" s="608"/>
      <c r="NDZ62" s="608"/>
      <c r="NEA62" s="608"/>
      <c r="NEB62" s="608"/>
      <c r="NEC62" s="608"/>
      <c r="NED62" s="608"/>
      <c r="NEE62" s="608"/>
      <c r="NEF62" s="608"/>
      <c r="NEG62" s="608"/>
      <c r="NEH62" s="608"/>
      <c r="NEI62" s="608"/>
      <c r="NEJ62" s="608"/>
      <c r="NEK62" s="608"/>
      <c r="NEL62" s="608"/>
      <c r="NEM62" s="608"/>
      <c r="NEN62" s="608"/>
      <c r="NEO62" s="608"/>
      <c r="NEP62" s="608"/>
      <c r="NEQ62" s="608"/>
      <c r="NER62" s="608"/>
      <c r="NES62" s="608"/>
      <c r="NET62" s="608"/>
      <c r="NEU62" s="608"/>
      <c r="NEV62" s="608"/>
      <c r="NEW62" s="608"/>
      <c r="NEX62" s="608"/>
      <c r="NEY62" s="608"/>
      <c r="NEZ62" s="608"/>
      <c r="NFA62" s="608"/>
      <c r="NFB62" s="608"/>
      <c r="NFC62" s="608"/>
      <c r="NFD62" s="608"/>
      <c r="NFE62" s="608"/>
      <c r="NFF62" s="608"/>
      <c r="NFG62" s="608"/>
      <c r="NFH62" s="608"/>
      <c r="NFI62" s="608"/>
      <c r="NFJ62" s="608"/>
      <c r="NFK62" s="608"/>
      <c r="NFL62" s="608"/>
      <c r="NFM62" s="608"/>
      <c r="NFN62" s="608"/>
      <c r="NFO62" s="608"/>
      <c r="NFP62" s="608"/>
      <c r="NFQ62" s="608"/>
      <c r="NFR62" s="608"/>
      <c r="NFS62" s="608"/>
      <c r="NFT62" s="608"/>
      <c r="NFU62" s="608"/>
      <c r="NFV62" s="608"/>
      <c r="NFW62" s="608"/>
      <c r="NFX62" s="608"/>
      <c r="NFY62" s="608"/>
      <c r="NFZ62" s="608"/>
      <c r="NGA62" s="608"/>
      <c r="NGB62" s="608"/>
      <c r="NGC62" s="608"/>
      <c r="NGD62" s="608"/>
      <c r="NGE62" s="608"/>
      <c r="NGF62" s="608"/>
      <c r="NGG62" s="608"/>
      <c r="NGH62" s="608"/>
      <c r="NGI62" s="608"/>
      <c r="NGJ62" s="608"/>
      <c r="NGK62" s="608"/>
      <c r="NGL62" s="608"/>
      <c r="NGM62" s="608"/>
      <c r="NGN62" s="608"/>
      <c r="NGO62" s="608"/>
      <c r="NGP62" s="608"/>
      <c r="NGQ62" s="608"/>
      <c r="NGR62" s="608"/>
      <c r="NGS62" s="608"/>
      <c r="NGT62" s="608"/>
      <c r="NGU62" s="608"/>
      <c r="NGV62" s="608"/>
      <c r="NGW62" s="608"/>
      <c r="NGX62" s="608"/>
      <c r="NGY62" s="608"/>
      <c r="NGZ62" s="608"/>
      <c r="NHA62" s="608"/>
      <c r="NHB62" s="608"/>
      <c r="NHC62" s="608"/>
      <c r="NHD62" s="608"/>
      <c r="NHE62" s="608"/>
      <c r="NHF62" s="608"/>
      <c r="NHG62" s="608"/>
      <c r="NHH62" s="608"/>
      <c r="NHI62" s="608"/>
      <c r="NHJ62" s="608"/>
      <c r="NHK62" s="608"/>
      <c r="NHL62" s="608"/>
      <c r="NHM62" s="608"/>
      <c r="NHN62" s="608"/>
      <c r="NHO62" s="608"/>
      <c r="NHP62" s="608"/>
      <c r="NHQ62" s="608"/>
      <c r="NHR62" s="608"/>
      <c r="NHS62" s="608"/>
      <c r="NHT62" s="608"/>
      <c r="NHU62" s="608"/>
      <c r="NHV62" s="608"/>
      <c r="NHW62" s="608"/>
      <c r="NHX62" s="608"/>
      <c r="NHY62" s="608"/>
      <c r="NHZ62" s="608"/>
      <c r="NIA62" s="608"/>
      <c r="NIB62" s="608"/>
      <c r="NIC62" s="608"/>
      <c r="NID62" s="608"/>
      <c r="NIE62" s="608"/>
      <c r="NIF62" s="608"/>
      <c r="NIG62" s="608"/>
      <c r="NIH62" s="608"/>
      <c r="NII62" s="608"/>
      <c r="NIJ62" s="608"/>
      <c r="NIK62" s="608"/>
      <c r="NIL62" s="608"/>
      <c r="NIM62" s="608"/>
      <c r="NIN62" s="608"/>
      <c r="NIO62" s="608"/>
      <c r="NIP62" s="608"/>
      <c r="NIQ62" s="608"/>
      <c r="NIR62" s="608"/>
      <c r="NIS62" s="608"/>
      <c r="NIT62" s="608"/>
      <c r="NIU62" s="608"/>
      <c r="NIV62" s="608"/>
      <c r="NIW62" s="608"/>
      <c r="NIX62" s="608"/>
      <c r="NIY62" s="608"/>
      <c r="NIZ62" s="608"/>
      <c r="NJA62" s="608"/>
      <c r="NJB62" s="608"/>
      <c r="NJC62" s="608"/>
      <c r="NJD62" s="608"/>
      <c r="NJE62" s="608"/>
      <c r="NJF62" s="608"/>
      <c r="NJG62" s="608"/>
      <c r="NJH62" s="608"/>
      <c r="NJI62" s="608"/>
      <c r="NJJ62" s="608"/>
      <c r="NJK62" s="608"/>
      <c r="NJL62" s="608"/>
      <c r="NJM62" s="608"/>
      <c r="NJN62" s="608"/>
      <c r="NJO62" s="608"/>
      <c r="NJP62" s="608"/>
      <c r="NJQ62" s="608"/>
      <c r="NJR62" s="608"/>
      <c r="NJS62" s="608"/>
      <c r="NJT62" s="608"/>
      <c r="NJU62" s="608"/>
      <c r="NJV62" s="608"/>
      <c r="NJW62" s="608"/>
      <c r="NJX62" s="608"/>
      <c r="NJY62" s="608"/>
      <c r="NJZ62" s="608"/>
      <c r="NKA62" s="608"/>
      <c r="NKB62" s="608"/>
      <c r="NKC62" s="608"/>
      <c r="NKD62" s="608"/>
      <c r="NKE62" s="608"/>
      <c r="NKF62" s="608"/>
      <c r="NKG62" s="608"/>
      <c r="NKH62" s="608"/>
      <c r="NKI62" s="608"/>
      <c r="NKJ62" s="608"/>
      <c r="NKK62" s="608"/>
      <c r="NKL62" s="608"/>
      <c r="NKM62" s="608"/>
      <c r="NKN62" s="608"/>
      <c r="NKO62" s="608"/>
      <c r="NKP62" s="608"/>
      <c r="NKQ62" s="608"/>
      <c r="NKR62" s="608"/>
      <c r="NKS62" s="608"/>
      <c r="NKT62" s="608"/>
      <c r="NKU62" s="608"/>
      <c r="NKV62" s="608"/>
      <c r="NKW62" s="608"/>
      <c r="NKX62" s="608"/>
      <c r="NKY62" s="608"/>
      <c r="NKZ62" s="608"/>
      <c r="NLA62" s="608"/>
      <c r="NLB62" s="608"/>
      <c r="NLC62" s="608"/>
      <c r="NLD62" s="608"/>
      <c r="NLE62" s="608"/>
      <c r="NLF62" s="608"/>
      <c r="NLG62" s="608"/>
      <c r="NLH62" s="608"/>
      <c r="NLI62" s="608"/>
      <c r="NLJ62" s="608"/>
      <c r="NLK62" s="608"/>
      <c r="NLL62" s="608"/>
      <c r="NLM62" s="608"/>
      <c r="NLN62" s="608"/>
      <c r="NLO62" s="608"/>
      <c r="NLP62" s="608"/>
      <c r="NLQ62" s="608"/>
      <c r="NLR62" s="608"/>
      <c r="NLS62" s="608"/>
      <c r="NLT62" s="608"/>
      <c r="NLU62" s="608"/>
      <c r="NLV62" s="608"/>
      <c r="NLW62" s="608"/>
      <c r="NLX62" s="608"/>
      <c r="NLY62" s="608"/>
      <c r="NLZ62" s="608"/>
      <c r="NMA62" s="608"/>
      <c r="NMB62" s="608"/>
      <c r="NMC62" s="608"/>
      <c r="NMD62" s="608"/>
      <c r="NME62" s="608"/>
      <c r="NMF62" s="608"/>
      <c r="NMG62" s="608"/>
      <c r="NMH62" s="608"/>
      <c r="NMI62" s="608"/>
      <c r="NMJ62" s="608"/>
      <c r="NMK62" s="608"/>
      <c r="NML62" s="608"/>
      <c r="NMM62" s="608"/>
      <c r="NMN62" s="608"/>
      <c r="NMO62" s="608"/>
      <c r="NMP62" s="608"/>
      <c r="NMQ62" s="608"/>
      <c r="NMR62" s="608"/>
      <c r="NMS62" s="608"/>
      <c r="NMT62" s="608"/>
      <c r="NMU62" s="608"/>
      <c r="NMV62" s="608"/>
      <c r="NMW62" s="608"/>
      <c r="NMX62" s="608"/>
      <c r="NMY62" s="608"/>
      <c r="NMZ62" s="608"/>
      <c r="NNA62" s="608"/>
      <c r="NNB62" s="608"/>
      <c r="NNC62" s="608"/>
      <c r="NND62" s="608"/>
      <c r="NNE62" s="608"/>
      <c r="NNF62" s="608"/>
      <c r="NNG62" s="608"/>
      <c r="NNH62" s="608"/>
      <c r="NNI62" s="608"/>
      <c r="NNJ62" s="608"/>
      <c r="NNK62" s="608"/>
      <c r="NNL62" s="608"/>
      <c r="NNM62" s="608"/>
      <c r="NNN62" s="608"/>
      <c r="NNO62" s="608"/>
      <c r="NNP62" s="608"/>
      <c r="NNQ62" s="608"/>
      <c r="NNR62" s="608"/>
      <c r="NNS62" s="608"/>
      <c r="NNT62" s="608"/>
      <c r="NNU62" s="608"/>
      <c r="NNV62" s="608"/>
      <c r="NNW62" s="608"/>
      <c r="NNX62" s="608"/>
      <c r="NNY62" s="608"/>
      <c r="NNZ62" s="608"/>
      <c r="NOA62" s="608"/>
      <c r="NOB62" s="608"/>
      <c r="NOC62" s="608"/>
      <c r="NOD62" s="608"/>
      <c r="NOE62" s="608"/>
      <c r="NOF62" s="608"/>
      <c r="NOG62" s="608"/>
      <c r="NOH62" s="608"/>
      <c r="NOI62" s="608"/>
      <c r="NOJ62" s="608"/>
      <c r="NOK62" s="608"/>
      <c r="NOL62" s="608"/>
      <c r="NOM62" s="608"/>
      <c r="NON62" s="608"/>
      <c r="NOO62" s="608"/>
      <c r="NOP62" s="608"/>
      <c r="NOQ62" s="608"/>
      <c r="NOR62" s="608"/>
      <c r="NOS62" s="608"/>
      <c r="NOT62" s="608"/>
      <c r="NOU62" s="608"/>
      <c r="NOV62" s="608"/>
      <c r="NOW62" s="608"/>
      <c r="NOX62" s="608"/>
      <c r="NOY62" s="608"/>
      <c r="NOZ62" s="608"/>
      <c r="NPA62" s="608"/>
      <c r="NPB62" s="608"/>
      <c r="NPC62" s="608"/>
      <c r="NPD62" s="608"/>
      <c r="NPE62" s="608"/>
      <c r="NPF62" s="608"/>
      <c r="NPG62" s="608"/>
      <c r="NPH62" s="608"/>
      <c r="NPI62" s="608"/>
      <c r="NPJ62" s="608"/>
      <c r="NPK62" s="608"/>
      <c r="NPL62" s="608"/>
      <c r="NPM62" s="608"/>
      <c r="NPN62" s="608"/>
      <c r="NPO62" s="608"/>
      <c r="NPP62" s="608"/>
      <c r="NPQ62" s="608"/>
      <c r="NPR62" s="608"/>
      <c r="NPS62" s="608"/>
      <c r="NPT62" s="608"/>
      <c r="NPU62" s="608"/>
      <c r="NPV62" s="608"/>
      <c r="NPW62" s="608"/>
      <c r="NPX62" s="608"/>
      <c r="NPY62" s="608"/>
      <c r="NPZ62" s="608"/>
      <c r="NQA62" s="608"/>
      <c r="NQB62" s="608"/>
      <c r="NQC62" s="608"/>
      <c r="NQD62" s="608"/>
      <c r="NQE62" s="608"/>
      <c r="NQF62" s="608"/>
      <c r="NQG62" s="608"/>
      <c r="NQH62" s="608"/>
      <c r="NQI62" s="608"/>
      <c r="NQJ62" s="608"/>
      <c r="NQK62" s="608"/>
      <c r="NQL62" s="608"/>
      <c r="NQM62" s="608"/>
      <c r="NQN62" s="608"/>
      <c r="NQO62" s="608"/>
      <c r="NQP62" s="608"/>
      <c r="NQQ62" s="608"/>
      <c r="NQR62" s="608"/>
      <c r="NQS62" s="608"/>
      <c r="NQT62" s="608"/>
      <c r="NQU62" s="608"/>
      <c r="NQV62" s="608"/>
      <c r="NQW62" s="608"/>
      <c r="NQX62" s="608"/>
      <c r="NQY62" s="608"/>
      <c r="NQZ62" s="608"/>
      <c r="NRA62" s="608"/>
      <c r="NRB62" s="608"/>
      <c r="NRC62" s="608"/>
      <c r="NRD62" s="608"/>
      <c r="NRE62" s="608"/>
      <c r="NRF62" s="608"/>
      <c r="NRG62" s="608"/>
      <c r="NRH62" s="608"/>
      <c r="NRI62" s="608"/>
      <c r="NRJ62" s="608"/>
      <c r="NRK62" s="608"/>
      <c r="NRL62" s="608"/>
      <c r="NRM62" s="608"/>
      <c r="NRN62" s="608"/>
      <c r="NRO62" s="608"/>
      <c r="NRP62" s="608"/>
      <c r="NRQ62" s="608"/>
      <c r="NRR62" s="608"/>
      <c r="NRS62" s="608"/>
      <c r="NRT62" s="608"/>
      <c r="NRU62" s="608"/>
      <c r="NRV62" s="608"/>
      <c r="NRW62" s="608"/>
      <c r="NRX62" s="608"/>
      <c r="NRY62" s="608"/>
      <c r="NRZ62" s="608"/>
      <c r="NSA62" s="608"/>
      <c r="NSB62" s="608"/>
      <c r="NSC62" s="608"/>
      <c r="NSD62" s="608"/>
      <c r="NSE62" s="608"/>
      <c r="NSF62" s="608"/>
      <c r="NSG62" s="608"/>
      <c r="NSH62" s="608"/>
      <c r="NSI62" s="608"/>
      <c r="NSJ62" s="608"/>
      <c r="NSK62" s="608"/>
      <c r="NSL62" s="608"/>
      <c r="NSM62" s="608"/>
      <c r="NSN62" s="608"/>
      <c r="NSO62" s="608"/>
      <c r="NSP62" s="608"/>
      <c r="NSQ62" s="608"/>
      <c r="NSR62" s="608"/>
      <c r="NSS62" s="608"/>
      <c r="NST62" s="608"/>
      <c r="NSU62" s="608"/>
      <c r="NSV62" s="608"/>
      <c r="NSW62" s="608"/>
      <c r="NSX62" s="608"/>
      <c r="NSY62" s="608"/>
      <c r="NSZ62" s="608"/>
      <c r="NTA62" s="608"/>
      <c r="NTB62" s="608"/>
      <c r="NTC62" s="608"/>
      <c r="NTD62" s="608"/>
      <c r="NTE62" s="608"/>
      <c r="NTF62" s="608"/>
      <c r="NTG62" s="608"/>
      <c r="NTH62" s="608"/>
      <c r="NTI62" s="608"/>
      <c r="NTJ62" s="608"/>
      <c r="NTK62" s="608"/>
      <c r="NTL62" s="608"/>
      <c r="NTM62" s="608"/>
      <c r="NTN62" s="608"/>
      <c r="NTO62" s="608"/>
      <c r="NTP62" s="608"/>
      <c r="NTQ62" s="608"/>
      <c r="NTR62" s="608"/>
      <c r="NTS62" s="608"/>
      <c r="NTT62" s="608"/>
      <c r="NTU62" s="608"/>
      <c r="NTV62" s="608"/>
      <c r="NTW62" s="608"/>
      <c r="NTX62" s="608"/>
      <c r="NTY62" s="608"/>
      <c r="NTZ62" s="608"/>
      <c r="NUA62" s="608"/>
      <c r="NUB62" s="608"/>
      <c r="NUC62" s="608"/>
      <c r="NUD62" s="608"/>
      <c r="NUE62" s="608"/>
      <c r="NUF62" s="608"/>
      <c r="NUG62" s="608"/>
      <c r="NUH62" s="608"/>
      <c r="NUI62" s="608"/>
      <c r="NUJ62" s="608"/>
      <c r="NUK62" s="608"/>
      <c r="NUL62" s="608"/>
      <c r="NUM62" s="608"/>
      <c r="NUN62" s="608"/>
      <c r="NUO62" s="608"/>
      <c r="NUP62" s="608"/>
      <c r="NUQ62" s="608"/>
      <c r="NUR62" s="608"/>
      <c r="NUS62" s="608"/>
      <c r="NUT62" s="608"/>
      <c r="NUU62" s="608"/>
      <c r="NUV62" s="608"/>
      <c r="NUW62" s="608"/>
      <c r="NUX62" s="608"/>
      <c r="NUY62" s="608"/>
      <c r="NUZ62" s="608"/>
      <c r="NVA62" s="608"/>
      <c r="NVB62" s="608"/>
      <c r="NVC62" s="608"/>
      <c r="NVD62" s="608"/>
      <c r="NVE62" s="608"/>
      <c r="NVF62" s="608"/>
      <c r="NVG62" s="608"/>
      <c r="NVH62" s="608"/>
      <c r="NVI62" s="608"/>
      <c r="NVJ62" s="608"/>
      <c r="NVK62" s="608"/>
      <c r="NVL62" s="608"/>
      <c r="NVM62" s="608"/>
      <c r="NVN62" s="608"/>
      <c r="NVO62" s="608"/>
      <c r="NVP62" s="608"/>
      <c r="NVQ62" s="608"/>
      <c r="NVR62" s="608"/>
      <c r="NVS62" s="608"/>
      <c r="NVT62" s="608"/>
      <c r="NVU62" s="608"/>
      <c r="NVV62" s="608"/>
      <c r="NVW62" s="608"/>
      <c r="NVX62" s="608"/>
      <c r="NVY62" s="608"/>
      <c r="NVZ62" s="608"/>
      <c r="NWA62" s="608"/>
      <c r="NWB62" s="608"/>
      <c r="NWC62" s="608"/>
      <c r="NWD62" s="608"/>
      <c r="NWE62" s="608"/>
      <c r="NWF62" s="608"/>
      <c r="NWG62" s="608"/>
      <c r="NWH62" s="608"/>
      <c r="NWI62" s="608"/>
      <c r="NWJ62" s="608"/>
      <c r="NWK62" s="608"/>
      <c r="NWL62" s="608"/>
      <c r="NWM62" s="608"/>
      <c r="NWN62" s="608"/>
      <c r="NWO62" s="608"/>
      <c r="NWP62" s="608"/>
      <c r="NWQ62" s="608"/>
      <c r="NWR62" s="608"/>
      <c r="NWS62" s="608"/>
      <c r="NWT62" s="608"/>
      <c r="NWU62" s="608"/>
      <c r="NWV62" s="608"/>
      <c r="NWW62" s="608"/>
      <c r="NWX62" s="608"/>
      <c r="NWY62" s="608"/>
      <c r="NWZ62" s="608"/>
      <c r="NXA62" s="608"/>
      <c r="NXB62" s="608"/>
      <c r="NXC62" s="608"/>
      <c r="NXD62" s="608"/>
      <c r="NXE62" s="608"/>
      <c r="NXF62" s="608"/>
      <c r="NXG62" s="608"/>
      <c r="NXH62" s="608"/>
      <c r="NXI62" s="608"/>
      <c r="NXJ62" s="608"/>
      <c r="NXK62" s="608"/>
      <c r="NXL62" s="608"/>
      <c r="NXM62" s="608"/>
      <c r="NXN62" s="608"/>
      <c r="NXO62" s="608"/>
      <c r="NXP62" s="608"/>
      <c r="NXQ62" s="608"/>
      <c r="NXR62" s="608"/>
      <c r="NXS62" s="608"/>
      <c r="NXT62" s="608"/>
      <c r="NXU62" s="608"/>
      <c r="NXV62" s="608"/>
      <c r="NXW62" s="608"/>
      <c r="NXX62" s="608"/>
      <c r="NXY62" s="608"/>
      <c r="NXZ62" s="608"/>
      <c r="NYA62" s="608"/>
      <c r="NYB62" s="608"/>
      <c r="NYC62" s="608"/>
      <c r="NYD62" s="608"/>
      <c r="NYE62" s="608"/>
      <c r="NYF62" s="608"/>
      <c r="NYG62" s="608"/>
      <c r="NYH62" s="608"/>
      <c r="NYI62" s="608"/>
      <c r="NYJ62" s="608"/>
      <c r="NYK62" s="608"/>
      <c r="NYL62" s="608"/>
      <c r="NYM62" s="608"/>
      <c r="NYN62" s="608"/>
      <c r="NYO62" s="608"/>
      <c r="NYP62" s="608"/>
      <c r="NYQ62" s="608"/>
      <c r="NYR62" s="608"/>
      <c r="NYS62" s="608"/>
      <c r="NYT62" s="608"/>
      <c r="NYU62" s="608"/>
      <c r="NYV62" s="608"/>
      <c r="NYW62" s="608"/>
      <c r="NYX62" s="608"/>
      <c r="NYY62" s="608"/>
      <c r="NYZ62" s="608"/>
      <c r="NZA62" s="608"/>
      <c r="NZB62" s="608"/>
      <c r="NZC62" s="608"/>
      <c r="NZD62" s="608"/>
      <c r="NZE62" s="608"/>
      <c r="NZF62" s="608"/>
      <c r="NZG62" s="608"/>
      <c r="NZH62" s="608"/>
      <c r="NZI62" s="608"/>
      <c r="NZJ62" s="608"/>
      <c r="NZK62" s="608"/>
      <c r="NZL62" s="608"/>
      <c r="NZM62" s="608"/>
      <c r="NZN62" s="608"/>
      <c r="NZO62" s="608"/>
      <c r="NZP62" s="608"/>
      <c r="NZQ62" s="608"/>
      <c r="NZR62" s="608"/>
      <c r="NZS62" s="608"/>
      <c r="NZT62" s="608"/>
      <c r="NZU62" s="608"/>
      <c r="NZV62" s="608"/>
      <c r="NZW62" s="608"/>
      <c r="NZX62" s="608"/>
      <c r="NZY62" s="608"/>
      <c r="NZZ62" s="608"/>
      <c r="OAA62" s="608"/>
      <c r="OAB62" s="608"/>
      <c r="OAC62" s="608"/>
      <c r="OAD62" s="608"/>
      <c r="OAE62" s="608"/>
      <c r="OAF62" s="608"/>
      <c r="OAG62" s="608"/>
      <c r="OAH62" s="608"/>
      <c r="OAI62" s="608"/>
      <c r="OAJ62" s="608"/>
      <c r="OAK62" s="608"/>
      <c r="OAL62" s="608"/>
      <c r="OAM62" s="608"/>
      <c r="OAN62" s="608"/>
      <c r="OAO62" s="608"/>
      <c r="OAP62" s="608"/>
      <c r="OAQ62" s="608"/>
      <c r="OAR62" s="608"/>
      <c r="OAS62" s="608"/>
      <c r="OAT62" s="608"/>
      <c r="OAU62" s="608"/>
      <c r="OAV62" s="608"/>
      <c r="OAW62" s="608"/>
      <c r="OAX62" s="608"/>
      <c r="OAY62" s="608"/>
      <c r="OAZ62" s="608"/>
      <c r="OBA62" s="608"/>
      <c r="OBB62" s="608"/>
      <c r="OBC62" s="608"/>
      <c r="OBD62" s="608"/>
      <c r="OBE62" s="608"/>
      <c r="OBF62" s="608"/>
      <c r="OBG62" s="608"/>
      <c r="OBH62" s="608"/>
      <c r="OBI62" s="608"/>
      <c r="OBJ62" s="608"/>
      <c r="OBK62" s="608"/>
      <c r="OBL62" s="608"/>
      <c r="OBM62" s="608"/>
      <c r="OBN62" s="608"/>
      <c r="OBO62" s="608"/>
      <c r="OBP62" s="608"/>
      <c r="OBQ62" s="608"/>
      <c r="OBR62" s="608"/>
      <c r="OBS62" s="608"/>
      <c r="OBT62" s="608"/>
      <c r="OBU62" s="608"/>
      <c r="OBV62" s="608"/>
      <c r="OBW62" s="608"/>
      <c r="OBX62" s="608"/>
      <c r="OBY62" s="608"/>
      <c r="OBZ62" s="608"/>
      <c r="OCA62" s="608"/>
      <c r="OCB62" s="608"/>
      <c r="OCC62" s="608"/>
      <c r="OCD62" s="608"/>
      <c r="OCE62" s="608"/>
      <c r="OCF62" s="608"/>
      <c r="OCG62" s="608"/>
      <c r="OCH62" s="608"/>
      <c r="OCI62" s="608"/>
      <c r="OCJ62" s="608"/>
      <c r="OCK62" s="608"/>
      <c r="OCL62" s="608"/>
      <c r="OCM62" s="608"/>
      <c r="OCN62" s="608"/>
      <c r="OCO62" s="608"/>
      <c r="OCP62" s="608"/>
      <c r="OCQ62" s="608"/>
      <c r="OCR62" s="608"/>
      <c r="OCS62" s="608"/>
      <c r="OCT62" s="608"/>
      <c r="OCU62" s="608"/>
      <c r="OCV62" s="608"/>
      <c r="OCW62" s="608"/>
      <c r="OCX62" s="608"/>
      <c r="OCY62" s="608"/>
      <c r="OCZ62" s="608"/>
      <c r="ODA62" s="608"/>
      <c r="ODB62" s="608"/>
      <c r="ODC62" s="608"/>
      <c r="ODD62" s="608"/>
      <c r="ODE62" s="608"/>
      <c r="ODF62" s="608"/>
      <c r="ODG62" s="608"/>
      <c r="ODH62" s="608"/>
      <c r="ODI62" s="608"/>
      <c r="ODJ62" s="608"/>
      <c r="ODK62" s="608"/>
      <c r="ODL62" s="608"/>
      <c r="ODM62" s="608"/>
      <c r="ODN62" s="608"/>
      <c r="ODO62" s="608"/>
      <c r="ODP62" s="608"/>
      <c r="ODQ62" s="608"/>
      <c r="ODR62" s="608"/>
      <c r="ODS62" s="608"/>
      <c r="ODT62" s="608"/>
      <c r="ODU62" s="608"/>
      <c r="ODV62" s="608"/>
      <c r="ODW62" s="608"/>
      <c r="ODX62" s="608"/>
      <c r="ODY62" s="608"/>
      <c r="ODZ62" s="608"/>
      <c r="OEA62" s="608"/>
      <c r="OEB62" s="608"/>
      <c r="OEC62" s="608"/>
      <c r="OED62" s="608"/>
      <c r="OEE62" s="608"/>
      <c r="OEF62" s="608"/>
      <c r="OEG62" s="608"/>
      <c r="OEH62" s="608"/>
      <c r="OEI62" s="608"/>
      <c r="OEJ62" s="608"/>
      <c r="OEK62" s="608"/>
      <c r="OEL62" s="608"/>
      <c r="OEM62" s="608"/>
      <c r="OEN62" s="608"/>
      <c r="OEO62" s="608"/>
      <c r="OEP62" s="608"/>
      <c r="OEQ62" s="608"/>
      <c r="OER62" s="608"/>
      <c r="OES62" s="608"/>
      <c r="OET62" s="608"/>
      <c r="OEU62" s="608"/>
      <c r="OEV62" s="608"/>
      <c r="OEW62" s="608"/>
      <c r="OEX62" s="608"/>
      <c r="OEY62" s="608"/>
      <c r="OEZ62" s="608"/>
      <c r="OFA62" s="608"/>
      <c r="OFB62" s="608"/>
      <c r="OFC62" s="608"/>
      <c r="OFD62" s="608"/>
      <c r="OFE62" s="608"/>
      <c r="OFF62" s="608"/>
      <c r="OFG62" s="608"/>
      <c r="OFH62" s="608"/>
      <c r="OFI62" s="608"/>
      <c r="OFJ62" s="608"/>
      <c r="OFK62" s="608"/>
      <c r="OFL62" s="608"/>
      <c r="OFM62" s="608"/>
      <c r="OFN62" s="608"/>
      <c r="OFO62" s="608"/>
      <c r="OFP62" s="608"/>
      <c r="OFQ62" s="608"/>
      <c r="OFR62" s="608"/>
      <c r="OFS62" s="608"/>
      <c r="OFT62" s="608"/>
      <c r="OFU62" s="608"/>
      <c r="OFV62" s="608"/>
      <c r="OFW62" s="608"/>
      <c r="OFX62" s="608"/>
      <c r="OFY62" s="608"/>
      <c r="OFZ62" s="608"/>
      <c r="OGA62" s="608"/>
      <c r="OGB62" s="608"/>
      <c r="OGC62" s="608"/>
      <c r="OGD62" s="608"/>
      <c r="OGE62" s="608"/>
      <c r="OGF62" s="608"/>
      <c r="OGG62" s="608"/>
      <c r="OGH62" s="608"/>
      <c r="OGI62" s="608"/>
      <c r="OGJ62" s="608"/>
      <c r="OGK62" s="608"/>
      <c r="OGL62" s="608"/>
      <c r="OGM62" s="608"/>
      <c r="OGN62" s="608"/>
      <c r="OGO62" s="608"/>
      <c r="OGP62" s="608"/>
      <c r="OGQ62" s="608"/>
      <c r="OGR62" s="608"/>
      <c r="OGS62" s="608"/>
      <c r="OGT62" s="608"/>
      <c r="OGU62" s="608"/>
      <c r="OGV62" s="608"/>
      <c r="OGW62" s="608"/>
      <c r="OGX62" s="608"/>
      <c r="OGY62" s="608"/>
      <c r="OGZ62" s="608"/>
      <c r="OHA62" s="608"/>
      <c r="OHB62" s="608"/>
      <c r="OHC62" s="608"/>
      <c r="OHD62" s="608"/>
      <c r="OHE62" s="608"/>
      <c r="OHF62" s="608"/>
      <c r="OHG62" s="608"/>
      <c r="OHH62" s="608"/>
      <c r="OHI62" s="608"/>
      <c r="OHJ62" s="608"/>
      <c r="OHK62" s="608"/>
      <c r="OHL62" s="608"/>
      <c r="OHM62" s="608"/>
      <c r="OHN62" s="608"/>
      <c r="OHO62" s="608"/>
      <c r="OHP62" s="608"/>
      <c r="OHQ62" s="608"/>
      <c r="OHR62" s="608"/>
      <c r="OHS62" s="608"/>
      <c r="OHT62" s="608"/>
      <c r="OHU62" s="608"/>
      <c r="OHV62" s="608"/>
      <c r="OHW62" s="608"/>
      <c r="OHX62" s="608"/>
      <c r="OHY62" s="608"/>
      <c r="OHZ62" s="608"/>
      <c r="OIA62" s="608"/>
      <c r="OIB62" s="608"/>
      <c r="OIC62" s="608"/>
      <c r="OID62" s="608"/>
      <c r="OIE62" s="608"/>
      <c r="OIF62" s="608"/>
      <c r="OIG62" s="608"/>
      <c r="OIH62" s="608"/>
      <c r="OII62" s="608"/>
      <c r="OIJ62" s="608"/>
      <c r="OIK62" s="608"/>
      <c r="OIL62" s="608"/>
      <c r="OIM62" s="608"/>
      <c r="OIN62" s="608"/>
      <c r="OIO62" s="608"/>
      <c r="OIP62" s="608"/>
      <c r="OIQ62" s="608"/>
      <c r="OIR62" s="608"/>
      <c r="OIS62" s="608"/>
      <c r="OIT62" s="608"/>
      <c r="OIU62" s="608"/>
      <c r="OIV62" s="608"/>
      <c r="OIW62" s="608"/>
      <c r="OIX62" s="608"/>
      <c r="OIY62" s="608"/>
      <c r="OIZ62" s="608"/>
      <c r="OJA62" s="608"/>
      <c r="OJB62" s="608"/>
      <c r="OJC62" s="608"/>
      <c r="OJD62" s="608"/>
      <c r="OJE62" s="608"/>
      <c r="OJF62" s="608"/>
      <c r="OJG62" s="608"/>
      <c r="OJH62" s="608"/>
      <c r="OJI62" s="608"/>
      <c r="OJJ62" s="608"/>
      <c r="OJK62" s="608"/>
      <c r="OJL62" s="608"/>
      <c r="OJM62" s="608"/>
      <c r="OJN62" s="608"/>
      <c r="OJO62" s="608"/>
      <c r="OJP62" s="608"/>
      <c r="OJQ62" s="608"/>
      <c r="OJR62" s="608"/>
      <c r="OJS62" s="608"/>
      <c r="OJT62" s="608"/>
      <c r="OJU62" s="608"/>
      <c r="OJV62" s="608"/>
      <c r="OJW62" s="608"/>
      <c r="OJX62" s="608"/>
      <c r="OJY62" s="608"/>
      <c r="OJZ62" s="608"/>
      <c r="OKA62" s="608"/>
      <c r="OKB62" s="608"/>
      <c r="OKC62" s="608"/>
      <c r="OKD62" s="608"/>
      <c r="OKE62" s="608"/>
      <c r="OKF62" s="608"/>
      <c r="OKG62" s="608"/>
      <c r="OKH62" s="608"/>
      <c r="OKI62" s="608"/>
      <c r="OKJ62" s="608"/>
      <c r="OKK62" s="608"/>
      <c r="OKL62" s="608"/>
      <c r="OKM62" s="608"/>
      <c r="OKN62" s="608"/>
      <c r="OKO62" s="608"/>
      <c r="OKP62" s="608"/>
      <c r="OKQ62" s="608"/>
      <c r="OKR62" s="608"/>
      <c r="OKS62" s="608"/>
      <c r="OKT62" s="608"/>
      <c r="OKU62" s="608"/>
      <c r="OKV62" s="608"/>
      <c r="OKW62" s="608"/>
      <c r="OKX62" s="608"/>
      <c r="OKY62" s="608"/>
      <c r="OKZ62" s="608"/>
      <c r="OLA62" s="608"/>
      <c r="OLB62" s="608"/>
      <c r="OLC62" s="608"/>
      <c r="OLD62" s="608"/>
      <c r="OLE62" s="608"/>
      <c r="OLF62" s="608"/>
      <c r="OLG62" s="608"/>
      <c r="OLH62" s="608"/>
      <c r="OLI62" s="608"/>
      <c r="OLJ62" s="608"/>
      <c r="OLK62" s="608"/>
      <c r="OLL62" s="608"/>
      <c r="OLM62" s="608"/>
      <c r="OLN62" s="608"/>
      <c r="OLO62" s="608"/>
      <c r="OLP62" s="608"/>
      <c r="OLQ62" s="608"/>
      <c r="OLR62" s="608"/>
      <c r="OLS62" s="608"/>
      <c r="OLT62" s="608"/>
      <c r="OLU62" s="608"/>
      <c r="OLV62" s="608"/>
      <c r="OLW62" s="608"/>
      <c r="OLX62" s="608"/>
      <c r="OLY62" s="608"/>
      <c r="OLZ62" s="608"/>
      <c r="OMA62" s="608"/>
      <c r="OMB62" s="608"/>
      <c r="OMC62" s="608"/>
      <c r="OMD62" s="608"/>
      <c r="OME62" s="608"/>
      <c r="OMF62" s="608"/>
      <c r="OMG62" s="608"/>
      <c r="OMH62" s="608"/>
      <c r="OMI62" s="608"/>
      <c r="OMJ62" s="608"/>
      <c r="OMK62" s="608"/>
      <c r="OML62" s="608"/>
      <c r="OMM62" s="608"/>
      <c r="OMN62" s="608"/>
      <c r="OMO62" s="608"/>
      <c r="OMP62" s="608"/>
      <c r="OMQ62" s="608"/>
      <c r="OMR62" s="608"/>
      <c r="OMS62" s="608"/>
      <c r="OMT62" s="608"/>
      <c r="OMU62" s="608"/>
      <c r="OMV62" s="608"/>
      <c r="OMW62" s="608"/>
      <c r="OMX62" s="608"/>
      <c r="OMY62" s="608"/>
      <c r="OMZ62" s="608"/>
      <c r="ONA62" s="608"/>
      <c r="ONB62" s="608"/>
      <c r="ONC62" s="608"/>
      <c r="OND62" s="608"/>
      <c r="ONE62" s="608"/>
      <c r="ONF62" s="608"/>
      <c r="ONG62" s="608"/>
      <c r="ONH62" s="608"/>
      <c r="ONI62" s="608"/>
      <c r="ONJ62" s="608"/>
      <c r="ONK62" s="608"/>
      <c r="ONL62" s="608"/>
      <c r="ONM62" s="608"/>
      <c r="ONN62" s="608"/>
      <c r="ONO62" s="608"/>
      <c r="ONP62" s="608"/>
      <c r="ONQ62" s="608"/>
      <c r="ONR62" s="608"/>
      <c r="ONS62" s="608"/>
      <c r="ONT62" s="608"/>
      <c r="ONU62" s="608"/>
      <c r="ONV62" s="608"/>
      <c r="ONW62" s="608"/>
      <c r="ONX62" s="608"/>
      <c r="ONY62" s="608"/>
      <c r="ONZ62" s="608"/>
      <c r="OOA62" s="608"/>
      <c r="OOB62" s="608"/>
      <c r="OOC62" s="608"/>
      <c r="OOD62" s="608"/>
      <c r="OOE62" s="608"/>
      <c r="OOF62" s="608"/>
      <c r="OOG62" s="608"/>
      <c r="OOH62" s="608"/>
      <c r="OOI62" s="608"/>
      <c r="OOJ62" s="608"/>
      <c r="OOK62" s="608"/>
      <c r="OOL62" s="608"/>
      <c r="OOM62" s="608"/>
      <c r="OON62" s="608"/>
      <c r="OOO62" s="608"/>
      <c r="OOP62" s="608"/>
      <c r="OOQ62" s="608"/>
      <c r="OOR62" s="608"/>
      <c r="OOS62" s="608"/>
      <c r="OOT62" s="608"/>
      <c r="OOU62" s="608"/>
      <c r="OOV62" s="608"/>
      <c r="OOW62" s="608"/>
      <c r="OOX62" s="608"/>
      <c r="OOY62" s="608"/>
      <c r="OOZ62" s="608"/>
      <c r="OPA62" s="608"/>
      <c r="OPB62" s="608"/>
      <c r="OPC62" s="608"/>
      <c r="OPD62" s="608"/>
      <c r="OPE62" s="608"/>
      <c r="OPF62" s="608"/>
      <c r="OPG62" s="608"/>
      <c r="OPH62" s="608"/>
      <c r="OPI62" s="608"/>
      <c r="OPJ62" s="608"/>
      <c r="OPK62" s="608"/>
      <c r="OPL62" s="608"/>
      <c r="OPM62" s="608"/>
      <c r="OPN62" s="608"/>
      <c r="OPO62" s="608"/>
      <c r="OPP62" s="608"/>
      <c r="OPQ62" s="608"/>
      <c r="OPR62" s="608"/>
      <c r="OPS62" s="608"/>
      <c r="OPT62" s="608"/>
      <c r="OPU62" s="608"/>
      <c r="OPV62" s="608"/>
      <c r="OPW62" s="608"/>
      <c r="OPX62" s="608"/>
      <c r="OPY62" s="608"/>
      <c r="OPZ62" s="608"/>
      <c r="OQA62" s="608"/>
      <c r="OQB62" s="608"/>
      <c r="OQC62" s="608"/>
      <c r="OQD62" s="608"/>
      <c r="OQE62" s="608"/>
      <c r="OQF62" s="608"/>
      <c r="OQG62" s="608"/>
      <c r="OQH62" s="608"/>
      <c r="OQI62" s="608"/>
      <c r="OQJ62" s="608"/>
      <c r="OQK62" s="608"/>
      <c r="OQL62" s="608"/>
      <c r="OQM62" s="608"/>
      <c r="OQN62" s="608"/>
      <c r="OQO62" s="608"/>
      <c r="OQP62" s="608"/>
      <c r="OQQ62" s="608"/>
      <c r="OQR62" s="608"/>
      <c r="OQS62" s="608"/>
      <c r="OQT62" s="608"/>
      <c r="OQU62" s="608"/>
      <c r="OQV62" s="608"/>
      <c r="OQW62" s="608"/>
      <c r="OQX62" s="608"/>
      <c r="OQY62" s="608"/>
      <c r="OQZ62" s="608"/>
      <c r="ORA62" s="608"/>
      <c r="ORB62" s="608"/>
      <c r="ORC62" s="608"/>
      <c r="ORD62" s="608"/>
      <c r="ORE62" s="608"/>
      <c r="ORF62" s="608"/>
      <c r="ORG62" s="608"/>
      <c r="ORH62" s="608"/>
      <c r="ORI62" s="608"/>
      <c r="ORJ62" s="608"/>
      <c r="ORK62" s="608"/>
      <c r="ORL62" s="608"/>
      <c r="ORM62" s="608"/>
      <c r="ORN62" s="608"/>
      <c r="ORO62" s="608"/>
      <c r="ORP62" s="608"/>
      <c r="ORQ62" s="608"/>
      <c r="ORR62" s="608"/>
      <c r="ORS62" s="608"/>
      <c r="ORT62" s="608"/>
      <c r="ORU62" s="608"/>
      <c r="ORV62" s="608"/>
      <c r="ORW62" s="608"/>
      <c r="ORX62" s="608"/>
      <c r="ORY62" s="608"/>
      <c r="ORZ62" s="608"/>
      <c r="OSA62" s="608"/>
      <c r="OSB62" s="608"/>
      <c r="OSC62" s="608"/>
      <c r="OSD62" s="608"/>
      <c r="OSE62" s="608"/>
      <c r="OSF62" s="608"/>
      <c r="OSG62" s="608"/>
      <c r="OSH62" s="608"/>
      <c r="OSI62" s="608"/>
      <c r="OSJ62" s="608"/>
      <c r="OSK62" s="608"/>
      <c r="OSL62" s="608"/>
      <c r="OSM62" s="608"/>
      <c r="OSN62" s="608"/>
      <c r="OSO62" s="608"/>
      <c r="OSP62" s="608"/>
      <c r="OSQ62" s="608"/>
      <c r="OSR62" s="608"/>
      <c r="OSS62" s="608"/>
      <c r="OST62" s="608"/>
      <c r="OSU62" s="608"/>
      <c r="OSV62" s="608"/>
      <c r="OSW62" s="608"/>
      <c r="OSX62" s="608"/>
      <c r="OSY62" s="608"/>
      <c r="OSZ62" s="608"/>
      <c r="OTA62" s="608"/>
      <c r="OTB62" s="608"/>
      <c r="OTC62" s="608"/>
      <c r="OTD62" s="608"/>
      <c r="OTE62" s="608"/>
      <c r="OTF62" s="608"/>
      <c r="OTG62" s="608"/>
      <c r="OTH62" s="608"/>
      <c r="OTI62" s="608"/>
      <c r="OTJ62" s="608"/>
      <c r="OTK62" s="608"/>
      <c r="OTL62" s="608"/>
      <c r="OTM62" s="608"/>
      <c r="OTN62" s="608"/>
      <c r="OTO62" s="608"/>
      <c r="OTP62" s="608"/>
      <c r="OTQ62" s="608"/>
      <c r="OTR62" s="608"/>
      <c r="OTS62" s="608"/>
      <c r="OTT62" s="608"/>
      <c r="OTU62" s="608"/>
      <c r="OTV62" s="608"/>
      <c r="OTW62" s="608"/>
      <c r="OTX62" s="608"/>
      <c r="OTY62" s="608"/>
      <c r="OTZ62" s="608"/>
      <c r="OUA62" s="608"/>
      <c r="OUB62" s="608"/>
      <c r="OUC62" s="608"/>
      <c r="OUD62" s="608"/>
      <c r="OUE62" s="608"/>
      <c r="OUF62" s="608"/>
      <c r="OUG62" s="608"/>
      <c r="OUH62" s="608"/>
      <c r="OUI62" s="608"/>
      <c r="OUJ62" s="608"/>
      <c r="OUK62" s="608"/>
      <c r="OUL62" s="608"/>
      <c r="OUM62" s="608"/>
      <c r="OUN62" s="608"/>
      <c r="OUO62" s="608"/>
      <c r="OUP62" s="608"/>
      <c r="OUQ62" s="608"/>
      <c r="OUR62" s="608"/>
      <c r="OUS62" s="608"/>
      <c r="OUT62" s="608"/>
      <c r="OUU62" s="608"/>
      <c r="OUV62" s="608"/>
      <c r="OUW62" s="608"/>
      <c r="OUX62" s="608"/>
      <c r="OUY62" s="608"/>
      <c r="OUZ62" s="608"/>
      <c r="OVA62" s="608"/>
      <c r="OVB62" s="608"/>
      <c r="OVC62" s="608"/>
      <c r="OVD62" s="608"/>
      <c r="OVE62" s="608"/>
      <c r="OVF62" s="608"/>
      <c r="OVG62" s="608"/>
      <c r="OVH62" s="608"/>
      <c r="OVI62" s="608"/>
      <c r="OVJ62" s="608"/>
      <c r="OVK62" s="608"/>
      <c r="OVL62" s="608"/>
      <c r="OVM62" s="608"/>
      <c r="OVN62" s="608"/>
      <c r="OVO62" s="608"/>
      <c r="OVP62" s="608"/>
      <c r="OVQ62" s="608"/>
      <c r="OVR62" s="608"/>
      <c r="OVS62" s="608"/>
      <c r="OVT62" s="608"/>
      <c r="OVU62" s="608"/>
      <c r="OVV62" s="608"/>
      <c r="OVW62" s="608"/>
      <c r="OVX62" s="608"/>
      <c r="OVY62" s="608"/>
      <c r="OVZ62" s="608"/>
      <c r="OWA62" s="608"/>
      <c r="OWB62" s="608"/>
      <c r="OWC62" s="608"/>
      <c r="OWD62" s="608"/>
      <c r="OWE62" s="608"/>
      <c r="OWF62" s="608"/>
      <c r="OWG62" s="608"/>
      <c r="OWH62" s="608"/>
      <c r="OWI62" s="608"/>
      <c r="OWJ62" s="608"/>
      <c r="OWK62" s="608"/>
      <c r="OWL62" s="608"/>
      <c r="OWM62" s="608"/>
      <c r="OWN62" s="608"/>
      <c r="OWO62" s="608"/>
      <c r="OWP62" s="608"/>
      <c r="OWQ62" s="608"/>
      <c r="OWR62" s="608"/>
      <c r="OWS62" s="608"/>
      <c r="OWT62" s="608"/>
      <c r="OWU62" s="608"/>
      <c r="OWV62" s="608"/>
      <c r="OWW62" s="608"/>
      <c r="OWX62" s="608"/>
      <c r="OWY62" s="608"/>
      <c r="OWZ62" s="608"/>
      <c r="OXA62" s="608"/>
      <c r="OXB62" s="608"/>
      <c r="OXC62" s="608"/>
      <c r="OXD62" s="608"/>
      <c r="OXE62" s="608"/>
      <c r="OXF62" s="608"/>
      <c r="OXG62" s="608"/>
      <c r="OXH62" s="608"/>
      <c r="OXI62" s="608"/>
      <c r="OXJ62" s="608"/>
      <c r="OXK62" s="608"/>
      <c r="OXL62" s="608"/>
      <c r="OXM62" s="608"/>
      <c r="OXN62" s="608"/>
      <c r="OXO62" s="608"/>
      <c r="OXP62" s="608"/>
      <c r="OXQ62" s="608"/>
      <c r="OXR62" s="608"/>
      <c r="OXS62" s="608"/>
      <c r="OXT62" s="608"/>
      <c r="OXU62" s="608"/>
      <c r="OXV62" s="608"/>
      <c r="OXW62" s="608"/>
      <c r="OXX62" s="608"/>
      <c r="OXY62" s="608"/>
      <c r="OXZ62" s="608"/>
      <c r="OYA62" s="608"/>
      <c r="OYB62" s="608"/>
      <c r="OYC62" s="608"/>
      <c r="OYD62" s="608"/>
      <c r="OYE62" s="608"/>
      <c r="OYF62" s="608"/>
      <c r="OYG62" s="608"/>
      <c r="OYH62" s="608"/>
      <c r="OYI62" s="608"/>
      <c r="OYJ62" s="608"/>
      <c r="OYK62" s="608"/>
      <c r="OYL62" s="608"/>
      <c r="OYM62" s="608"/>
      <c r="OYN62" s="608"/>
      <c r="OYO62" s="608"/>
      <c r="OYP62" s="608"/>
      <c r="OYQ62" s="608"/>
      <c r="OYR62" s="608"/>
      <c r="OYS62" s="608"/>
      <c r="OYT62" s="608"/>
      <c r="OYU62" s="608"/>
      <c r="OYV62" s="608"/>
      <c r="OYW62" s="608"/>
      <c r="OYX62" s="608"/>
      <c r="OYY62" s="608"/>
      <c r="OYZ62" s="608"/>
      <c r="OZA62" s="608"/>
      <c r="OZB62" s="608"/>
      <c r="OZC62" s="608"/>
      <c r="OZD62" s="608"/>
      <c r="OZE62" s="608"/>
      <c r="OZF62" s="608"/>
      <c r="OZG62" s="608"/>
      <c r="OZH62" s="608"/>
      <c r="OZI62" s="608"/>
      <c r="OZJ62" s="608"/>
      <c r="OZK62" s="608"/>
      <c r="OZL62" s="608"/>
      <c r="OZM62" s="608"/>
      <c r="OZN62" s="608"/>
      <c r="OZO62" s="608"/>
      <c r="OZP62" s="608"/>
      <c r="OZQ62" s="608"/>
      <c r="OZR62" s="608"/>
      <c r="OZS62" s="608"/>
      <c r="OZT62" s="608"/>
      <c r="OZU62" s="608"/>
      <c r="OZV62" s="608"/>
      <c r="OZW62" s="608"/>
      <c r="OZX62" s="608"/>
      <c r="OZY62" s="608"/>
      <c r="OZZ62" s="608"/>
      <c r="PAA62" s="608"/>
      <c r="PAB62" s="608"/>
      <c r="PAC62" s="608"/>
      <c r="PAD62" s="608"/>
      <c r="PAE62" s="608"/>
      <c r="PAF62" s="608"/>
      <c r="PAG62" s="608"/>
      <c r="PAH62" s="608"/>
      <c r="PAI62" s="608"/>
      <c r="PAJ62" s="608"/>
      <c r="PAK62" s="608"/>
      <c r="PAL62" s="608"/>
      <c r="PAM62" s="608"/>
      <c r="PAN62" s="608"/>
      <c r="PAO62" s="608"/>
      <c r="PAP62" s="608"/>
      <c r="PAQ62" s="608"/>
      <c r="PAR62" s="608"/>
      <c r="PAS62" s="608"/>
      <c r="PAT62" s="608"/>
      <c r="PAU62" s="608"/>
      <c r="PAV62" s="608"/>
      <c r="PAW62" s="608"/>
      <c r="PAX62" s="608"/>
      <c r="PAY62" s="608"/>
      <c r="PAZ62" s="608"/>
      <c r="PBA62" s="608"/>
      <c r="PBB62" s="608"/>
      <c r="PBC62" s="608"/>
      <c r="PBD62" s="608"/>
      <c r="PBE62" s="608"/>
      <c r="PBF62" s="608"/>
      <c r="PBG62" s="608"/>
      <c r="PBH62" s="608"/>
      <c r="PBI62" s="608"/>
      <c r="PBJ62" s="608"/>
      <c r="PBK62" s="608"/>
      <c r="PBL62" s="608"/>
      <c r="PBM62" s="608"/>
      <c r="PBN62" s="608"/>
      <c r="PBO62" s="608"/>
      <c r="PBP62" s="608"/>
      <c r="PBQ62" s="608"/>
      <c r="PBR62" s="608"/>
      <c r="PBS62" s="608"/>
      <c r="PBT62" s="608"/>
      <c r="PBU62" s="608"/>
      <c r="PBV62" s="608"/>
      <c r="PBW62" s="608"/>
      <c r="PBX62" s="608"/>
      <c r="PBY62" s="608"/>
      <c r="PBZ62" s="608"/>
      <c r="PCA62" s="608"/>
      <c r="PCB62" s="608"/>
      <c r="PCC62" s="608"/>
      <c r="PCD62" s="608"/>
      <c r="PCE62" s="608"/>
      <c r="PCF62" s="608"/>
      <c r="PCG62" s="608"/>
      <c r="PCH62" s="608"/>
      <c r="PCI62" s="608"/>
      <c r="PCJ62" s="608"/>
      <c r="PCK62" s="608"/>
      <c r="PCL62" s="608"/>
      <c r="PCM62" s="608"/>
      <c r="PCN62" s="608"/>
      <c r="PCO62" s="608"/>
      <c r="PCP62" s="608"/>
      <c r="PCQ62" s="608"/>
      <c r="PCR62" s="608"/>
      <c r="PCS62" s="608"/>
      <c r="PCT62" s="608"/>
      <c r="PCU62" s="608"/>
      <c r="PCV62" s="608"/>
      <c r="PCW62" s="608"/>
      <c r="PCX62" s="608"/>
      <c r="PCY62" s="608"/>
      <c r="PCZ62" s="608"/>
      <c r="PDA62" s="608"/>
      <c r="PDB62" s="608"/>
      <c r="PDC62" s="608"/>
      <c r="PDD62" s="608"/>
      <c r="PDE62" s="608"/>
      <c r="PDF62" s="608"/>
      <c r="PDG62" s="608"/>
      <c r="PDH62" s="608"/>
      <c r="PDI62" s="608"/>
      <c r="PDJ62" s="608"/>
      <c r="PDK62" s="608"/>
      <c r="PDL62" s="608"/>
      <c r="PDM62" s="608"/>
      <c r="PDN62" s="608"/>
      <c r="PDO62" s="608"/>
      <c r="PDP62" s="608"/>
      <c r="PDQ62" s="608"/>
      <c r="PDR62" s="608"/>
      <c r="PDS62" s="608"/>
      <c r="PDT62" s="608"/>
      <c r="PDU62" s="608"/>
      <c r="PDV62" s="608"/>
      <c r="PDW62" s="608"/>
      <c r="PDX62" s="608"/>
      <c r="PDY62" s="608"/>
      <c r="PDZ62" s="608"/>
      <c r="PEA62" s="608"/>
      <c r="PEB62" s="608"/>
      <c r="PEC62" s="608"/>
      <c r="PED62" s="608"/>
      <c r="PEE62" s="608"/>
      <c r="PEF62" s="608"/>
      <c r="PEG62" s="608"/>
      <c r="PEH62" s="608"/>
      <c r="PEI62" s="608"/>
      <c r="PEJ62" s="608"/>
      <c r="PEK62" s="608"/>
      <c r="PEL62" s="608"/>
      <c r="PEM62" s="608"/>
      <c r="PEN62" s="608"/>
      <c r="PEO62" s="608"/>
      <c r="PEP62" s="608"/>
      <c r="PEQ62" s="608"/>
      <c r="PER62" s="608"/>
      <c r="PES62" s="608"/>
      <c r="PET62" s="608"/>
      <c r="PEU62" s="608"/>
      <c r="PEV62" s="608"/>
      <c r="PEW62" s="608"/>
      <c r="PEX62" s="608"/>
      <c r="PEY62" s="608"/>
      <c r="PEZ62" s="608"/>
      <c r="PFA62" s="608"/>
      <c r="PFB62" s="608"/>
      <c r="PFC62" s="608"/>
      <c r="PFD62" s="608"/>
      <c r="PFE62" s="608"/>
      <c r="PFF62" s="608"/>
      <c r="PFG62" s="608"/>
      <c r="PFH62" s="608"/>
      <c r="PFI62" s="608"/>
      <c r="PFJ62" s="608"/>
      <c r="PFK62" s="608"/>
      <c r="PFL62" s="608"/>
      <c r="PFM62" s="608"/>
      <c r="PFN62" s="608"/>
      <c r="PFO62" s="608"/>
      <c r="PFP62" s="608"/>
      <c r="PFQ62" s="608"/>
      <c r="PFR62" s="608"/>
      <c r="PFS62" s="608"/>
      <c r="PFT62" s="608"/>
      <c r="PFU62" s="608"/>
      <c r="PFV62" s="608"/>
      <c r="PFW62" s="608"/>
      <c r="PFX62" s="608"/>
      <c r="PFY62" s="608"/>
      <c r="PFZ62" s="608"/>
      <c r="PGA62" s="608"/>
      <c r="PGB62" s="608"/>
      <c r="PGC62" s="608"/>
      <c r="PGD62" s="608"/>
      <c r="PGE62" s="608"/>
      <c r="PGF62" s="608"/>
      <c r="PGG62" s="608"/>
      <c r="PGH62" s="608"/>
      <c r="PGI62" s="608"/>
      <c r="PGJ62" s="608"/>
      <c r="PGK62" s="608"/>
      <c r="PGL62" s="608"/>
      <c r="PGM62" s="608"/>
      <c r="PGN62" s="608"/>
      <c r="PGO62" s="608"/>
      <c r="PGP62" s="608"/>
      <c r="PGQ62" s="608"/>
      <c r="PGR62" s="608"/>
      <c r="PGS62" s="608"/>
      <c r="PGT62" s="608"/>
      <c r="PGU62" s="608"/>
      <c r="PGV62" s="608"/>
      <c r="PGW62" s="608"/>
      <c r="PGX62" s="608"/>
      <c r="PGY62" s="608"/>
      <c r="PGZ62" s="608"/>
      <c r="PHA62" s="608"/>
      <c r="PHB62" s="608"/>
      <c r="PHC62" s="608"/>
      <c r="PHD62" s="608"/>
      <c r="PHE62" s="608"/>
      <c r="PHF62" s="608"/>
      <c r="PHG62" s="608"/>
      <c r="PHH62" s="608"/>
      <c r="PHI62" s="608"/>
      <c r="PHJ62" s="608"/>
      <c r="PHK62" s="608"/>
      <c r="PHL62" s="608"/>
      <c r="PHM62" s="608"/>
      <c r="PHN62" s="608"/>
      <c r="PHO62" s="608"/>
      <c r="PHP62" s="608"/>
      <c r="PHQ62" s="608"/>
      <c r="PHR62" s="608"/>
      <c r="PHS62" s="608"/>
      <c r="PHT62" s="608"/>
      <c r="PHU62" s="608"/>
      <c r="PHV62" s="608"/>
      <c r="PHW62" s="608"/>
      <c r="PHX62" s="608"/>
      <c r="PHY62" s="608"/>
      <c r="PHZ62" s="608"/>
      <c r="PIA62" s="608"/>
      <c r="PIB62" s="608"/>
      <c r="PIC62" s="608"/>
      <c r="PID62" s="608"/>
      <c r="PIE62" s="608"/>
      <c r="PIF62" s="608"/>
      <c r="PIG62" s="608"/>
      <c r="PIH62" s="608"/>
      <c r="PII62" s="608"/>
      <c r="PIJ62" s="608"/>
      <c r="PIK62" s="608"/>
      <c r="PIL62" s="608"/>
      <c r="PIM62" s="608"/>
      <c r="PIN62" s="608"/>
      <c r="PIO62" s="608"/>
      <c r="PIP62" s="608"/>
      <c r="PIQ62" s="608"/>
      <c r="PIR62" s="608"/>
      <c r="PIS62" s="608"/>
      <c r="PIT62" s="608"/>
      <c r="PIU62" s="608"/>
      <c r="PIV62" s="608"/>
      <c r="PIW62" s="608"/>
      <c r="PIX62" s="608"/>
      <c r="PIY62" s="608"/>
      <c r="PIZ62" s="608"/>
      <c r="PJA62" s="608"/>
      <c r="PJB62" s="608"/>
      <c r="PJC62" s="608"/>
      <c r="PJD62" s="608"/>
      <c r="PJE62" s="608"/>
      <c r="PJF62" s="608"/>
      <c r="PJG62" s="608"/>
      <c r="PJH62" s="608"/>
      <c r="PJI62" s="608"/>
      <c r="PJJ62" s="608"/>
      <c r="PJK62" s="608"/>
      <c r="PJL62" s="608"/>
      <c r="PJM62" s="608"/>
      <c r="PJN62" s="608"/>
      <c r="PJO62" s="608"/>
      <c r="PJP62" s="608"/>
      <c r="PJQ62" s="608"/>
      <c r="PJR62" s="608"/>
      <c r="PJS62" s="608"/>
      <c r="PJT62" s="608"/>
      <c r="PJU62" s="608"/>
      <c r="PJV62" s="608"/>
      <c r="PJW62" s="608"/>
      <c r="PJX62" s="608"/>
      <c r="PJY62" s="608"/>
      <c r="PJZ62" s="608"/>
      <c r="PKA62" s="608"/>
      <c r="PKB62" s="608"/>
      <c r="PKC62" s="608"/>
      <c r="PKD62" s="608"/>
      <c r="PKE62" s="608"/>
      <c r="PKF62" s="608"/>
      <c r="PKG62" s="608"/>
      <c r="PKH62" s="608"/>
      <c r="PKI62" s="608"/>
      <c r="PKJ62" s="608"/>
      <c r="PKK62" s="608"/>
      <c r="PKL62" s="608"/>
      <c r="PKM62" s="608"/>
      <c r="PKN62" s="608"/>
      <c r="PKO62" s="608"/>
      <c r="PKP62" s="608"/>
      <c r="PKQ62" s="608"/>
      <c r="PKR62" s="608"/>
      <c r="PKS62" s="608"/>
      <c r="PKT62" s="608"/>
      <c r="PKU62" s="608"/>
      <c r="PKV62" s="608"/>
      <c r="PKW62" s="608"/>
      <c r="PKX62" s="608"/>
      <c r="PKY62" s="608"/>
      <c r="PKZ62" s="608"/>
      <c r="PLA62" s="608"/>
      <c r="PLB62" s="608"/>
      <c r="PLC62" s="608"/>
      <c r="PLD62" s="608"/>
      <c r="PLE62" s="608"/>
      <c r="PLF62" s="608"/>
      <c r="PLG62" s="608"/>
      <c r="PLH62" s="608"/>
      <c r="PLI62" s="608"/>
      <c r="PLJ62" s="608"/>
      <c r="PLK62" s="608"/>
      <c r="PLL62" s="608"/>
      <c r="PLM62" s="608"/>
      <c r="PLN62" s="608"/>
      <c r="PLO62" s="608"/>
      <c r="PLP62" s="608"/>
      <c r="PLQ62" s="608"/>
      <c r="PLR62" s="608"/>
      <c r="PLS62" s="608"/>
      <c r="PLT62" s="608"/>
      <c r="PLU62" s="608"/>
      <c r="PLV62" s="608"/>
      <c r="PLW62" s="608"/>
      <c r="PLX62" s="608"/>
      <c r="PLY62" s="608"/>
      <c r="PLZ62" s="608"/>
      <c r="PMA62" s="608"/>
      <c r="PMB62" s="608"/>
      <c r="PMC62" s="608"/>
      <c r="PMD62" s="608"/>
      <c r="PME62" s="608"/>
      <c r="PMF62" s="608"/>
      <c r="PMG62" s="608"/>
      <c r="PMH62" s="608"/>
      <c r="PMI62" s="608"/>
      <c r="PMJ62" s="608"/>
      <c r="PMK62" s="608"/>
      <c r="PML62" s="608"/>
      <c r="PMM62" s="608"/>
      <c r="PMN62" s="608"/>
      <c r="PMO62" s="608"/>
      <c r="PMP62" s="608"/>
      <c r="PMQ62" s="608"/>
      <c r="PMR62" s="608"/>
      <c r="PMS62" s="608"/>
      <c r="PMT62" s="608"/>
      <c r="PMU62" s="608"/>
      <c r="PMV62" s="608"/>
      <c r="PMW62" s="608"/>
      <c r="PMX62" s="608"/>
      <c r="PMY62" s="608"/>
      <c r="PMZ62" s="608"/>
      <c r="PNA62" s="608"/>
      <c r="PNB62" s="608"/>
      <c r="PNC62" s="608"/>
      <c r="PND62" s="608"/>
      <c r="PNE62" s="608"/>
      <c r="PNF62" s="608"/>
      <c r="PNG62" s="608"/>
      <c r="PNH62" s="608"/>
      <c r="PNI62" s="608"/>
      <c r="PNJ62" s="608"/>
      <c r="PNK62" s="608"/>
      <c r="PNL62" s="608"/>
      <c r="PNM62" s="608"/>
      <c r="PNN62" s="608"/>
      <c r="PNO62" s="608"/>
      <c r="PNP62" s="608"/>
      <c r="PNQ62" s="608"/>
      <c r="PNR62" s="608"/>
      <c r="PNS62" s="608"/>
      <c r="PNT62" s="608"/>
      <c r="PNU62" s="608"/>
      <c r="PNV62" s="608"/>
      <c r="PNW62" s="608"/>
      <c r="PNX62" s="608"/>
      <c r="PNY62" s="608"/>
      <c r="PNZ62" s="608"/>
      <c r="POA62" s="608"/>
      <c r="POB62" s="608"/>
      <c r="POC62" s="608"/>
      <c r="POD62" s="608"/>
      <c r="POE62" s="608"/>
      <c r="POF62" s="608"/>
      <c r="POG62" s="608"/>
      <c r="POH62" s="608"/>
      <c r="POI62" s="608"/>
      <c r="POJ62" s="608"/>
      <c r="POK62" s="608"/>
      <c r="POL62" s="608"/>
      <c r="POM62" s="608"/>
      <c r="PON62" s="608"/>
      <c r="POO62" s="608"/>
      <c r="POP62" s="608"/>
      <c r="POQ62" s="608"/>
      <c r="POR62" s="608"/>
      <c r="POS62" s="608"/>
      <c r="POT62" s="608"/>
      <c r="POU62" s="608"/>
      <c r="POV62" s="608"/>
      <c r="POW62" s="608"/>
      <c r="POX62" s="608"/>
      <c r="POY62" s="608"/>
      <c r="POZ62" s="608"/>
      <c r="PPA62" s="608"/>
      <c r="PPB62" s="608"/>
      <c r="PPC62" s="608"/>
      <c r="PPD62" s="608"/>
      <c r="PPE62" s="608"/>
      <c r="PPF62" s="608"/>
      <c r="PPG62" s="608"/>
      <c r="PPH62" s="608"/>
      <c r="PPI62" s="608"/>
      <c r="PPJ62" s="608"/>
      <c r="PPK62" s="608"/>
      <c r="PPL62" s="608"/>
      <c r="PPM62" s="608"/>
      <c r="PPN62" s="608"/>
      <c r="PPO62" s="608"/>
      <c r="PPP62" s="608"/>
      <c r="PPQ62" s="608"/>
      <c r="PPR62" s="608"/>
      <c r="PPS62" s="608"/>
      <c r="PPT62" s="608"/>
      <c r="PPU62" s="608"/>
      <c r="PPV62" s="608"/>
      <c r="PPW62" s="608"/>
      <c r="PPX62" s="608"/>
      <c r="PPY62" s="608"/>
      <c r="PPZ62" s="608"/>
      <c r="PQA62" s="608"/>
      <c r="PQB62" s="608"/>
      <c r="PQC62" s="608"/>
      <c r="PQD62" s="608"/>
      <c r="PQE62" s="608"/>
      <c r="PQF62" s="608"/>
      <c r="PQG62" s="608"/>
      <c r="PQH62" s="608"/>
      <c r="PQI62" s="608"/>
      <c r="PQJ62" s="608"/>
      <c r="PQK62" s="608"/>
      <c r="PQL62" s="608"/>
      <c r="PQM62" s="608"/>
      <c r="PQN62" s="608"/>
      <c r="PQO62" s="608"/>
      <c r="PQP62" s="608"/>
      <c r="PQQ62" s="608"/>
      <c r="PQR62" s="608"/>
      <c r="PQS62" s="608"/>
      <c r="PQT62" s="608"/>
      <c r="PQU62" s="608"/>
      <c r="PQV62" s="608"/>
      <c r="PQW62" s="608"/>
      <c r="PQX62" s="608"/>
      <c r="PQY62" s="608"/>
      <c r="PQZ62" s="608"/>
      <c r="PRA62" s="608"/>
      <c r="PRB62" s="608"/>
      <c r="PRC62" s="608"/>
      <c r="PRD62" s="608"/>
      <c r="PRE62" s="608"/>
      <c r="PRF62" s="608"/>
      <c r="PRG62" s="608"/>
      <c r="PRH62" s="608"/>
      <c r="PRI62" s="608"/>
      <c r="PRJ62" s="608"/>
      <c r="PRK62" s="608"/>
      <c r="PRL62" s="608"/>
      <c r="PRM62" s="608"/>
      <c r="PRN62" s="608"/>
      <c r="PRO62" s="608"/>
      <c r="PRP62" s="608"/>
      <c r="PRQ62" s="608"/>
      <c r="PRR62" s="608"/>
      <c r="PRS62" s="608"/>
      <c r="PRT62" s="608"/>
      <c r="PRU62" s="608"/>
      <c r="PRV62" s="608"/>
      <c r="PRW62" s="608"/>
      <c r="PRX62" s="608"/>
      <c r="PRY62" s="608"/>
      <c r="PRZ62" s="608"/>
      <c r="PSA62" s="608"/>
      <c r="PSB62" s="608"/>
      <c r="PSC62" s="608"/>
      <c r="PSD62" s="608"/>
      <c r="PSE62" s="608"/>
      <c r="PSF62" s="608"/>
      <c r="PSG62" s="608"/>
      <c r="PSH62" s="608"/>
      <c r="PSI62" s="608"/>
      <c r="PSJ62" s="608"/>
      <c r="PSK62" s="608"/>
      <c r="PSL62" s="608"/>
      <c r="PSM62" s="608"/>
      <c r="PSN62" s="608"/>
      <c r="PSO62" s="608"/>
      <c r="PSP62" s="608"/>
      <c r="PSQ62" s="608"/>
      <c r="PSR62" s="608"/>
      <c r="PSS62" s="608"/>
      <c r="PST62" s="608"/>
      <c r="PSU62" s="608"/>
      <c r="PSV62" s="608"/>
      <c r="PSW62" s="608"/>
      <c r="PSX62" s="608"/>
      <c r="PSY62" s="608"/>
      <c r="PSZ62" s="608"/>
      <c r="PTA62" s="608"/>
      <c r="PTB62" s="608"/>
      <c r="PTC62" s="608"/>
      <c r="PTD62" s="608"/>
      <c r="PTE62" s="608"/>
      <c r="PTF62" s="608"/>
      <c r="PTG62" s="608"/>
      <c r="PTH62" s="608"/>
      <c r="PTI62" s="608"/>
      <c r="PTJ62" s="608"/>
      <c r="PTK62" s="608"/>
      <c r="PTL62" s="608"/>
      <c r="PTM62" s="608"/>
      <c r="PTN62" s="608"/>
      <c r="PTO62" s="608"/>
      <c r="PTP62" s="608"/>
      <c r="PTQ62" s="608"/>
      <c r="PTR62" s="608"/>
      <c r="PTS62" s="608"/>
      <c r="PTT62" s="608"/>
      <c r="PTU62" s="608"/>
      <c r="PTV62" s="608"/>
      <c r="PTW62" s="608"/>
      <c r="PTX62" s="608"/>
      <c r="PTY62" s="608"/>
      <c r="PTZ62" s="608"/>
      <c r="PUA62" s="608"/>
      <c r="PUB62" s="608"/>
      <c r="PUC62" s="608"/>
      <c r="PUD62" s="608"/>
      <c r="PUE62" s="608"/>
      <c r="PUF62" s="608"/>
      <c r="PUG62" s="608"/>
      <c r="PUH62" s="608"/>
      <c r="PUI62" s="608"/>
      <c r="PUJ62" s="608"/>
      <c r="PUK62" s="608"/>
      <c r="PUL62" s="608"/>
      <c r="PUM62" s="608"/>
      <c r="PUN62" s="608"/>
      <c r="PUO62" s="608"/>
      <c r="PUP62" s="608"/>
      <c r="PUQ62" s="608"/>
      <c r="PUR62" s="608"/>
      <c r="PUS62" s="608"/>
      <c r="PUT62" s="608"/>
      <c r="PUU62" s="608"/>
      <c r="PUV62" s="608"/>
      <c r="PUW62" s="608"/>
      <c r="PUX62" s="608"/>
      <c r="PUY62" s="608"/>
      <c r="PUZ62" s="608"/>
      <c r="PVA62" s="608"/>
      <c r="PVB62" s="608"/>
      <c r="PVC62" s="608"/>
      <c r="PVD62" s="608"/>
      <c r="PVE62" s="608"/>
      <c r="PVF62" s="608"/>
      <c r="PVG62" s="608"/>
      <c r="PVH62" s="608"/>
      <c r="PVI62" s="608"/>
      <c r="PVJ62" s="608"/>
      <c r="PVK62" s="608"/>
      <c r="PVL62" s="608"/>
      <c r="PVM62" s="608"/>
      <c r="PVN62" s="608"/>
      <c r="PVO62" s="608"/>
      <c r="PVP62" s="608"/>
      <c r="PVQ62" s="608"/>
      <c r="PVR62" s="608"/>
      <c r="PVS62" s="608"/>
      <c r="PVT62" s="608"/>
      <c r="PVU62" s="608"/>
      <c r="PVV62" s="608"/>
      <c r="PVW62" s="608"/>
      <c r="PVX62" s="608"/>
      <c r="PVY62" s="608"/>
      <c r="PVZ62" s="608"/>
      <c r="PWA62" s="608"/>
      <c r="PWB62" s="608"/>
      <c r="PWC62" s="608"/>
      <c r="PWD62" s="608"/>
      <c r="PWE62" s="608"/>
      <c r="PWF62" s="608"/>
      <c r="PWG62" s="608"/>
      <c r="PWH62" s="608"/>
      <c r="PWI62" s="608"/>
      <c r="PWJ62" s="608"/>
      <c r="PWK62" s="608"/>
      <c r="PWL62" s="608"/>
      <c r="PWM62" s="608"/>
      <c r="PWN62" s="608"/>
      <c r="PWO62" s="608"/>
      <c r="PWP62" s="608"/>
      <c r="PWQ62" s="608"/>
      <c r="PWR62" s="608"/>
      <c r="PWS62" s="608"/>
      <c r="PWT62" s="608"/>
      <c r="PWU62" s="608"/>
      <c r="PWV62" s="608"/>
      <c r="PWW62" s="608"/>
      <c r="PWX62" s="608"/>
      <c r="PWY62" s="608"/>
      <c r="PWZ62" s="608"/>
      <c r="PXA62" s="608"/>
      <c r="PXB62" s="608"/>
      <c r="PXC62" s="608"/>
      <c r="PXD62" s="608"/>
      <c r="PXE62" s="608"/>
      <c r="PXF62" s="608"/>
      <c r="PXG62" s="608"/>
      <c r="PXH62" s="608"/>
      <c r="PXI62" s="608"/>
      <c r="PXJ62" s="608"/>
      <c r="PXK62" s="608"/>
      <c r="PXL62" s="608"/>
      <c r="PXM62" s="608"/>
      <c r="PXN62" s="608"/>
      <c r="PXO62" s="608"/>
      <c r="PXP62" s="608"/>
      <c r="PXQ62" s="608"/>
      <c r="PXR62" s="608"/>
      <c r="PXS62" s="608"/>
      <c r="PXT62" s="608"/>
      <c r="PXU62" s="608"/>
      <c r="PXV62" s="608"/>
      <c r="PXW62" s="608"/>
      <c r="PXX62" s="608"/>
      <c r="PXY62" s="608"/>
      <c r="PXZ62" s="608"/>
      <c r="PYA62" s="608"/>
      <c r="PYB62" s="608"/>
      <c r="PYC62" s="608"/>
      <c r="PYD62" s="608"/>
      <c r="PYE62" s="608"/>
      <c r="PYF62" s="608"/>
      <c r="PYG62" s="608"/>
      <c r="PYH62" s="608"/>
      <c r="PYI62" s="608"/>
      <c r="PYJ62" s="608"/>
      <c r="PYK62" s="608"/>
      <c r="PYL62" s="608"/>
      <c r="PYM62" s="608"/>
      <c r="PYN62" s="608"/>
      <c r="PYO62" s="608"/>
      <c r="PYP62" s="608"/>
      <c r="PYQ62" s="608"/>
      <c r="PYR62" s="608"/>
      <c r="PYS62" s="608"/>
      <c r="PYT62" s="608"/>
      <c r="PYU62" s="608"/>
      <c r="PYV62" s="608"/>
      <c r="PYW62" s="608"/>
      <c r="PYX62" s="608"/>
      <c r="PYY62" s="608"/>
      <c r="PYZ62" s="608"/>
      <c r="PZA62" s="608"/>
      <c r="PZB62" s="608"/>
      <c r="PZC62" s="608"/>
      <c r="PZD62" s="608"/>
      <c r="PZE62" s="608"/>
      <c r="PZF62" s="608"/>
      <c r="PZG62" s="608"/>
      <c r="PZH62" s="608"/>
      <c r="PZI62" s="608"/>
      <c r="PZJ62" s="608"/>
      <c r="PZK62" s="608"/>
      <c r="PZL62" s="608"/>
      <c r="PZM62" s="608"/>
      <c r="PZN62" s="608"/>
      <c r="PZO62" s="608"/>
      <c r="PZP62" s="608"/>
      <c r="PZQ62" s="608"/>
      <c r="PZR62" s="608"/>
      <c r="PZS62" s="608"/>
      <c r="PZT62" s="608"/>
      <c r="PZU62" s="608"/>
      <c r="PZV62" s="608"/>
      <c r="PZW62" s="608"/>
      <c r="PZX62" s="608"/>
      <c r="PZY62" s="608"/>
      <c r="PZZ62" s="608"/>
      <c r="QAA62" s="608"/>
      <c r="QAB62" s="608"/>
      <c r="QAC62" s="608"/>
      <c r="QAD62" s="608"/>
      <c r="QAE62" s="608"/>
      <c r="QAF62" s="608"/>
      <c r="QAG62" s="608"/>
      <c r="QAH62" s="608"/>
      <c r="QAI62" s="608"/>
      <c r="QAJ62" s="608"/>
      <c r="QAK62" s="608"/>
      <c r="QAL62" s="608"/>
      <c r="QAM62" s="608"/>
      <c r="QAN62" s="608"/>
      <c r="QAO62" s="608"/>
      <c r="QAP62" s="608"/>
      <c r="QAQ62" s="608"/>
      <c r="QAR62" s="608"/>
      <c r="QAS62" s="608"/>
      <c r="QAT62" s="608"/>
      <c r="QAU62" s="608"/>
      <c r="QAV62" s="608"/>
      <c r="QAW62" s="608"/>
      <c r="QAX62" s="608"/>
      <c r="QAY62" s="608"/>
      <c r="QAZ62" s="608"/>
      <c r="QBA62" s="608"/>
      <c r="QBB62" s="608"/>
      <c r="QBC62" s="608"/>
      <c r="QBD62" s="608"/>
      <c r="QBE62" s="608"/>
      <c r="QBF62" s="608"/>
      <c r="QBG62" s="608"/>
      <c r="QBH62" s="608"/>
      <c r="QBI62" s="608"/>
      <c r="QBJ62" s="608"/>
      <c r="QBK62" s="608"/>
      <c r="QBL62" s="608"/>
      <c r="QBM62" s="608"/>
      <c r="QBN62" s="608"/>
      <c r="QBO62" s="608"/>
      <c r="QBP62" s="608"/>
      <c r="QBQ62" s="608"/>
      <c r="QBR62" s="608"/>
      <c r="QBS62" s="608"/>
      <c r="QBT62" s="608"/>
      <c r="QBU62" s="608"/>
      <c r="QBV62" s="608"/>
      <c r="QBW62" s="608"/>
      <c r="QBX62" s="608"/>
      <c r="QBY62" s="608"/>
      <c r="QBZ62" s="608"/>
      <c r="QCA62" s="608"/>
      <c r="QCB62" s="608"/>
      <c r="QCC62" s="608"/>
      <c r="QCD62" s="608"/>
      <c r="QCE62" s="608"/>
      <c r="QCF62" s="608"/>
      <c r="QCG62" s="608"/>
      <c r="QCH62" s="608"/>
      <c r="QCI62" s="608"/>
      <c r="QCJ62" s="608"/>
      <c r="QCK62" s="608"/>
      <c r="QCL62" s="608"/>
      <c r="QCM62" s="608"/>
      <c r="QCN62" s="608"/>
      <c r="QCO62" s="608"/>
      <c r="QCP62" s="608"/>
      <c r="QCQ62" s="608"/>
      <c r="QCR62" s="608"/>
      <c r="QCS62" s="608"/>
      <c r="QCT62" s="608"/>
      <c r="QCU62" s="608"/>
      <c r="QCV62" s="608"/>
      <c r="QCW62" s="608"/>
      <c r="QCX62" s="608"/>
      <c r="QCY62" s="608"/>
      <c r="QCZ62" s="608"/>
      <c r="QDA62" s="608"/>
      <c r="QDB62" s="608"/>
      <c r="QDC62" s="608"/>
      <c r="QDD62" s="608"/>
      <c r="QDE62" s="608"/>
      <c r="QDF62" s="608"/>
      <c r="QDG62" s="608"/>
      <c r="QDH62" s="608"/>
      <c r="QDI62" s="608"/>
      <c r="QDJ62" s="608"/>
      <c r="QDK62" s="608"/>
      <c r="QDL62" s="608"/>
      <c r="QDM62" s="608"/>
      <c r="QDN62" s="608"/>
      <c r="QDO62" s="608"/>
      <c r="QDP62" s="608"/>
      <c r="QDQ62" s="608"/>
      <c r="QDR62" s="608"/>
      <c r="QDS62" s="608"/>
      <c r="QDT62" s="608"/>
      <c r="QDU62" s="608"/>
      <c r="QDV62" s="608"/>
      <c r="QDW62" s="608"/>
      <c r="QDX62" s="608"/>
      <c r="QDY62" s="608"/>
      <c r="QDZ62" s="608"/>
      <c r="QEA62" s="608"/>
      <c r="QEB62" s="608"/>
      <c r="QEC62" s="608"/>
      <c r="QED62" s="608"/>
      <c r="QEE62" s="608"/>
      <c r="QEF62" s="608"/>
      <c r="QEG62" s="608"/>
      <c r="QEH62" s="608"/>
      <c r="QEI62" s="608"/>
      <c r="QEJ62" s="608"/>
      <c r="QEK62" s="608"/>
      <c r="QEL62" s="608"/>
      <c r="QEM62" s="608"/>
      <c r="QEN62" s="608"/>
      <c r="QEO62" s="608"/>
      <c r="QEP62" s="608"/>
      <c r="QEQ62" s="608"/>
      <c r="QER62" s="608"/>
      <c r="QES62" s="608"/>
      <c r="QET62" s="608"/>
      <c r="QEU62" s="608"/>
      <c r="QEV62" s="608"/>
      <c r="QEW62" s="608"/>
      <c r="QEX62" s="608"/>
      <c r="QEY62" s="608"/>
      <c r="QEZ62" s="608"/>
      <c r="QFA62" s="608"/>
      <c r="QFB62" s="608"/>
      <c r="QFC62" s="608"/>
      <c r="QFD62" s="608"/>
      <c r="QFE62" s="608"/>
      <c r="QFF62" s="608"/>
      <c r="QFG62" s="608"/>
      <c r="QFH62" s="608"/>
      <c r="QFI62" s="608"/>
      <c r="QFJ62" s="608"/>
      <c r="QFK62" s="608"/>
      <c r="QFL62" s="608"/>
      <c r="QFM62" s="608"/>
      <c r="QFN62" s="608"/>
      <c r="QFO62" s="608"/>
      <c r="QFP62" s="608"/>
      <c r="QFQ62" s="608"/>
      <c r="QFR62" s="608"/>
      <c r="QFS62" s="608"/>
      <c r="QFT62" s="608"/>
      <c r="QFU62" s="608"/>
      <c r="QFV62" s="608"/>
      <c r="QFW62" s="608"/>
      <c r="QFX62" s="608"/>
      <c r="QFY62" s="608"/>
      <c r="QFZ62" s="608"/>
      <c r="QGA62" s="608"/>
      <c r="QGB62" s="608"/>
      <c r="QGC62" s="608"/>
      <c r="QGD62" s="608"/>
      <c r="QGE62" s="608"/>
      <c r="QGF62" s="608"/>
      <c r="QGG62" s="608"/>
      <c r="QGH62" s="608"/>
      <c r="QGI62" s="608"/>
      <c r="QGJ62" s="608"/>
      <c r="QGK62" s="608"/>
      <c r="QGL62" s="608"/>
      <c r="QGM62" s="608"/>
      <c r="QGN62" s="608"/>
      <c r="QGO62" s="608"/>
      <c r="QGP62" s="608"/>
      <c r="QGQ62" s="608"/>
      <c r="QGR62" s="608"/>
      <c r="QGS62" s="608"/>
      <c r="QGT62" s="608"/>
      <c r="QGU62" s="608"/>
      <c r="QGV62" s="608"/>
      <c r="QGW62" s="608"/>
      <c r="QGX62" s="608"/>
      <c r="QGY62" s="608"/>
      <c r="QGZ62" s="608"/>
      <c r="QHA62" s="608"/>
      <c r="QHB62" s="608"/>
      <c r="QHC62" s="608"/>
      <c r="QHD62" s="608"/>
      <c r="QHE62" s="608"/>
      <c r="QHF62" s="608"/>
      <c r="QHG62" s="608"/>
      <c r="QHH62" s="608"/>
      <c r="QHI62" s="608"/>
      <c r="QHJ62" s="608"/>
      <c r="QHK62" s="608"/>
      <c r="QHL62" s="608"/>
      <c r="QHM62" s="608"/>
      <c r="QHN62" s="608"/>
      <c r="QHO62" s="608"/>
      <c r="QHP62" s="608"/>
      <c r="QHQ62" s="608"/>
      <c r="QHR62" s="608"/>
      <c r="QHS62" s="608"/>
      <c r="QHT62" s="608"/>
      <c r="QHU62" s="608"/>
      <c r="QHV62" s="608"/>
      <c r="QHW62" s="608"/>
      <c r="QHX62" s="608"/>
      <c r="QHY62" s="608"/>
      <c r="QHZ62" s="608"/>
      <c r="QIA62" s="608"/>
      <c r="QIB62" s="608"/>
      <c r="QIC62" s="608"/>
      <c r="QID62" s="608"/>
      <c r="QIE62" s="608"/>
      <c r="QIF62" s="608"/>
      <c r="QIG62" s="608"/>
      <c r="QIH62" s="608"/>
      <c r="QII62" s="608"/>
      <c r="QIJ62" s="608"/>
      <c r="QIK62" s="608"/>
      <c r="QIL62" s="608"/>
      <c r="QIM62" s="608"/>
      <c r="QIN62" s="608"/>
      <c r="QIO62" s="608"/>
      <c r="QIP62" s="608"/>
      <c r="QIQ62" s="608"/>
      <c r="QIR62" s="608"/>
      <c r="QIS62" s="608"/>
      <c r="QIT62" s="608"/>
      <c r="QIU62" s="608"/>
      <c r="QIV62" s="608"/>
      <c r="QIW62" s="608"/>
      <c r="QIX62" s="608"/>
      <c r="QIY62" s="608"/>
      <c r="QIZ62" s="608"/>
      <c r="QJA62" s="608"/>
      <c r="QJB62" s="608"/>
      <c r="QJC62" s="608"/>
      <c r="QJD62" s="608"/>
      <c r="QJE62" s="608"/>
      <c r="QJF62" s="608"/>
      <c r="QJG62" s="608"/>
      <c r="QJH62" s="608"/>
      <c r="QJI62" s="608"/>
      <c r="QJJ62" s="608"/>
      <c r="QJK62" s="608"/>
      <c r="QJL62" s="608"/>
      <c r="QJM62" s="608"/>
      <c r="QJN62" s="608"/>
      <c r="QJO62" s="608"/>
      <c r="QJP62" s="608"/>
      <c r="QJQ62" s="608"/>
      <c r="QJR62" s="608"/>
      <c r="QJS62" s="608"/>
      <c r="QJT62" s="608"/>
      <c r="QJU62" s="608"/>
      <c r="QJV62" s="608"/>
      <c r="QJW62" s="608"/>
      <c r="QJX62" s="608"/>
      <c r="QJY62" s="608"/>
      <c r="QJZ62" s="608"/>
      <c r="QKA62" s="608"/>
      <c r="QKB62" s="608"/>
      <c r="QKC62" s="608"/>
      <c r="QKD62" s="608"/>
      <c r="QKE62" s="608"/>
      <c r="QKF62" s="608"/>
      <c r="QKG62" s="608"/>
      <c r="QKH62" s="608"/>
      <c r="QKI62" s="608"/>
      <c r="QKJ62" s="608"/>
      <c r="QKK62" s="608"/>
      <c r="QKL62" s="608"/>
      <c r="QKM62" s="608"/>
      <c r="QKN62" s="608"/>
      <c r="QKO62" s="608"/>
      <c r="QKP62" s="608"/>
      <c r="QKQ62" s="608"/>
      <c r="QKR62" s="608"/>
      <c r="QKS62" s="608"/>
      <c r="QKT62" s="608"/>
      <c r="QKU62" s="608"/>
      <c r="QKV62" s="608"/>
      <c r="QKW62" s="608"/>
      <c r="QKX62" s="608"/>
      <c r="QKY62" s="608"/>
      <c r="QKZ62" s="608"/>
      <c r="QLA62" s="608"/>
      <c r="QLB62" s="608"/>
      <c r="QLC62" s="608"/>
      <c r="QLD62" s="608"/>
      <c r="QLE62" s="608"/>
      <c r="QLF62" s="608"/>
      <c r="QLG62" s="608"/>
      <c r="QLH62" s="608"/>
      <c r="QLI62" s="608"/>
      <c r="QLJ62" s="608"/>
      <c r="QLK62" s="608"/>
      <c r="QLL62" s="608"/>
      <c r="QLM62" s="608"/>
      <c r="QLN62" s="608"/>
      <c r="QLO62" s="608"/>
      <c r="QLP62" s="608"/>
      <c r="QLQ62" s="608"/>
      <c r="QLR62" s="608"/>
      <c r="QLS62" s="608"/>
      <c r="QLT62" s="608"/>
      <c r="QLU62" s="608"/>
      <c r="QLV62" s="608"/>
      <c r="QLW62" s="608"/>
      <c r="QLX62" s="608"/>
      <c r="QLY62" s="608"/>
      <c r="QLZ62" s="608"/>
      <c r="QMA62" s="608"/>
      <c r="QMB62" s="608"/>
      <c r="QMC62" s="608"/>
      <c r="QMD62" s="608"/>
      <c r="QME62" s="608"/>
      <c r="QMF62" s="608"/>
      <c r="QMG62" s="608"/>
      <c r="QMH62" s="608"/>
      <c r="QMI62" s="608"/>
      <c r="QMJ62" s="608"/>
      <c r="QMK62" s="608"/>
      <c r="QML62" s="608"/>
      <c r="QMM62" s="608"/>
      <c r="QMN62" s="608"/>
      <c r="QMO62" s="608"/>
      <c r="QMP62" s="608"/>
      <c r="QMQ62" s="608"/>
      <c r="QMR62" s="608"/>
      <c r="QMS62" s="608"/>
      <c r="QMT62" s="608"/>
      <c r="QMU62" s="608"/>
      <c r="QMV62" s="608"/>
      <c r="QMW62" s="608"/>
      <c r="QMX62" s="608"/>
      <c r="QMY62" s="608"/>
      <c r="QMZ62" s="608"/>
      <c r="QNA62" s="608"/>
      <c r="QNB62" s="608"/>
      <c r="QNC62" s="608"/>
      <c r="QND62" s="608"/>
      <c r="QNE62" s="608"/>
      <c r="QNF62" s="608"/>
      <c r="QNG62" s="608"/>
      <c r="QNH62" s="608"/>
      <c r="QNI62" s="608"/>
      <c r="QNJ62" s="608"/>
      <c r="QNK62" s="608"/>
      <c r="QNL62" s="608"/>
      <c r="QNM62" s="608"/>
      <c r="QNN62" s="608"/>
      <c r="QNO62" s="608"/>
      <c r="QNP62" s="608"/>
      <c r="QNQ62" s="608"/>
      <c r="QNR62" s="608"/>
      <c r="QNS62" s="608"/>
      <c r="QNT62" s="608"/>
      <c r="QNU62" s="608"/>
      <c r="QNV62" s="608"/>
      <c r="QNW62" s="608"/>
      <c r="QNX62" s="608"/>
      <c r="QNY62" s="608"/>
      <c r="QNZ62" s="608"/>
      <c r="QOA62" s="608"/>
      <c r="QOB62" s="608"/>
      <c r="QOC62" s="608"/>
      <c r="QOD62" s="608"/>
      <c r="QOE62" s="608"/>
      <c r="QOF62" s="608"/>
      <c r="QOG62" s="608"/>
      <c r="QOH62" s="608"/>
      <c r="QOI62" s="608"/>
      <c r="QOJ62" s="608"/>
      <c r="QOK62" s="608"/>
      <c r="QOL62" s="608"/>
      <c r="QOM62" s="608"/>
      <c r="QON62" s="608"/>
      <c r="QOO62" s="608"/>
      <c r="QOP62" s="608"/>
      <c r="QOQ62" s="608"/>
      <c r="QOR62" s="608"/>
      <c r="QOS62" s="608"/>
      <c r="QOT62" s="608"/>
      <c r="QOU62" s="608"/>
      <c r="QOV62" s="608"/>
      <c r="QOW62" s="608"/>
      <c r="QOX62" s="608"/>
      <c r="QOY62" s="608"/>
      <c r="QOZ62" s="608"/>
      <c r="QPA62" s="608"/>
      <c r="QPB62" s="608"/>
      <c r="QPC62" s="608"/>
      <c r="QPD62" s="608"/>
      <c r="QPE62" s="608"/>
      <c r="QPF62" s="608"/>
      <c r="QPG62" s="608"/>
      <c r="QPH62" s="608"/>
      <c r="QPI62" s="608"/>
      <c r="QPJ62" s="608"/>
      <c r="QPK62" s="608"/>
      <c r="QPL62" s="608"/>
      <c r="QPM62" s="608"/>
      <c r="QPN62" s="608"/>
      <c r="QPO62" s="608"/>
      <c r="QPP62" s="608"/>
      <c r="QPQ62" s="608"/>
      <c r="QPR62" s="608"/>
      <c r="QPS62" s="608"/>
      <c r="QPT62" s="608"/>
      <c r="QPU62" s="608"/>
      <c r="QPV62" s="608"/>
      <c r="QPW62" s="608"/>
      <c r="QPX62" s="608"/>
      <c r="QPY62" s="608"/>
      <c r="QPZ62" s="608"/>
      <c r="QQA62" s="608"/>
      <c r="QQB62" s="608"/>
      <c r="QQC62" s="608"/>
      <c r="QQD62" s="608"/>
      <c r="QQE62" s="608"/>
      <c r="QQF62" s="608"/>
      <c r="QQG62" s="608"/>
      <c r="QQH62" s="608"/>
      <c r="QQI62" s="608"/>
      <c r="QQJ62" s="608"/>
      <c r="QQK62" s="608"/>
      <c r="QQL62" s="608"/>
      <c r="QQM62" s="608"/>
      <c r="QQN62" s="608"/>
      <c r="QQO62" s="608"/>
      <c r="QQP62" s="608"/>
      <c r="QQQ62" s="608"/>
      <c r="QQR62" s="608"/>
      <c r="QQS62" s="608"/>
      <c r="QQT62" s="608"/>
      <c r="QQU62" s="608"/>
      <c r="QQV62" s="608"/>
      <c r="QQW62" s="608"/>
      <c r="QQX62" s="608"/>
      <c r="QQY62" s="608"/>
      <c r="QQZ62" s="608"/>
      <c r="QRA62" s="608"/>
      <c r="QRB62" s="608"/>
      <c r="QRC62" s="608"/>
      <c r="QRD62" s="608"/>
      <c r="QRE62" s="608"/>
      <c r="QRF62" s="608"/>
      <c r="QRG62" s="608"/>
      <c r="QRH62" s="608"/>
      <c r="QRI62" s="608"/>
      <c r="QRJ62" s="608"/>
      <c r="QRK62" s="608"/>
      <c r="QRL62" s="608"/>
      <c r="QRM62" s="608"/>
      <c r="QRN62" s="608"/>
      <c r="QRO62" s="608"/>
      <c r="QRP62" s="608"/>
      <c r="QRQ62" s="608"/>
      <c r="QRR62" s="608"/>
      <c r="QRS62" s="608"/>
      <c r="QRT62" s="608"/>
      <c r="QRU62" s="608"/>
      <c r="QRV62" s="608"/>
      <c r="QRW62" s="608"/>
      <c r="QRX62" s="608"/>
      <c r="QRY62" s="608"/>
      <c r="QRZ62" s="608"/>
      <c r="QSA62" s="608"/>
      <c r="QSB62" s="608"/>
      <c r="QSC62" s="608"/>
      <c r="QSD62" s="608"/>
      <c r="QSE62" s="608"/>
      <c r="QSF62" s="608"/>
      <c r="QSG62" s="608"/>
      <c r="QSH62" s="608"/>
      <c r="QSI62" s="608"/>
      <c r="QSJ62" s="608"/>
      <c r="QSK62" s="608"/>
      <c r="QSL62" s="608"/>
      <c r="QSM62" s="608"/>
      <c r="QSN62" s="608"/>
      <c r="QSO62" s="608"/>
      <c r="QSP62" s="608"/>
      <c r="QSQ62" s="608"/>
      <c r="QSR62" s="608"/>
      <c r="QSS62" s="608"/>
      <c r="QST62" s="608"/>
      <c r="QSU62" s="608"/>
      <c r="QSV62" s="608"/>
      <c r="QSW62" s="608"/>
      <c r="QSX62" s="608"/>
      <c r="QSY62" s="608"/>
      <c r="QSZ62" s="608"/>
      <c r="QTA62" s="608"/>
      <c r="QTB62" s="608"/>
      <c r="QTC62" s="608"/>
      <c r="QTD62" s="608"/>
      <c r="QTE62" s="608"/>
      <c r="QTF62" s="608"/>
      <c r="QTG62" s="608"/>
      <c r="QTH62" s="608"/>
      <c r="QTI62" s="608"/>
      <c r="QTJ62" s="608"/>
      <c r="QTK62" s="608"/>
      <c r="QTL62" s="608"/>
      <c r="QTM62" s="608"/>
      <c r="QTN62" s="608"/>
      <c r="QTO62" s="608"/>
      <c r="QTP62" s="608"/>
      <c r="QTQ62" s="608"/>
      <c r="QTR62" s="608"/>
      <c r="QTS62" s="608"/>
      <c r="QTT62" s="608"/>
      <c r="QTU62" s="608"/>
      <c r="QTV62" s="608"/>
      <c r="QTW62" s="608"/>
      <c r="QTX62" s="608"/>
      <c r="QTY62" s="608"/>
      <c r="QTZ62" s="608"/>
      <c r="QUA62" s="608"/>
      <c r="QUB62" s="608"/>
      <c r="QUC62" s="608"/>
      <c r="QUD62" s="608"/>
      <c r="QUE62" s="608"/>
      <c r="QUF62" s="608"/>
      <c r="QUG62" s="608"/>
      <c r="QUH62" s="608"/>
      <c r="QUI62" s="608"/>
      <c r="QUJ62" s="608"/>
      <c r="QUK62" s="608"/>
      <c r="QUL62" s="608"/>
      <c r="QUM62" s="608"/>
      <c r="QUN62" s="608"/>
      <c r="QUO62" s="608"/>
      <c r="QUP62" s="608"/>
      <c r="QUQ62" s="608"/>
      <c r="QUR62" s="608"/>
      <c r="QUS62" s="608"/>
      <c r="QUT62" s="608"/>
      <c r="QUU62" s="608"/>
      <c r="QUV62" s="608"/>
      <c r="QUW62" s="608"/>
      <c r="QUX62" s="608"/>
      <c r="QUY62" s="608"/>
      <c r="QUZ62" s="608"/>
      <c r="QVA62" s="608"/>
      <c r="QVB62" s="608"/>
      <c r="QVC62" s="608"/>
      <c r="QVD62" s="608"/>
      <c r="QVE62" s="608"/>
      <c r="QVF62" s="608"/>
      <c r="QVG62" s="608"/>
      <c r="QVH62" s="608"/>
      <c r="QVI62" s="608"/>
      <c r="QVJ62" s="608"/>
      <c r="QVK62" s="608"/>
      <c r="QVL62" s="608"/>
      <c r="QVM62" s="608"/>
      <c r="QVN62" s="608"/>
      <c r="QVO62" s="608"/>
      <c r="QVP62" s="608"/>
      <c r="QVQ62" s="608"/>
      <c r="QVR62" s="608"/>
      <c r="QVS62" s="608"/>
      <c r="QVT62" s="608"/>
      <c r="QVU62" s="608"/>
      <c r="QVV62" s="608"/>
      <c r="QVW62" s="608"/>
      <c r="QVX62" s="608"/>
      <c r="QVY62" s="608"/>
      <c r="QVZ62" s="608"/>
      <c r="QWA62" s="608"/>
      <c r="QWB62" s="608"/>
      <c r="QWC62" s="608"/>
      <c r="QWD62" s="608"/>
      <c r="QWE62" s="608"/>
      <c r="QWF62" s="608"/>
      <c r="QWG62" s="608"/>
      <c r="QWH62" s="608"/>
      <c r="QWI62" s="608"/>
      <c r="QWJ62" s="608"/>
      <c r="QWK62" s="608"/>
      <c r="QWL62" s="608"/>
      <c r="QWM62" s="608"/>
      <c r="QWN62" s="608"/>
      <c r="QWO62" s="608"/>
      <c r="QWP62" s="608"/>
      <c r="QWQ62" s="608"/>
      <c r="QWR62" s="608"/>
      <c r="QWS62" s="608"/>
      <c r="QWT62" s="608"/>
      <c r="QWU62" s="608"/>
      <c r="QWV62" s="608"/>
      <c r="QWW62" s="608"/>
      <c r="QWX62" s="608"/>
      <c r="QWY62" s="608"/>
      <c r="QWZ62" s="608"/>
      <c r="QXA62" s="608"/>
      <c r="QXB62" s="608"/>
      <c r="QXC62" s="608"/>
      <c r="QXD62" s="608"/>
      <c r="QXE62" s="608"/>
      <c r="QXF62" s="608"/>
      <c r="QXG62" s="608"/>
      <c r="QXH62" s="608"/>
      <c r="QXI62" s="608"/>
      <c r="QXJ62" s="608"/>
      <c r="QXK62" s="608"/>
      <c r="QXL62" s="608"/>
      <c r="QXM62" s="608"/>
      <c r="QXN62" s="608"/>
      <c r="QXO62" s="608"/>
      <c r="QXP62" s="608"/>
      <c r="QXQ62" s="608"/>
      <c r="QXR62" s="608"/>
      <c r="QXS62" s="608"/>
      <c r="QXT62" s="608"/>
      <c r="QXU62" s="608"/>
      <c r="QXV62" s="608"/>
      <c r="QXW62" s="608"/>
      <c r="QXX62" s="608"/>
      <c r="QXY62" s="608"/>
      <c r="QXZ62" s="608"/>
      <c r="QYA62" s="608"/>
      <c r="QYB62" s="608"/>
      <c r="QYC62" s="608"/>
      <c r="QYD62" s="608"/>
      <c r="QYE62" s="608"/>
      <c r="QYF62" s="608"/>
      <c r="QYG62" s="608"/>
      <c r="QYH62" s="608"/>
      <c r="QYI62" s="608"/>
      <c r="QYJ62" s="608"/>
      <c r="QYK62" s="608"/>
      <c r="QYL62" s="608"/>
      <c r="QYM62" s="608"/>
      <c r="QYN62" s="608"/>
      <c r="QYO62" s="608"/>
      <c r="QYP62" s="608"/>
      <c r="QYQ62" s="608"/>
      <c r="QYR62" s="608"/>
      <c r="QYS62" s="608"/>
      <c r="QYT62" s="608"/>
      <c r="QYU62" s="608"/>
      <c r="QYV62" s="608"/>
      <c r="QYW62" s="608"/>
      <c r="QYX62" s="608"/>
      <c r="QYY62" s="608"/>
      <c r="QYZ62" s="608"/>
      <c r="QZA62" s="608"/>
      <c r="QZB62" s="608"/>
      <c r="QZC62" s="608"/>
      <c r="QZD62" s="608"/>
      <c r="QZE62" s="608"/>
      <c r="QZF62" s="608"/>
      <c r="QZG62" s="608"/>
      <c r="QZH62" s="608"/>
      <c r="QZI62" s="608"/>
      <c r="QZJ62" s="608"/>
      <c r="QZK62" s="608"/>
      <c r="QZL62" s="608"/>
      <c r="QZM62" s="608"/>
      <c r="QZN62" s="608"/>
      <c r="QZO62" s="608"/>
      <c r="QZP62" s="608"/>
      <c r="QZQ62" s="608"/>
      <c r="QZR62" s="608"/>
      <c r="QZS62" s="608"/>
      <c r="QZT62" s="608"/>
      <c r="QZU62" s="608"/>
      <c r="QZV62" s="608"/>
      <c r="QZW62" s="608"/>
      <c r="QZX62" s="608"/>
      <c r="QZY62" s="608"/>
      <c r="QZZ62" s="608"/>
      <c r="RAA62" s="608"/>
      <c r="RAB62" s="608"/>
      <c r="RAC62" s="608"/>
      <c r="RAD62" s="608"/>
      <c r="RAE62" s="608"/>
      <c r="RAF62" s="608"/>
      <c r="RAG62" s="608"/>
      <c r="RAH62" s="608"/>
      <c r="RAI62" s="608"/>
      <c r="RAJ62" s="608"/>
      <c r="RAK62" s="608"/>
      <c r="RAL62" s="608"/>
      <c r="RAM62" s="608"/>
      <c r="RAN62" s="608"/>
      <c r="RAO62" s="608"/>
      <c r="RAP62" s="608"/>
      <c r="RAQ62" s="608"/>
      <c r="RAR62" s="608"/>
      <c r="RAS62" s="608"/>
      <c r="RAT62" s="608"/>
      <c r="RAU62" s="608"/>
      <c r="RAV62" s="608"/>
      <c r="RAW62" s="608"/>
      <c r="RAX62" s="608"/>
      <c r="RAY62" s="608"/>
      <c r="RAZ62" s="608"/>
      <c r="RBA62" s="608"/>
      <c r="RBB62" s="608"/>
      <c r="RBC62" s="608"/>
      <c r="RBD62" s="608"/>
      <c r="RBE62" s="608"/>
      <c r="RBF62" s="608"/>
      <c r="RBG62" s="608"/>
      <c r="RBH62" s="608"/>
      <c r="RBI62" s="608"/>
      <c r="RBJ62" s="608"/>
      <c r="RBK62" s="608"/>
      <c r="RBL62" s="608"/>
      <c r="RBM62" s="608"/>
      <c r="RBN62" s="608"/>
      <c r="RBO62" s="608"/>
      <c r="RBP62" s="608"/>
      <c r="RBQ62" s="608"/>
      <c r="RBR62" s="608"/>
      <c r="RBS62" s="608"/>
      <c r="RBT62" s="608"/>
      <c r="RBU62" s="608"/>
      <c r="RBV62" s="608"/>
      <c r="RBW62" s="608"/>
      <c r="RBX62" s="608"/>
      <c r="RBY62" s="608"/>
      <c r="RBZ62" s="608"/>
      <c r="RCA62" s="608"/>
      <c r="RCB62" s="608"/>
      <c r="RCC62" s="608"/>
      <c r="RCD62" s="608"/>
      <c r="RCE62" s="608"/>
      <c r="RCF62" s="608"/>
      <c r="RCG62" s="608"/>
      <c r="RCH62" s="608"/>
      <c r="RCI62" s="608"/>
      <c r="RCJ62" s="608"/>
      <c r="RCK62" s="608"/>
      <c r="RCL62" s="608"/>
      <c r="RCM62" s="608"/>
      <c r="RCN62" s="608"/>
      <c r="RCO62" s="608"/>
      <c r="RCP62" s="608"/>
      <c r="RCQ62" s="608"/>
      <c r="RCR62" s="608"/>
      <c r="RCS62" s="608"/>
      <c r="RCT62" s="608"/>
      <c r="RCU62" s="608"/>
      <c r="RCV62" s="608"/>
      <c r="RCW62" s="608"/>
      <c r="RCX62" s="608"/>
      <c r="RCY62" s="608"/>
      <c r="RCZ62" s="608"/>
      <c r="RDA62" s="608"/>
      <c r="RDB62" s="608"/>
      <c r="RDC62" s="608"/>
      <c r="RDD62" s="608"/>
      <c r="RDE62" s="608"/>
      <c r="RDF62" s="608"/>
      <c r="RDG62" s="608"/>
      <c r="RDH62" s="608"/>
      <c r="RDI62" s="608"/>
      <c r="RDJ62" s="608"/>
      <c r="RDK62" s="608"/>
      <c r="RDL62" s="608"/>
      <c r="RDM62" s="608"/>
      <c r="RDN62" s="608"/>
      <c r="RDO62" s="608"/>
      <c r="RDP62" s="608"/>
      <c r="RDQ62" s="608"/>
      <c r="RDR62" s="608"/>
      <c r="RDS62" s="608"/>
      <c r="RDT62" s="608"/>
      <c r="RDU62" s="608"/>
      <c r="RDV62" s="608"/>
      <c r="RDW62" s="608"/>
      <c r="RDX62" s="608"/>
      <c r="RDY62" s="608"/>
      <c r="RDZ62" s="608"/>
      <c r="REA62" s="608"/>
      <c r="REB62" s="608"/>
      <c r="REC62" s="608"/>
      <c r="RED62" s="608"/>
      <c r="REE62" s="608"/>
      <c r="REF62" s="608"/>
      <c r="REG62" s="608"/>
      <c r="REH62" s="608"/>
      <c r="REI62" s="608"/>
      <c r="REJ62" s="608"/>
      <c r="REK62" s="608"/>
      <c r="REL62" s="608"/>
      <c r="REM62" s="608"/>
      <c r="REN62" s="608"/>
      <c r="REO62" s="608"/>
      <c r="REP62" s="608"/>
      <c r="REQ62" s="608"/>
      <c r="RER62" s="608"/>
      <c r="RES62" s="608"/>
      <c r="RET62" s="608"/>
      <c r="REU62" s="608"/>
      <c r="REV62" s="608"/>
      <c r="REW62" s="608"/>
      <c r="REX62" s="608"/>
      <c r="REY62" s="608"/>
      <c r="REZ62" s="608"/>
      <c r="RFA62" s="608"/>
      <c r="RFB62" s="608"/>
      <c r="RFC62" s="608"/>
      <c r="RFD62" s="608"/>
      <c r="RFE62" s="608"/>
      <c r="RFF62" s="608"/>
      <c r="RFG62" s="608"/>
      <c r="RFH62" s="608"/>
      <c r="RFI62" s="608"/>
      <c r="RFJ62" s="608"/>
      <c r="RFK62" s="608"/>
      <c r="RFL62" s="608"/>
      <c r="RFM62" s="608"/>
      <c r="RFN62" s="608"/>
      <c r="RFO62" s="608"/>
      <c r="RFP62" s="608"/>
      <c r="RFQ62" s="608"/>
      <c r="RFR62" s="608"/>
      <c r="RFS62" s="608"/>
      <c r="RFT62" s="608"/>
      <c r="RFU62" s="608"/>
      <c r="RFV62" s="608"/>
      <c r="RFW62" s="608"/>
      <c r="RFX62" s="608"/>
      <c r="RFY62" s="608"/>
      <c r="RFZ62" s="608"/>
      <c r="RGA62" s="608"/>
      <c r="RGB62" s="608"/>
      <c r="RGC62" s="608"/>
      <c r="RGD62" s="608"/>
      <c r="RGE62" s="608"/>
      <c r="RGF62" s="608"/>
      <c r="RGG62" s="608"/>
      <c r="RGH62" s="608"/>
      <c r="RGI62" s="608"/>
      <c r="RGJ62" s="608"/>
      <c r="RGK62" s="608"/>
      <c r="RGL62" s="608"/>
      <c r="RGM62" s="608"/>
      <c r="RGN62" s="608"/>
      <c r="RGO62" s="608"/>
      <c r="RGP62" s="608"/>
      <c r="RGQ62" s="608"/>
      <c r="RGR62" s="608"/>
      <c r="RGS62" s="608"/>
      <c r="RGT62" s="608"/>
      <c r="RGU62" s="608"/>
      <c r="RGV62" s="608"/>
      <c r="RGW62" s="608"/>
      <c r="RGX62" s="608"/>
      <c r="RGY62" s="608"/>
      <c r="RGZ62" s="608"/>
      <c r="RHA62" s="608"/>
      <c r="RHB62" s="608"/>
      <c r="RHC62" s="608"/>
      <c r="RHD62" s="608"/>
      <c r="RHE62" s="608"/>
      <c r="RHF62" s="608"/>
      <c r="RHG62" s="608"/>
      <c r="RHH62" s="608"/>
      <c r="RHI62" s="608"/>
      <c r="RHJ62" s="608"/>
      <c r="RHK62" s="608"/>
      <c r="RHL62" s="608"/>
      <c r="RHM62" s="608"/>
      <c r="RHN62" s="608"/>
      <c r="RHO62" s="608"/>
      <c r="RHP62" s="608"/>
      <c r="RHQ62" s="608"/>
      <c r="RHR62" s="608"/>
      <c r="RHS62" s="608"/>
      <c r="RHT62" s="608"/>
      <c r="RHU62" s="608"/>
      <c r="RHV62" s="608"/>
      <c r="RHW62" s="608"/>
      <c r="RHX62" s="608"/>
      <c r="RHY62" s="608"/>
      <c r="RHZ62" s="608"/>
      <c r="RIA62" s="608"/>
      <c r="RIB62" s="608"/>
      <c r="RIC62" s="608"/>
      <c r="RID62" s="608"/>
      <c r="RIE62" s="608"/>
      <c r="RIF62" s="608"/>
      <c r="RIG62" s="608"/>
      <c r="RIH62" s="608"/>
      <c r="RII62" s="608"/>
      <c r="RIJ62" s="608"/>
      <c r="RIK62" s="608"/>
      <c r="RIL62" s="608"/>
      <c r="RIM62" s="608"/>
      <c r="RIN62" s="608"/>
      <c r="RIO62" s="608"/>
      <c r="RIP62" s="608"/>
      <c r="RIQ62" s="608"/>
      <c r="RIR62" s="608"/>
      <c r="RIS62" s="608"/>
      <c r="RIT62" s="608"/>
      <c r="RIU62" s="608"/>
      <c r="RIV62" s="608"/>
      <c r="RIW62" s="608"/>
      <c r="RIX62" s="608"/>
      <c r="RIY62" s="608"/>
      <c r="RIZ62" s="608"/>
      <c r="RJA62" s="608"/>
      <c r="RJB62" s="608"/>
      <c r="RJC62" s="608"/>
      <c r="RJD62" s="608"/>
      <c r="RJE62" s="608"/>
      <c r="RJF62" s="608"/>
      <c r="RJG62" s="608"/>
      <c r="RJH62" s="608"/>
      <c r="RJI62" s="608"/>
      <c r="RJJ62" s="608"/>
      <c r="RJK62" s="608"/>
      <c r="RJL62" s="608"/>
      <c r="RJM62" s="608"/>
      <c r="RJN62" s="608"/>
      <c r="RJO62" s="608"/>
      <c r="RJP62" s="608"/>
      <c r="RJQ62" s="608"/>
      <c r="RJR62" s="608"/>
      <c r="RJS62" s="608"/>
      <c r="RJT62" s="608"/>
      <c r="RJU62" s="608"/>
      <c r="RJV62" s="608"/>
      <c r="RJW62" s="608"/>
      <c r="RJX62" s="608"/>
      <c r="RJY62" s="608"/>
      <c r="RJZ62" s="608"/>
      <c r="RKA62" s="608"/>
      <c r="RKB62" s="608"/>
      <c r="RKC62" s="608"/>
      <c r="RKD62" s="608"/>
      <c r="RKE62" s="608"/>
      <c r="RKF62" s="608"/>
      <c r="RKG62" s="608"/>
      <c r="RKH62" s="608"/>
      <c r="RKI62" s="608"/>
      <c r="RKJ62" s="608"/>
      <c r="RKK62" s="608"/>
      <c r="RKL62" s="608"/>
      <c r="RKM62" s="608"/>
      <c r="RKN62" s="608"/>
      <c r="RKO62" s="608"/>
      <c r="RKP62" s="608"/>
      <c r="RKQ62" s="608"/>
      <c r="RKR62" s="608"/>
      <c r="RKS62" s="608"/>
      <c r="RKT62" s="608"/>
      <c r="RKU62" s="608"/>
      <c r="RKV62" s="608"/>
      <c r="RKW62" s="608"/>
      <c r="RKX62" s="608"/>
      <c r="RKY62" s="608"/>
      <c r="RKZ62" s="608"/>
      <c r="RLA62" s="608"/>
      <c r="RLB62" s="608"/>
      <c r="RLC62" s="608"/>
      <c r="RLD62" s="608"/>
      <c r="RLE62" s="608"/>
      <c r="RLF62" s="608"/>
      <c r="RLG62" s="608"/>
      <c r="RLH62" s="608"/>
      <c r="RLI62" s="608"/>
      <c r="RLJ62" s="608"/>
      <c r="RLK62" s="608"/>
      <c r="RLL62" s="608"/>
      <c r="RLM62" s="608"/>
      <c r="RLN62" s="608"/>
      <c r="RLO62" s="608"/>
      <c r="RLP62" s="608"/>
      <c r="RLQ62" s="608"/>
      <c r="RLR62" s="608"/>
      <c r="RLS62" s="608"/>
      <c r="RLT62" s="608"/>
      <c r="RLU62" s="608"/>
      <c r="RLV62" s="608"/>
      <c r="RLW62" s="608"/>
      <c r="RLX62" s="608"/>
      <c r="RLY62" s="608"/>
      <c r="RLZ62" s="608"/>
      <c r="RMA62" s="608"/>
      <c r="RMB62" s="608"/>
      <c r="RMC62" s="608"/>
      <c r="RMD62" s="608"/>
      <c r="RME62" s="608"/>
      <c r="RMF62" s="608"/>
      <c r="RMG62" s="608"/>
      <c r="RMH62" s="608"/>
      <c r="RMI62" s="608"/>
      <c r="RMJ62" s="608"/>
      <c r="RMK62" s="608"/>
      <c r="RML62" s="608"/>
      <c r="RMM62" s="608"/>
      <c r="RMN62" s="608"/>
      <c r="RMO62" s="608"/>
      <c r="RMP62" s="608"/>
      <c r="RMQ62" s="608"/>
      <c r="RMR62" s="608"/>
      <c r="RMS62" s="608"/>
      <c r="RMT62" s="608"/>
      <c r="RMU62" s="608"/>
      <c r="RMV62" s="608"/>
      <c r="RMW62" s="608"/>
      <c r="RMX62" s="608"/>
      <c r="RMY62" s="608"/>
      <c r="RMZ62" s="608"/>
      <c r="RNA62" s="608"/>
      <c r="RNB62" s="608"/>
      <c r="RNC62" s="608"/>
      <c r="RND62" s="608"/>
      <c r="RNE62" s="608"/>
      <c r="RNF62" s="608"/>
      <c r="RNG62" s="608"/>
      <c r="RNH62" s="608"/>
      <c r="RNI62" s="608"/>
      <c r="RNJ62" s="608"/>
      <c r="RNK62" s="608"/>
      <c r="RNL62" s="608"/>
      <c r="RNM62" s="608"/>
      <c r="RNN62" s="608"/>
      <c r="RNO62" s="608"/>
      <c r="RNP62" s="608"/>
      <c r="RNQ62" s="608"/>
      <c r="RNR62" s="608"/>
      <c r="RNS62" s="608"/>
      <c r="RNT62" s="608"/>
      <c r="RNU62" s="608"/>
      <c r="RNV62" s="608"/>
      <c r="RNW62" s="608"/>
      <c r="RNX62" s="608"/>
      <c r="RNY62" s="608"/>
      <c r="RNZ62" s="608"/>
      <c r="ROA62" s="608"/>
      <c r="ROB62" s="608"/>
      <c r="ROC62" s="608"/>
      <c r="ROD62" s="608"/>
      <c r="ROE62" s="608"/>
      <c r="ROF62" s="608"/>
      <c r="ROG62" s="608"/>
      <c r="ROH62" s="608"/>
      <c r="ROI62" s="608"/>
      <c r="ROJ62" s="608"/>
      <c r="ROK62" s="608"/>
      <c r="ROL62" s="608"/>
      <c r="ROM62" s="608"/>
      <c r="RON62" s="608"/>
      <c r="ROO62" s="608"/>
      <c r="ROP62" s="608"/>
      <c r="ROQ62" s="608"/>
      <c r="ROR62" s="608"/>
      <c r="ROS62" s="608"/>
      <c r="ROT62" s="608"/>
      <c r="ROU62" s="608"/>
      <c r="ROV62" s="608"/>
      <c r="ROW62" s="608"/>
      <c r="ROX62" s="608"/>
      <c r="ROY62" s="608"/>
      <c r="ROZ62" s="608"/>
      <c r="RPA62" s="608"/>
      <c r="RPB62" s="608"/>
      <c r="RPC62" s="608"/>
      <c r="RPD62" s="608"/>
      <c r="RPE62" s="608"/>
      <c r="RPF62" s="608"/>
      <c r="RPG62" s="608"/>
      <c r="RPH62" s="608"/>
      <c r="RPI62" s="608"/>
      <c r="RPJ62" s="608"/>
      <c r="RPK62" s="608"/>
      <c r="RPL62" s="608"/>
      <c r="RPM62" s="608"/>
      <c r="RPN62" s="608"/>
      <c r="RPO62" s="608"/>
      <c r="RPP62" s="608"/>
      <c r="RPQ62" s="608"/>
      <c r="RPR62" s="608"/>
      <c r="RPS62" s="608"/>
      <c r="RPT62" s="608"/>
      <c r="RPU62" s="608"/>
      <c r="RPV62" s="608"/>
      <c r="RPW62" s="608"/>
      <c r="RPX62" s="608"/>
      <c r="RPY62" s="608"/>
      <c r="RPZ62" s="608"/>
      <c r="RQA62" s="608"/>
      <c r="RQB62" s="608"/>
      <c r="RQC62" s="608"/>
      <c r="RQD62" s="608"/>
      <c r="RQE62" s="608"/>
      <c r="RQF62" s="608"/>
      <c r="RQG62" s="608"/>
      <c r="RQH62" s="608"/>
      <c r="RQI62" s="608"/>
      <c r="RQJ62" s="608"/>
      <c r="RQK62" s="608"/>
      <c r="RQL62" s="608"/>
      <c r="RQM62" s="608"/>
      <c r="RQN62" s="608"/>
      <c r="RQO62" s="608"/>
      <c r="RQP62" s="608"/>
      <c r="RQQ62" s="608"/>
      <c r="RQR62" s="608"/>
      <c r="RQS62" s="608"/>
      <c r="RQT62" s="608"/>
      <c r="RQU62" s="608"/>
      <c r="RQV62" s="608"/>
      <c r="RQW62" s="608"/>
      <c r="RQX62" s="608"/>
      <c r="RQY62" s="608"/>
      <c r="RQZ62" s="608"/>
      <c r="RRA62" s="608"/>
      <c r="RRB62" s="608"/>
      <c r="RRC62" s="608"/>
      <c r="RRD62" s="608"/>
      <c r="RRE62" s="608"/>
      <c r="RRF62" s="608"/>
      <c r="RRG62" s="608"/>
      <c r="RRH62" s="608"/>
      <c r="RRI62" s="608"/>
      <c r="RRJ62" s="608"/>
      <c r="RRK62" s="608"/>
      <c r="RRL62" s="608"/>
      <c r="RRM62" s="608"/>
      <c r="RRN62" s="608"/>
      <c r="RRO62" s="608"/>
      <c r="RRP62" s="608"/>
      <c r="RRQ62" s="608"/>
      <c r="RRR62" s="608"/>
      <c r="RRS62" s="608"/>
      <c r="RRT62" s="608"/>
      <c r="RRU62" s="608"/>
      <c r="RRV62" s="608"/>
      <c r="RRW62" s="608"/>
      <c r="RRX62" s="608"/>
      <c r="RRY62" s="608"/>
      <c r="RRZ62" s="608"/>
      <c r="RSA62" s="608"/>
      <c r="RSB62" s="608"/>
      <c r="RSC62" s="608"/>
      <c r="RSD62" s="608"/>
      <c r="RSE62" s="608"/>
      <c r="RSF62" s="608"/>
      <c r="RSG62" s="608"/>
      <c r="RSH62" s="608"/>
      <c r="RSI62" s="608"/>
      <c r="RSJ62" s="608"/>
      <c r="RSK62" s="608"/>
      <c r="RSL62" s="608"/>
      <c r="RSM62" s="608"/>
      <c r="RSN62" s="608"/>
      <c r="RSO62" s="608"/>
      <c r="RSP62" s="608"/>
      <c r="RSQ62" s="608"/>
      <c r="RSR62" s="608"/>
      <c r="RSS62" s="608"/>
      <c r="RST62" s="608"/>
      <c r="RSU62" s="608"/>
      <c r="RSV62" s="608"/>
      <c r="RSW62" s="608"/>
      <c r="RSX62" s="608"/>
      <c r="RSY62" s="608"/>
      <c r="RSZ62" s="608"/>
      <c r="RTA62" s="608"/>
      <c r="RTB62" s="608"/>
      <c r="RTC62" s="608"/>
      <c r="RTD62" s="608"/>
      <c r="RTE62" s="608"/>
      <c r="RTF62" s="608"/>
      <c r="RTG62" s="608"/>
      <c r="RTH62" s="608"/>
      <c r="RTI62" s="608"/>
      <c r="RTJ62" s="608"/>
      <c r="RTK62" s="608"/>
      <c r="RTL62" s="608"/>
      <c r="RTM62" s="608"/>
      <c r="RTN62" s="608"/>
      <c r="RTO62" s="608"/>
      <c r="RTP62" s="608"/>
      <c r="RTQ62" s="608"/>
      <c r="RTR62" s="608"/>
      <c r="RTS62" s="608"/>
      <c r="RTT62" s="608"/>
      <c r="RTU62" s="608"/>
      <c r="RTV62" s="608"/>
      <c r="RTW62" s="608"/>
      <c r="RTX62" s="608"/>
      <c r="RTY62" s="608"/>
      <c r="RTZ62" s="608"/>
      <c r="RUA62" s="608"/>
      <c r="RUB62" s="608"/>
      <c r="RUC62" s="608"/>
      <c r="RUD62" s="608"/>
      <c r="RUE62" s="608"/>
      <c r="RUF62" s="608"/>
      <c r="RUG62" s="608"/>
      <c r="RUH62" s="608"/>
      <c r="RUI62" s="608"/>
      <c r="RUJ62" s="608"/>
      <c r="RUK62" s="608"/>
      <c r="RUL62" s="608"/>
      <c r="RUM62" s="608"/>
      <c r="RUN62" s="608"/>
      <c r="RUO62" s="608"/>
      <c r="RUP62" s="608"/>
      <c r="RUQ62" s="608"/>
      <c r="RUR62" s="608"/>
      <c r="RUS62" s="608"/>
      <c r="RUT62" s="608"/>
      <c r="RUU62" s="608"/>
      <c r="RUV62" s="608"/>
      <c r="RUW62" s="608"/>
      <c r="RUX62" s="608"/>
      <c r="RUY62" s="608"/>
      <c r="RUZ62" s="608"/>
      <c r="RVA62" s="608"/>
      <c r="RVB62" s="608"/>
      <c r="RVC62" s="608"/>
      <c r="RVD62" s="608"/>
      <c r="RVE62" s="608"/>
      <c r="RVF62" s="608"/>
      <c r="RVG62" s="608"/>
      <c r="RVH62" s="608"/>
      <c r="RVI62" s="608"/>
      <c r="RVJ62" s="608"/>
      <c r="RVK62" s="608"/>
      <c r="RVL62" s="608"/>
      <c r="RVM62" s="608"/>
      <c r="RVN62" s="608"/>
      <c r="RVO62" s="608"/>
      <c r="RVP62" s="608"/>
      <c r="RVQ62" s="608"/>
      <c r="RVR62" s="608"/>
      <c r="RVS62" s="608"/>
      <c r="RVT62" s="608"/>
      <c r="RVU62" s="608"/>
      <c r="RVV62" s="608"/>
      <c r="RVW62" s="608"/>
      <c r="RVX62" s="608"/>
      <c r="RVY62" s="608"/>
      <c r="RVZ62" s="608"/>
      <c r="RWA62" s="608"/>
      <c r="RWB62" s="608"/>
      <c r="RWC62" s="608"/>
      <c r="RWD62" s="608"/>
      <c r="RWE62" s="608"/>
      <c r="RWF62" s="608"/>
      <c r="RWG62" s="608"/>
      <c r="RWH62" s="608"/>
      <c r="RWI62" s="608"/>
      <c r="RWJ62" s="608"/>
      <c r="RWK62" s="608"/>
      <c r="RWL62" s="608"/>
      <c r="RWM62" s="608"/>
      <c r="RWN62" s="608"/>
      <c r="RWO62" s="608"/>
      <c r="RWP62" s="608"/>
      <c r="RWQ62" s="608"/>
      <c r="RWR62" s="608"/>
      <c r="RWS62" s="608"/>
      <c r="RWT62" s="608"/>
      <c r="RWU62" s="608"/>
      <c r="RWV62" s="608"/>
      <c r="RWW62" s="608"/>
      <c r="RWX62" s="608"/>
      <c r="RWY62" s="608"/>
      <c r="RWZ62" s="608"/>
      <c r="RXA62" s="608"/>
      <c r="RXB62" s="608"/>
      <c r="RXC62" s="608"/>
      <c r="RXD62" s="608"/>
      <c r="RXE62" s="608"/>
      <c r="RXF62" s="608"/>
      <c r="RXG62" s="608"/>
      <c r="RXH62" s="608"/>
      <c r="RXI62" s="608"/>
      <c r="RXJ62" s="608"/>
      <c r="RXK62" s="608"/>
      <c r="RXL62" s="608"/>
      <c r="RXM62" s="608"/>
      <c r="RXN62" s="608"/>
      <c r="RXO62" s="608"/>
      <c r="RXP62" s="608"/>
      <c r="RXQ62" s="608"/>
      <c r="RXR62" s="608"/>
      <c r="RXS62" s="608"/>
      <c r="RXT62" s="608"/>
      <c r="RXU62" s="608"/>
      <c r="RXV62" s="608"/>
      <c r="RXW62" s="608"/>
      <c r="RXX62" s="608"/>
      <c r="RXY62" s="608"/>
      <c r="RXZ62" s="608"/>
      <c r="RYA62" s="608"/>
      <c r="RYB62" s="608"/>
      <c r="RYC62" s="608"/>
      <c r="RYD62" s="608"/>
      <c r="RYE62" s="608"/>
      <c r="RYF62" s="608"/>
      <c r="RYG62" s="608"/>
      <c r="RYH62" s="608"/>
      <c r="RYI62" s="608"/>
      <c r="RYJ62" s="608"/>
      <c r="RYK62" s="608"/>
      <c r="RYL62" s="608"/>
      <c r="RYM62" s="608"/>
      <c r="RYN62" s="608"/>
      <c r="RYO62" s="608"/>
      <c r="RYP62" s="608"/>
      <c r="RYQ62" s="608"/>
      <c r="RYR62" s="608"/>
      <c r="RYS62" s="608"/>
      <c r="RYT62" s="608"/>
      <c r="RYU62" s="608"/>
      <c r="RYV62" s="608"/>
      <c r="RYW62" s="608"/>
      <c r="RYX62" s="608"/>
      <c r="RYY62" s="608"/>
      <c r="RYZ62" s="608"/>
      <c r="RZA62" s="608"/>
      <c r="RZB62" s="608"/>
      <c r="RZC62" s="608"/>
      <c r="RZD62" s="608"/>
      <c r="RZE62" s="608"/>
      <c r="RZF62" s="608"/>
      <c r="RZG62" s="608"/>
      <c r="RZH62" s="608"/>
      <c r="RZI62" s="608"/>
      <c r="RZJ62" s="608"/>
      <c r="RZK62" s="608"/>
      <c r="RZL62" s="608"/>
      <c r="RZM62" s="608"/>
      <c r="RZN62" s="608"/>
      <c r="RZO62" s="608"/>
      <c r="RZP62" s="608"/>
      <c r="RZQ62" s="608"/>
      <c r="RZR62" s="608"/>
      <c r="RZS62" s="608"/>
      <c r="RZT62" s="608"/>
      <c r="RZU62" s="608"/>
      <c r="RZV62" s="608"/>
      <c r="RZW62" s="608"/>
      <c r="RZX62" s="608"/>
      <c r="RZY62" s="608"/>
      <c r="RZZ62" s="608"/>
      <c r="SAA62" s="608"/>
      <c r="SAB62" s="608"/>
      <c r="SAC62" s="608"/>
      <c r="SAD62" s="608"/>
      <c r="SAE62" s="608"/>
      <c r="SAF62" s="608"/>
      <c r="SAG62" s="608"/>
      <c r="SAH62" s="608"/>
      <c r="SAI62" s="608"/>
      <c r="SAJ62" s="608"/>
      <c r="SAK62" s="608"/>
      <c r="SAL62" s="608"/>
      <c r="SAM62" s="608"/>
      <c r="SAN62" s="608"/>
      <c r="SAO62" s="608"/>
      <c r="SAP62" s="608"/>
      <c r="SAQ62" s="608"/>
      <c r="SAR62" s="608"/>
      <c r="SAS62" s="608"/>
      <c r="SAT62" s="608"/>
      <c r="SAU62" s="608"/>
      <c r="SAV62" s="608"/>
      <c r="SAW62" s="608"/>
      <c r="SAX62" s="608"/>
      <c r="SAY62" s="608"/>
      <c r="SAZ62" s="608"/>
      <c r="SBA62" s="608"/>
      <c r="SBB62" s="608"/>
      <c r="SBC62" s="608"/>
      <c r="SBD62" s="608"/>
      <c r="SBE62" s="608"/>
      <c r="SBF62" s="608"/>
      <c r="SBG62" s="608"/>
      <c r="SBH62" s="608"/>
      <c r="SBI62" s="608"/>
      <c r="SBJ62" s="608"/>
      <c r="SBK62" s="608"/>
      <c r="SBL62" s="608"/>
      <c r="SBM62" s="608"/>
      <c r="SBN62" s="608"/>
      <c r="SBO62" s="608"/>
      <c r="SBP62" s="608"/>
      <c r="SBQ62" s="608"/>
      <c r="SBR62" s="608"/>
      <c r="SBS62" s="608"/>
      <c r="SBT62" s="608"/>
      <c r="SBU62" s="608"/>
      <c r="SBV62" s="608"/>
      <c r="SBW62" s="608"/>
      <c r="SBX62" s="608"/>
      <c r="SBY62" s="608"/>
      <c r="SBZ62" s="608"/>
      <c r="SCA62" s="608"/>
      <c r="SCB62" s="608"/>
      <c r="SCC62" s="608"/>
      <c r="SCD62" s="608"/>
      <c r="SCE62" s="608"/>
      <c r="SCF62" s="608"/>
      <c r="SCG62" s="608"/>
      <c r="SCH62" s="608"/>
      <c r="SCI62" s="608"/>
      <c r="SCJ62" s="608"/>
      <c r="SCK62" s="608"/>
      <c r="SCL62" s="608"/>
      <c r="SCM62" s="608"/>
      <c r="SCN62" s="608"/>
      <c r="SCO62" s="608"/>
      <c r="SCP62" s="608"/>
      <c r="SCQ62" s="608"/>
      <c r="SCR62" s="608"/>
      <c r="SCS62" s="608"/>
      <c r="SCT62" s="608"/>
      <c r="SCU62" s="608"/>
      <c r="SCV62" s="608"/>
      <c r="SCW62" s="608"/>
      <c r="SCX62" s="608"/>
      <c r="SCY62" s="608"/>
      <c r="SCZ62" s="608"/>
      <c r="SDA62" s="608"/>
      <c r="SDB62" s="608"/>
      <c r="SDC62" s="608"/>
      <c r="SDD62" s="608"/>
      <c r="SDE62" s="608"/>
      <c r="SDF62" s="608"/>
      <c r="SDG62" s="608"/>
      <c r="SDH62" s="608"/>
      <c r="SDI62" s="608"/>
      <c r="SDJ62" s="608"/>
      <c r="SDK62" s="608"/>
      <c r="SDL62" s="608"/>
      <c r="SDM62" s="608"/>
      <c r="SDN62" s="608"/>
      <c r="SDO62" s="608"/>
      <c r="SDP62" s="608"/>
      <c r="SDQ62" s="608"/>
      <c r="SDR62" s="608"/>
      <c r="SDS62" s="608"/>
      <c r="SDT62" s="608"/>
      <c r="SDU62" s="608"/>
      <c r="SDV62" s="608"/>
      <c r="SDW62" s="608"/>
      <c r="SDX62" s="608"/>
      <c r="SDY62" s="608"/>
      <c r="SDZ62" s="608"/>
      <c r="SEA62" s="608"/>
      <c r="SEB62" s="608"/>
      <c r="SEC62" s="608"/>
      <c r="SED62" s="608"/>
      <c r="SEE62" s="608"/>
      <c r="SEF62" s="608"/>
      <c r="SEG62" s="608"/>
      <c r="SEH62" s="608"/>
      <c r="SEI62" s="608"/>
      <c r="SEJ62" s="608"/>
      <c r="SEK62" s="608"/>
      <c r="SEL62" s="608"/>
      <c r="SEM62" s="608"/>
      <c r="SEN62" s="608"/>
      <c r="SEO62" s="608"/>
      <c r="SEP62" s="608"/>
      <c r="SEQ62" s="608"/>
      <c r="SER62" s="608"/>
      <c r="SES62" s="608"/>
      <c r="SET62" s="608"/>
      <c r="SEU62" s="608"/>
      <c r="SEV62" s="608"/>
      <c r="SEW62" s="608"/>
      <c r="SEX62" s="608"/>
      <c r="SEY62" s="608"/>
      <c r="SEZ62" s="608"/>
      <c r="SFA62" s="608"/>
      <c r="SFB62" s="608"/>
      <c r="SFC62" s="608"/>
      <c r="SFD62" s="608"/>
      <c r="SFE62" s="608"/>
      <c r="SFF62" s="608"/>
      <c r="SFG62" s="608"/>
      <c r="SFH62" s="608"/>
      <c r="SFI62" s="608"/>
      <c r="SFJ62" s="608"/>
      <c r="SFK62" s="608"/>
      <c r="SFL62" s="608"/>
      <c r="SFM62" s="608"/>
      <c r="SFN62" s="608"/>
      <c r="SFO62" s="608"/>
      <c r="SFP62" s="608"/>
      <c r="SFQ62" s="608"/>
      <c r="SFR62" s="608"/>
      <c r="SFS62" s="608"/>
      <c r="SFT62" s="608"/>
      <c r="SFU62" s="608"/>
      <c r="SFV62" s="608"/>
      <c r="SFW62" s="608"/>
      <c r="SFX62" s="608"/>
      <c r="SFY62" s="608"/>
      <c r="SFZ62" s="608"/>
      <c r="SGA62" s="608"/>
      <c r="SGB62" s="608"/>
      <c r="SGC62" s="608"/>
      <c r="SGD62" s="608"/>
      <c r="SGE62" s="608"/>
      <c r="SGF62" s="608"/>
      <c r="SGG62" s="608"/>
      <c r="SGH62" s="608"/>
      <c r="SGI62" s="608"/>
      <c r="SGJ62" s="608"/>
      <c r="SGK62" s="608"/>
      <c r="SGL62" s="608"/>
      <c r="SGM62" s="608"/>
      <c r="SGN62" s="608"/>
      <c r="SGO62" s="608"/>
      <c r="SGP62" s="608"/>
      <c r="SGQ62" s="608"/>
      <c r="SGR62" s="608"/>
      <c r="SGS62" s="608"/>
      <c r="SGT62" s="608"/>
      <c r="SGU62" s="608"/>
      <c r="SGV62" s="608"/>
      <c r="SGW62" s="608"/>
      <c r="SGX62" s="608"/>
      <c r="SGY62" s="608"/>
      <c r="SGZ62" s="608"/>
      <c r="SHA62" s="608"/>
      <c r="SHB62" s="608"/>
      <c r="SHC62" s="608"/>
      <c r="SHD62" s="608"/>
      <c r="SHE62" s="608"/>
      <c r="SHF62" s="608"/>
      <c r="SHG62" s="608"/>
      <c r="SHH62" s="608"/>
      <c r="SHI62" s="608"/>
      <c r="SHJ62" s="608"/>
      <c r="SHK62" s="608"/>
      <c r="SHL62" s="608"/>
      <c r="SHM62" s="608"/>
      <c r="SHN62" s="608"/>
      <c r="SHO62" s="608"/>
      <c r="SHP62" s="608"/>
      <c r="SHQ62" s="608"/>
      <c r="SHR62" s="608"/>
      <c r="SHS62" s="608"/>
      <c r="SHT62" s="608"/>
      <c r="SHU62" s="608"/>
      <c r="SHV62" s="608"/>
      <c r="SHW62" s="608"/>
      <c r="SHX62" s="608"/>
      <c r="SHY62" s="608"/>
      <c r="SHZ62" s="608"/>
      <c r="SIA62" s="608"/>
      <c r="SIB62" s="608"/>
      <c r="SIC62" s="608"/>
      <c r="SID62" s="608"/>
      <c r="SIE62" s="608"/>
      <c r="SIF62" s="608"/>
      <c r="SIG62" s="608"/>
      <c r="SIH62" s="608"/>
      <c r="SII62" s="608"/>
      <c r="SIJ62" s="608"/>
      <c r="SIK62" s="608"/>
      <c r="SIL62" s="608"/>
      <c r="SIM62" s="608"/>
      <c r="SIN62" s="608"/>
      <c r="SIO62" s="608"/>
      <c r="SIP62" s="608"/>
      <c r="SIQ62" s="608"/>
      <c r="SIR62" s="608"/>
      <c r="SIS62" s="608"/>
      <c r="SIT62" s="608"/>
      <c r="SIU62" s="608"/>
      <c r="SIV62" s="608"/>
      <c r="SIW62" s="608"/>
      <c r="SIX62" s="608"/>
      <c r="SIY62" s="608"/>
      <c r="SIZ62" s="608"/>
      <c r="SJA62" s="608"/>
      <c r="SJB62" s="608"/>
      <c r="SJC62" s="608"/>
      <c r="SJD62" s="608"/>
      <c r="SJE62" s="608"/>
      <c r="SJF62" s="608"/>
      <c r="SJG62" s="608"/>
      <c r="SJH62" s="608"/>
      <c r="SJI62" s="608"/>
      <c r="SJJ62" s="608"/>
      <c r="SJK62" s="608"/>
      <c r="SJL62" s="608"/>
      <c r="SJM62" s="608"/>
      <c r="SJN62" s="608"/>
      <c r="SJO62" s="608"/>
      <c r="SJP62" s="608"/>
      <c r="SJQ62" s="608"/>
      <c r="SJR62" s="608"/>
      <c r="SJS62" s="608"/>
      <c r="SJT62" s="608"/>
      <c r="SJU62" s="608"/>
      <c r="SJV62" s="608"/>
      <c r="SJW62" s="608"/>
      <c r="SJX62" s="608"/>
      <c r="SJY62" s="608"/>
      <c r="SJZ62" s="608"/>
      <c r="SKA62" s="608"/>
      <c r="SKB62" s="608"/>
      <c r="SKC62" s="608"/>
      <c r="SKD62" s="608"/>
      <c r="SKE62" s="608"/>
      <c r="SKF62" s="608"/>
      <c r="SKG62" s="608"/>
      <c r="SKH62" s="608"/>
      <c r="SKI62" s="608"/>
      <c r="SKJ62" s="608"/>
      <c r="SKK62" s="608"/>
      <c r="SKL62" s="608"/>
      <c r="SKM62" s="608"/>
      <c r="SKN62" s="608"/>
      <c r="SKO62" s="608"/>
      <c r="SKP62" s="608"/>
      <c r="SKQ62" s="608"/>
      <c r="SKR62" s="608"/>
      <c r="SKS62" s="608"/>
      <c r="SKT62" s="608"/>
      <c r="SKU62" s="608"/>
      <c r="SKV62" s="608"/>
      <c r="SKW62" s="608"/>
      <c r="SKX62" s="608"/>
      <c r="SKY62" s="608"/>
      <c r="SKZ62" s="608"/>
      <c r="SLA62" s="608"/>
      <c r="SLB62" s="608"/>
      <c r="SLC62" s="608"/>
      <c r="SLD62" s="608"/>
      <c r="SLE62" s="608"/>
      <c r="SLF62" s="608"/>
      <c r="SLG62" s="608"/>
      <c r="SLH62" s="608"/>
      <c r="SLI62" s="608"/>
      <c r="SLJ62" s="608"/>
      <c r="SLK62" s="608"/>
      <c r="SLL62" s="608"/>
      <c r="SLM62" s="608"/>
      <c r="SLN62" s="608"/>
      <c r="SLO62" s="608"/>
      <c r="SLP62" s="608"/>
      <c r="SLQ62" s="608"/>
      <c r="SLR62" s="608"/>
      <c r="SLS62" s="608"/>
      <c r="SLT62" s="608"/>
      <c r="SLU62" s="608"/>
      <c r="SLV62" s="608"/>
      <c r="SLW62" s="608"/>
      <c r="SLX62" s="608"/>
      <c r="SLY62" s="608"/>
      <c r="SLZ62" s="608"/>
      <c r="SMA62" s="608"/>
      <c r="SMB62" s="608"/>
      <c r="SMC62" s="608"/>
      <c r="SMD62" s="608"/>
      <c r="SME62" s="608"/>
      <c r="SMF62" s="608"/>
      <c r="SMG62" s="608"/>
      <c r="SMH62" s="608"/>
      <c r="SMI62" s="608"/>
      <c r="SMJ62" s="608"/>
      <c r="SMK62" s="608"/>
      <c r="SML62" s="608"/>
      <c r="SMM62" s="608"/>
      <c r="SMN62" s="608"/>
      <c r="SMO62" s="608"/>
      <c r="SMP62" s="608"/>
      <c r="SMQ62" s="608"/>
      <c r="SMR62" s="608"/>
      <c r="SMS62" s="608"/>
      <c r="SMT62" s="608"/>
      <c r="SMU62" s="608"/>
      <c r="SMV62" s="608"/>
      <c r="SMW62" s="608"/>
      <c r="SMX62" s="608"/>
      <c r="SMY62" s="608"/>
      <c r="SMZ62" s="608"/>
      <c r="SNA62" s="608"/>
      <c r="SNB62" s="608"/>
      <c r="SNC62" s="608"/>
      <c r="SND62" s="608"/>
      <c r="SNE62" s="608"/>
      <c r="SNF62" s="608"/>
      <c r="SNG62" s="608"/>
      <c r="SNH62" s="608"/>
      <c r="SNI62" s="608"/>
      <c r="SNJ62" s="608"/>
      <c r="SNK62" s="608"/>
      <c r="SNL62" s="608"/>
      <c r="SNM62" s="608"/>
      <c r="SNN62" s="608"/>
      <c r="SNO62" s="608"/>
      <c r="SNP62" s="608"/>
      <c r="SNQ62" s="608"/>
      <c r="SNR62" s="608"/>
      <c r="SNS62" s="608"/>
      <c r="SNT62" s="608"/>
      <c r="SNU62" s="608"/>
      <c r="SNV62" s="608"/>
      <c r="SNW62" s="608"/>
      <c r="SNX62" s="608"/>
      <c r="SNY62" s="608"/>
      <c r="SNZ62" s="608"/>
      <c r="SOA62" s="608"/>
      <c r="SOB62" s="608"/>
      <c r="SOC62" s="608"/>
      <c r="SOD62" s="608"/>
      <c r="SOE62" s="608"/>
      <c r="SOF62" s="608"/>
      <c r="SOG62" s="608"/>
      <c r="SOH62" s="608"/>
      <c r="SOI62" s="608"/>
      <c r="SOJ62" s="608"/>
      <c r="SOK62" s="608"/>
      <c r="SOL62" s="608"/>
      <c r="SOM62" s="608"/>
      <c r="SON62" s="608"/>
      <c r="SOO62" s="608"/>
      <c r="SOP62" s="608"/>
      <c r="SOQ62" s="608"/>
      <c r="SOR62" s="608"/>
      <c r="SOS62" s="608"/>
      <c r="SOT62" s="608"/>
      <c r="SOU62" s="608"/>
      <c r="SOV62" s="608"/>
      <c r="SOW62" s="608"/>
      <c r="SOX62" s="608"/>
      <c r="SOY62" s="608"/>
      <c r="SOZ62" s="608"/>
      <c r="SPA62" s="608"/>
      <c r="SPB62" s="608"/>
      <c r="SPC62" s="608"/>
      <c r="SPD62" s="608"/>
      <c r="SPE62" s="608"/>
      <c r="SPF62" s="608"/>
      <c r="SPG62" s="608"/>
      <c r="SPH62" s="608"/>
      <c r="SPI62" s="608"/>
      <c r="SPJ62" s="608"/>
      <c r="SPK62" s="608"/>
      <c r="SPL62" s="608"/>
      <c r="SPM62" s="608"/>
      <c r="SPN62" s="608"/>
      <c r="SPO62" s="608"/>
      <c r="SPP62" s="608"/>
      <c r="SPQ62" s="608"/>
      <c r="SPR62" s="608"/>
      <c r="SPS62" s="608"/>
      <c r="SPT62" s="608"/>
      <c r="SPU62" s="608"/>
      <c r="SPV62" s="608"/>
      <c r="SPW62" s="608"/>
      <c r="SPX62" s="608"/>
      <c r="SPY62" s="608"/>
      <c r="SPZ62" s="608"/>
      <c r="SQA62" s="608"/>
      <c r="SQB62" s="608"/>
      <c r="SQC62" s="608"/>
      <c r="SQD62" s="608"/>
      <c r="SQE62" s="608"/>
      <c r="SQF62" s="608"/>
      <c r="SQG62" s="608"/>
      <c r="SQH62" s="608"/>
      <c r="SQI62" s="608"/>
      <c r="SQJ62" s="608"/>
      <c r="SQK62" s="608"/>
      <c r="SQL62" s="608"/>
      <c r="SQM62" s="608"/>
      <c r="SQN62" s="608"/>
      <c r="SQO62" s="608"/>
      <c r="SQP62" s="608"/>
      <c r="SQQ62" s="608"/>
      <c r="SQR62" s="608"/>
      <c r="SQS62" s="608"/>
      <c r="SQT62" s="608"/>
      <c r="SQU62" s="608"/>
      <c r="SQV62" s="608"/>
      <c r="SQW62" s="608"/>
      <c r="SQX62" s="608"/>
      <c r="SQY62" s="608"/>
      <c r="SQZ62" s="608"/>
      <c r="SRA62" s="608"/>
      <c r="SRB62" s="608"/>
      <c r="SRC62" s="608"/>
      <c r="SRD62" s="608"/>
      <c r="SRE62" s="608"/>
      <c r="SRF62" s="608"/>
      <c r="SRG62" s="608"/>
      <c r="SRH62" s="608"/>
      <c r="SRI62" s="608"/>
      <c r="SRJ62" s="608"/>
      <c r="SRK62" s="608"/>
      <c r="SRL62" s="608"/>
      <c r="SRM62" s="608"/>
      <c r="SRN62" s="608"/>
      <c r="SRO62" s="608"/>
      <c r="SRP62" s="608"/>
      <c r="SRQ62" s="608"/>
      <c r="SRR62" s="608"/>
      <c r="SRS62" s="608"/>
      <c r="SRT62" s="608"/>
      <c r="SRU62" s="608"/>
      <c r="SRV62" s="608"/>
      <c r="SRW62" s="608"/>
      <c r="SRX62" s="608"/>
      <c r="SRY62" s="608"/>
      <c r="SRZ62" s="608"/>
      <c r="SSA62" s="608"/>
      <c r="SSB62" s="608"/>
      <c r="SSC62" s="608"/>
      <c r="SSD62" s="608"/>
      <c r="SSE62" s="608"/>
      <c r="SSF62" s="608"/>
      <c r="SSG62" s="608"/>
      <c r="SSH62" s="608"/>
      <c r="SSI62" s="608"/>
      <c r="SSJ62" s="608"/>
      <c r="SSK62" s="608"/>
      <c r="SSL62" s="608"/>
      <c r="SSM62" s="608"/>
      <c r="SSN62" s="608"/>
      <c r="SSO62" s="608"/>
      <c r="SSP62" s="608"/>
      <c r="SSQ62" s="608"/>
      <c r="SSR62" s="608"/>
      <c r="SSS62" s="608"/>
      <c r="SST62" s="608"/>
      <c r="SSU62" s="608"/>
      <c r="SSV62" s="608"/>
      <c r="SSW62" s="608"/>
      <c r="SSX62" s="608"/>
      <c r="SSY62" s="608"/>
      <c r="SSZ62" s="608"/>
      <c r="STA62" s="608"/>
      <c r="STB62" s="608"/>
      <c r="STC62" s="608"/>
      <c r="STD62" s="608"/>
      <c r="STE62" s="608"/>
      <c r="STF62" s="608"/>
      <c r="STG62" s="608"/>
      <c r="STH62" s="608"/>
      <c r="STI62" s="608"/>
      <c r="STJ62" s="608"/>
      <c r="STK62" s="608"/>
      <c r="STL62" s="608"/>
      <c r="STM62" s="608"/>
      <c r="STN62" s="608"/>
      <c r="STO62" s="608"/>
      <c r="STP62" s="608"/>
      <c r="STQ62" s="608"/>
      <c r="STR62" s="608"/>
      <c r="STS62" s="608"/>
      <c r="STT62" s="608"/>
      <c r="STU62" s="608"/>
      <c r="STV62" s="608"/>
      <c r="STW62" s="608"/>
      <c r="STX62" s="608"/>
      <c r="STY62" s="608"/>
      <c r="STZ62" s="608"/>
      <c r="SUA62" s="608"/>
      <c r="SUB62" s="608"/>
      <c r="SUC62" s="608"/>
      <c r="SUD62" s="608"/>
      <c r="SUE62" s="608"/>
      <c r="SUF62" s="608"/>
      <c r="SUG62" s="608"/>
      <c r="SUH62" s="608"/>
      <c r="SUI62" s="608"/>
      <c r="SUJ62" s="608"/>
      <c r="SUK62" s="608"/>
      <c r="SUL62" s="608"/>
      <c r="SUM62" s="608"/>
      <c r="SUN62" s="608"/>
      <c r="SUO62" s="608"/>
      <c r="SUP62" s="608"/>
      <c r="SUQ62" s="608"/>
      <c r="SUR62" s="608"/>
      <c r="SUS62" s="608"/>
      <c r="SUT62" s="608"/>
      <c r="SUU62" s="608"/>
      <c r="SUV62" s="608"/>
      <c r="SUW62" s="608"/>
      <c r="SUX62" s="608"/>
      <c r="SUY62" s="608"/>
      <c r="SUZ62" s="608"/>
      <c r="SVA62" s="608"/>
      <c r="SVB62" s="608"/>
      <c r="SVC62" s="608"/>
      <c r="SVD62" s="608"/>
      <c r="SVE62" s="608"/>
      <c r="SVF62" s="608"/>
      <c r="SVG62" s="608"/>
      <c r="SVH62" s="608"/>
      <c r="SVI62" s="608"/>
      <c r="SVJ62" s="608"/>
      <c r="SVK62" s="608"/>
      <c r="SVL62" s="608"/>
      <c r="SVM62" s="608"/>
      <c r="SVN62" s="608"/>
      <c r="SVO62" s="608"/>
      <c r="SVP62" s="608"/>
      <c r="SVQ62" s="608"/>
      <c r="SVR62" s="608"/>
      <c r="SVS62" s="608"/>
      <c r="SVT62" s="608"/>
      <c r="SVU62" s="608"/>
      <c r="SVV62" s="608"/>
      <c r="SVW62" s="608"/>
      <c r="SVX62" s="608"/>
      <c r="SVY62" s="608"/>
      <c r="SVZ62" s="608"/>
      <c r="SWA62" s="608"/>
      <c r="SWB62" s="608"/>
      <c r="SWC62" s="608"/>
      <c r="SWD62" s="608"/>
      <c r="SWE62" s="608"/>
      <c r="SWF62" s="608"/>
      <c r="SWG62" s="608"/>
      <c r="SWH62" s="608"/>
      <c r="SWI62" s="608"/>
      <c r="SWJ62" s="608"/>
      <c r="SWK62" s="608"/>
      <c r="SWL62" s="608"/>
      <c r="SWM62" s="608"/>
      <c r="SWN62" s="608"/>
      <c r="SWO62" s="608"/>
      <c r="SWP62" s="608"/>
      <c r="SWQ62" s="608"/>
      <c r="SWR62" s="608"/>
      <c r="SWS62" s="608"/>
      <c r="SWT62" s="608"/>
      <c r="SWU62" s="608"/>
      <c r="SWV62" s="608"/>
      <c r="SWW62" s="608"/>
      <c r="SWX62" s="608"/>
      <c r="SWY62" s="608"/>
      <c r="SWZ62" s="608"/>
      <c r="SXA62" s="608"/>
      <c r="SXB62" s="608"/>
      <c r="SXC62" s="608"/>
      <c r="SXD62" s="608"/>
      <c r="SXE62" s="608"/>
      <c r="SXF62" s="608"/>
      <c r="SXG62" s="608"/>
      <c r="SXH62" s="608"/>
      <c r="SXI62" s="608"/>
      <c r="SXJ62" s="608"/>
      <c r="SXK62" s="608"/>
      <c r="SXL62" s="608"/>
      <c r="SXM62" s="608"/>
      <c r="SXN62" s="608"/>
      <c r="SXO62" s="608"/>
      <c r="SXP62" s="608"/>
      <c r="SXQ62" s="608"/>
      <c r="SXR62" s="608"/>
      <c r="SXS62" s="608"/>
      <c r="SXT62" s="608"/>
      <c r="SXU62" s="608"/>
      <c r="SXV62" s="608"/>
      <c r="SXW62" s="608"/>
      <c r="SXX62" s="608"/>
      <c r="SXY62" s="608"/>
      <c r="SXZ62" s="608"/>
      <c r="SYA62" s="608"/>
      <c r="SYB62" s="608"/>
      <c r="SYC62" s="608"/>
      <c r="SYD62" s="608"/>
      <c r="SYE62" s="608"/>
      <c r="SYF62" s="608"/>
      <c r="SYG62" s="608"/>
      <c r="SYH62" s="608"/>
      <c r="SYI62" s="608"/>
      <c r="SYJ62" s="608"/>
      <c r="SYK62" s="608"/>
      <c r="SYL62" s="608"/>
      <c r="SYM62" s="608"/>
      <c r="SYN62" s="608"/>
      <c r="SYO62" s="608"/>
      <c r="SYP62" s="608"/>
      <c r="SYQ62" s="608"/>
      <c r="SYR62" s="608"/>
      <c r="SYS62" s="608"/>
      <c r="SYT62" s="608"/>
      <c r="SYU62" s="608"/>
      <c r="SYV62" s="608"/>
      <c r="SYW62" s="608"/>
      <c r="SYX62" s="608"/>
      <c r="SYY62" s="608"/>
      <c r="SYZ62" s="608"/>
      <c r="SZA62" s="608"/>
      <c r="SZB62" s="608"/>
      <c r="SZC62" s="608"/>
      <c r="SZD62" s="608"/>
      <c r="SZE62" s="608"/>
      <c r="SZF62" s="608"/>
      <c r="SZG62" s="608"/>
      <c r="SZH62" s="608"/>
      <c r="SZI62" s="608"/>
      <c r="SZJ62" s="608"/>
      <c r="SZK62" s="608"/>
      <c r="SZL62" s="608"/>
      <c r="SZM62" s="608"/>
      <c r="SZN62" s="608"/>
      <c r="SZO62" s="608"/>
      <c r="SZP62" s="608"/>
      <c r="SZQ62" s="608"/>
      <c r="SZR62" s="608"/>
      <c r="SZS62" s="608"/>
      <c r="SZT62" s="608"/>
      <c r="SZU62" s="608"/>
      <c r="SZV62" s="608"/>
      <c r="SZW62" s="608"/>
      <c r="SZX62" s="608"/>
      <c r="SZY62" s="608"/>
      <c r="SZZ62" s="608"/>
      <c r="TAA62" s="608"/>
      <c r="TAB62" s="608"/>
      <c r="TAC62" s="608"/>
      <c r="TAD62" s="608"/>
      <c r="TAE62" s="608"/>
      <c r="TAF62" s="608"/>
      <c r="TAG62" s="608"/>
      <c r="TAH62" s="608"/>
      <c r="TAI62" s="608"/>
      <c r="TAJ62" s="608"/>
      <c r="TAK62" s="608"/>
      <c r="TAL62" s="608"/>
      <c r="TAM62" s="608"/>
      <c r="TAN62" s="608"/>
      <c r="TAO62" s="608"/>
      <c r="TAP62" s="608"/>
      <c r="TAQ62" s="608"/>
      <c r="TAR62" s="608"/>
      <c r="TAS62" s="608"/>
      <c r="TAT62" s="608"/>
      <c r="TAU62" s="608"/>
      <c r="TAV62" s="608"/>
      <c r="TAW62" s="608"/>
      <c r="TAX62" s="608"/>
      <c r="TAY62" s="608"/>
      <c r="TAZ62" s="608"/>
      <c r="TBA62" s="608"/>
      <c r="TBB62" s="608"/>
      <c r="TBC62" s="608"/>
      <c r="TBD62" s="608"/>
      <c r="TBE62" s="608"/>
      <c r="TBF62" s="608"/>
      <c r="TBG62" s="608"/>
      <c r="TBH62" s="608"/>
      <c r="TBI62" s="608"/>
      <c r="TBJ62" s="608"/>
      <c r="TBK62" s="608"/>
      <c r="TBL62" s="608"/>
      <c r="TBM62" s="608"/>
      <c r="TBN62" s="608"/>
      <c r="TBO62" s="608"/>
      <c r="TBP62" s="608"/>
      <c r="TBQ62" s="608"/>
      <c r="TBR62" s="608"/>
      <c r="TBS62" s="608"/>
      <c r="TBT62" s="608"/>
      <c r="TBU62" s="608"/>
      <c r="TBV62" s="608"/>
      <c r="TBW62" s="608"/>
      <c r="TBX62" s="608"/>
      <c r="TBY62" s="608"/>
      <c r="TBZ62" s="608"/>
      <c r="TCA62" s="608"/>
      <c r="TCB62" s="608"/>
      <c r="TCC62" s="608"/>
      <c r="TCD62" s="608"/>
      <c r="TCE62" s="608"/>
      <c r="TCF62" s="608"/>
      <c r="TCG62" s="608"/>
      <c r="TCH62" s="608"/>
      <c r="TCI62" s="608"/>
      <c r="TCJ62" s="608"/>
      <c r="TCK62" s="608"/>
      <c r="TCL62" s="608"/>
      <c r="TCM62" s="608"/>
      <c r="TCN62" s="608"/>
      <c r="TCO62" s="608"/>
      <c r="TCP62" s="608"/>
      <c r="TCQ62" s="608"/>
      <c r="TCR62" s="608"/>
      <c r="TCS62" s="608"/>
      <c r="TCT62" s="608"/>
      <c r="TCU62" s="608"/>
      <c r="TCV62" s="608"/>
      <c r="TCW62" s="608"/>
      <c r="TCX62" s="608"/>
      <c r="TCY62" s="608"/>
      <c r="TCZ62" s="608"/>
      <c r="TDA62" s="608"/>
      <c r="TDB62" s="608"/>
      <c r="TDC62" s="608"/>
      <c r="TDD62" s="608"/>
      <c r="TDE62" s="608"/>
      <c r="TDF62" s="608"/>
      <c r="TDG62" s="608"/>
      <c r="TDH62" s="608"/>
      <c r="TDI62" s="608"/>
      <c r="TDJ62" s="608"/>
      <c r="TDK62" s="608"/>
      <c r="TDL62" s="608"/>
      <c r="TDM62" s="608"/>
      <c r="TDN62" s="608"/>
      <c r="TDO62" s="608"/>
      <c r="TDP62" s="608"/>
      <c r="TDQ62" s="608"/>
      <c r="TDR62" s="608"/>
      <c r="TDS62" s="608"/>
      <c r="TDT62" s="608"/>
      <c r="TDU62" s="608"/>
      <c r="TDV62" s="608"/>
      <c r="TDW62" s="608"/>
      <c r="TDX62" s="608"/>
      <c r="TDY62" s="608"/>
      <c r="TDZ62" s="608"/>
      <c r="TEA62" s="608"/>
      <c r="TEB62" s="608"/>
      <c r="TEC62" s="608"/>
      <c r="TED62" s="608"/>
      <c r="TEE62" s="608"/>
      <c r="TEF62" s="608"/>
      <c r="TEG62" s="608"/>
      <c r="TEH62" s="608"/>
      <c r="TEI62" s="608"/>
      <c r="TEJ62" s="608"/>
      <c r="TEK62" s="608"/>
      <c r="TEL62" s="608"/>
      <c r="TEM62" s="608"/>
      <c r="TEN62" s="608"/>
      <c r="TEO62" s="608"/>
      <c r="TEP62" s="608"/>
      <c r="TEQ62" s="608"/>
      <c r="TER62" s="608"/>
      <c r="TES62" s="608"/>
      <c r="TET62" s="608"/>
      <c r="TEU62" s="608"/>
      <c r="TEV62" s="608"/>
      <c r="TEW62" s="608"/>
      <c r="TEX62" s="608"/>
      <c r="TEY62" s="608"/>
      <c r="TEZ62" s="608"/>
      <c r="TFA62" s="608"/>
      <c r="TFB62" s="608"/>
      <c r="TFC62" s="608"/>
      <c r="TFD62" s="608"/>
      <c r="TFE62" s="608"/>
      <c r="TFF62" s="608"/>
      <c r="TFG62" s="608"/>
      <c r="TFH62" s="608"/>
      <c r="TFI62" s="608"/>
      <c r="TFJ62" s="608"/>
      <c r="TFK62" s="608"/>
      <c r="TFL62" s="608"/>
      <c r="TFM62" s="608"/>
      <c r="TFN62" s="608"/>
      <c r="TFO62" s="608"/>
      <c r="TFP62" s="608"/>
      <c r="TFQ62" s="608"/>
      <c r="TFR62" s="608"/>
      <c r="TFS62" s="608"/>
      <c r="TFT62" s="608"/>
      <c r="TFU62" s="608"/>
      <c r="TFV62" s="608"/>
      <c r="TFW62" s="608"/>
      <c r="TFX62" s="608"/>
      <c r="TFY62" s="608"/>
      <c r="TFZ62" s="608"/>
      <c r="TGA62" s="608"/>
      <c r="TGB62" s="608"/>
      <c r="TGC62" s="608"/>
      <c r="TGD62" s="608"/>
      <c r="TGE62" s="608"/>
      <c r="TGF62" s="608"/>
      <c r="TGG62" s="608"/>
      <c r="TGH62" s="608"/>
      <c r="TGI62" s="608"/>
      <c r="TGJ62" s="608"/>
      <c r="TGK62" s="608"/>
      <c r="TGL62" s="608"/>
      <c r="TGM62" s="608"/>
      <c r="TGN62" s="608"/>
      <c r="TGO62" s="608"/>
      <c r="TGP62" s="608"/>
      <c r="TGQ62" s="608"/>
      <c r="TGR62" s="608"/>
      <c r="TGS62" s="608"/>
      <c r="TGT62" s="608"/>
      <c r="TGU62" s="608"/>
      <c r="TGV62" s="608"/>
      <c r="TGW62" s="608"/>
      <c r="TGX62" s="608"/>
      <c r="TGY62" s="608"/>
      <c r="TGZ62" s="608"/>
      <c r="THA62" s="608"/>
      <c r="THB62" s="608"/>
      <c r="THC62" s="608"/>
      <c r="THD62" s="608"/>
      <c r="THE62" s="608"/>
      <c r="THF62" s="608"/>
      <c r="THG62" s="608"/>
      <c r="THH62" s="608"/>
      <c r="THI62" s="608"/>
      <c r="THJ62" s="608"/>
      <c r="THK62" s="608"/>
      <c r="THL62" s="608"/>
      <c r="THM62" s="608"/>
      <c r="THN62" s="608"/>
      <c r="THO62" s="608"/>
      <c r="THP62" s="608"/>
      <c r="THQ62" s="608"/>
      <c r="THR62" s="608"/>
      <c r="THS62" s="608"/>
      <c r="THT62" s="608"/>
      <c r="THU62" s="608"/>
      <c r="THV62" s="608"/>
      <c r="THW62" s="608"/>
      <c r="THX62" s="608"/>
      <c r="THY62" s="608"/>
      <c r="THZ62" s="608"/>
      <c r="TIA62" s="608"/>
      <c r="TIB62" s="608"/>
      <c r="TIC62" s="608"/>
      <c r="TID62" s="608"/>
      <c r="TIE62" s="608"/>
      <c r="TIF62" s="608"/>
      <c r="TIG62" s="608"/>
      <c r="TIH62" s="608"/>
      <c r="TII62" s="608"/>
      <c r="TIJ62" s="608"/>
      <c r="TIK62" s="608"/>
      <c r="TIL62" s="608"/>
      <c r="TIM62" s="608"/>
      <c r="TIN62" s="608"/>
      <c r="TIO62" s="608"/>
      <c r="TIP62" s="608"/>
      <c r="TIQ62" s="608"/>
      <c r="TIR62" s="608"/>
      <c r="TIS62" s="608"/>
      <c r="TIT62" s="608"/>
      <c r="TIU62" s="608"/>
      <c r="TIV62" s="608"/>
      <c r="TIW62" s="608"/>
      <c r="TIX62" s="608"/>
      <c r="TIY62" s="608"/>
      <c r="TIZ62" s="608"/>
      <c r="TJA62" s="608"/>
      <c r="TJB62" s="608"/>
      <c r="TJC62" s="608"/>
      <c r="TJD62" s="608"/>
      <c r="TJE62" s="608"/>
      <c r="TJF62" s="608"/>
      <c r="TJG62" s="608"/>
      <c r="TJH62" s="608"/>
      <c r="TJI62" s="608"/>
      <c r="TJJ62" s="608"/>
      <c r="TJK62" s="608"/>
      <c r="TJL62" s="608"/>
      <c r="TJM62" s="608"/>
      <c r="TJN62" s="608"/>
      <c r="TJO62" s="608"/>
      <c r="TJP62" s="608"/>
      <c r="TJQ62" s="608"/>
      <c r="TJR62" s="608"/>
      <c r="TJS62" s="608"/>
      <c r="TJT62" s="608"/>
      <c r="TJU62" s="608"/>
      <c r="TJV62" s="608"/>
      <c r="TJW62" s="608"/>
      <c r="TJX62" s="608"/>
      <c r="TJY62" s="608"/>
      <c r="TJZ62" s="608"/>
      <c r="TKA62" s="608"/>
      <c r="TKB62" s="608"/>
      <c r="TKC62" s="608"/>
      <c r="TKD62" s="608"/>
      <c r="TKE62" s="608"/>
      <c r="TKF62" s="608"/>
      <c r="TKG62" s="608"/>
      <c r="TKH62" s="608"/>
      <c r="TKI62" s="608"/>
      <c r="TKJ62" s="608"/>
      <c r="TKK62" s="608"/>
      <c r="TKL62" s="608"/>
      <c r="TKM62" s="608"/>
      <c r="TKN62" s="608"/>
      <c r="TKO62" s="608"/>
      <c r="TKP62" s="608"/>
      <c r="TKQ62" s="608"/>
      <c r="TKR62" s="608"/>
      <c r="TKS62" s="608"/>
      <c r="TKT62" s="608"/>
      <c r="TKU62" s="608"/>
      <c r="TKV62" s="608"/>
      <c r="TKW62" s="608"/>
      <c r="TKX62" s="608"/>
      <c r="TKY62" s="608"/>
      <c r="TKZ62" s="608"/>
      <c r="TLA62" s="608"/>
      <c r="TLB62" s="608"/>
      <c r="TLC62" s="608"/>
      <c r="TLD62" s="608"/>
      <c r="TLE62" s="608"/>
      <c r="TLF62" s="608"/>
      <c r="TLG62" s="608"/>
      <c r="TLH62" s="608"/>
      <c r="TLI62" s="608"/>
      <c r="TLJ62" s="608"/>
      <c r="TLK62" s="608"/>
      <c r="TLL62" s="608"/>
      <c r="TLM62" s="608"/>
      <c r="TLN62" s="608"/>
      <c r="TLO62" s="608"/>
      <c r="TLP62" s="608"/>
      <c r="TLQ62" s="608"/>
      <c r="TLR62" s="608"/>
      <c r="TLS62" s="608"/>
      <c r="TLT62" s="608"/>
      <c r="TLU62" s="608"/>
      <c r="TLV62" s="608"/>
      <c r="TLW62" s="608"/>
      <c r="TLX62" s="608"/>
      <c r="TLY62" s="608"/>
      <c r="TLZ62" s="608"/>
      <c r="TMA62" s="608"/>
      <c r="TMB62" s="608"/>
      <c r="TMC62" s="608"/>
      <c r="TMD62" s="608"/>
      <c r="TME62" s="608"/>
      <c r="TMF62" s="608"/>
      <c r="TMG62" s="608"/>
      <c r="TMH62" s="608"/>
      <c r="TMI62" s="608"/>
      <c r="TMJ62" s="608"/>
      <c r="TMK62" s="608"/>
      <c r="TML62" s="608"/>
      <c r="TMM62" s="608"/>
      <c r="TMN62" s="608"/>
      <c r="TMO62" s="608"/>
      <c r="TMP62" s="608"/>
      <c r="TMQ62" s="608"/>
      <c r="TMR62" s="608"/>
      <c r="TMS62" s="608"/>
      <c r="TMT62" s="608"/>
      <c r="TMU62" s="608"/>
      <c r="TMV62" s="608"/>
      <c r="TMW62" s="608"/>
      <c r="TMX62" s="608"/>
      <c r="TMY62" s="608"/>
      <c r="TMZ62" s="608"/>
      <c r="TNA62" s="608"/>
      <c r="TNB62" s="608"/>
      <c r="TNC62" s="608"/>
      <c r="TND62" s="608"/>
      <c r="TNE62" s="608"/>
      <c r="TNF62" s="608"/>
      <c r="TNG62" s="608"/>
      <c r="TNH62" s="608"/>
      <c r="TNI62" s="608"/>
      <c r="TNJ62" s="608"/>
      <c r="TNK62" s="608"/>
      <c r="TNL62" s="608"/>
      <c r="TNM62" s="608"/>
      <c r="TNN62" s="608"/>
      <c r="TNO62" s="608"/>
      <c r="TNP62" s="608"/>
      <c r="TNQ62" s="608"/>
      <c r="TNR62" s="608"/>
      <c r="TNS62" s="608"/>
      <c r="TNT62" s="608"/>
      <c r="TNU62" s="608"/>
      <c r="TNV62" s="608"/>
      <c r="TNW62" s="608"/>
      <c r="TNX62" s="608"/>
      <c r="TNY62" s="608"/>
      <c r="TNZ62" s="608"/>
      <c r="TOA62" s="608"/>
      <c r="TOB62" s="608"/>
      <c r="TOC62" s="608"/>
      <c r="TOD62" s="608"/>
      <c r="TOE62" s="608"/>
      <c r="TOF62" s="608"/>
      <c r="TOG62" s="608"/>
      <c r="TOH62" s="608"/>
      <c r="TOI62" s="608"/>
      <c r="TOJ62" s="608"/>
      <c r="TOK62" s="608"/>
      <c r="TOL62" s="608"/>
      <c r="TOM62" s="608"/>
      <c r="TON62" s="608"/>
      <c r="TOO62" s="608"/>
      <c r="TOP62" s="608"/>
      <c r="TOQ62" s="608"/>
      <c r="TOR62" s="608"/>
      <c r="TOS62" s="608"/>
      <c r="TOT62" s="608"/>
      <c r="TOU62" s="608"/>
      <c r="TOV62" s="608"/>
      <c r="TOW62" s="608"/>
      <c r="TOX62" s="608"/>
      <c r="TOY62" s="608"/>
      <c r="TOZ62" s="608"/>
      <c r="TPA62" s="608"/>
      <c r="TPB62" s="608"/>
      <c r="TPC62" s="608"/>
      <c r="TPD62" s="608"/>
      <c r="TPE62" s="608"/>
      <c r="TPF62" s="608"/>
      <c r="TPG62" s="608"/>
      <c r="TPH62" s="608"/>
      <c r="TPI62" s="608"/>
      <c r="TPJ62" s="608"/>
      <c r="TPK62" s="608"/>
      <c r="TPL62" s="608"/>
      <c r="TPM62" s="608"/>
      <c r="TPN62" s="608"/>
      <c r="TPO62" s="608"/>
      <c r="TPP62" s="608"/>
      <c r="TPQ62" s="608"/>
      <c r="TPR62" s="608"/>
      <c r="TPS62" s="608"/>
      <c r="TPT62" s="608"/>
      <c r="TPU62" s="608"/>
      <c r="TPV62" s="608"/>
      <c r="TPW62" s="608"/>
      <c r="TPX62" s="608"/>
      <c r="TPY62" s="608"/>
      <c r="TPZ62" s="608"/>
      <c r="TQA62" s="608"/>
      <c r="TQB62" s="608"/>
      <c r="TQC62" s="608"/>
      <c r="TQD62" s="608"/>
      <c r="TQE62" s="608"/>
      <c r="TQF62" s="608"/>
      <c r="TQG62" s="608"/>
      <c r="TQH62" s="608"/>
      <c r="TQI62" s="608"/>
      <c r="TQJ62" s="608"/>
      <c r="TQK62" s="608"/>
      <c r="TQL62" s="608"/>
      <c r="TQM62" s="608"/>
      <c r="TQN62" s="608"/>
      <c r="TQO62" s="608"/>
      <c r="TQP62" s="608"/>
      <c r="TQQ62" s="608"/>
      <c r="TQR62" s="608"/>
      <c r="TQS62" s="608"/>
      <c r="TQT62" s="608"/>
      <c r="TQU62" s="608"/>
      <c r="TQV62" s="608"/>
      <c r="TQW62" s="608"/>
      <c r="TQX62" s="608"/>
      <c r="TQY62" s="608"/>
      <c r="TQZ62" s="608"/>
      <c r="TRA62" s="608"/>
      <c r="TRB62" s="608"/>
      <c r="TRC62" s="608"/>
      <c r="TRD62" s="608"/>
      <c r="TRE62" s="608"/>
      <c r="TRF62" s="608"/>
      <c r="TRG62" s="608"/>
      <c r="TRH62" s="608"/>
      <c r="TRI62" s="608"/>
      <c r="TRJ62" s="608"/>
      <c r="TRK62" s="608"/>
      <c r="TRL62" s="608"/>
      <c r="TRM62" s="608"/>
      <c r="TRN62" s="608"/>
      <c r="TRO62" s="608"/>
      <c r="TRP62" s="608"/>
      <c r="TRQ62" s="608"/>
      <c r="TRR62" s="608"/>
      <c r="TRS62" s="608"/>
      <c r="TRT62" s="608"/>
      <c r="TRU62" s="608"/>
      <c r="TRV62" s="608"/>
      <c r="TRW62" s="608"/>
      <c r="TRX62" s="608"/>
      <c r="TRY62" s="608"/>
      <c r="TRZ62" s="608"/>
      <c r="TSA62" s="608"/>
      <c r="TSB62" s="608"/>
      <c r="TSC62" s="608"/>
      <c r="TSD62" s="608"/>
      <c r="TSE62" s="608"/>
      <c r="TSF62" s="608"/>
      <c r="TSG62" s="608"/>
      <c r="TSH62" s="608"/>
      <c r="TSI62" s="608"/>
      <c r="TSJ62" s="608"/>
      <c r="TSK62" s="608"/>
      <c r="TSL62" s="608"/>
      <c r="TSM62" s="608"/>
      <c r="TSN62" s="608"/>
      <c r="TSO62" s="608"/>
      <c r="TSP62" s="608"/>
      <c r="TSQ62" s="608"/>
      <c r="TSR62" s="608"/>
      <c r="TSS62" s="608"/>
      <c r="TST62" s="608"/>
      <c r="TSU62" s="608"/>
      <c r="TSV62" s="608"/>
      <c r="TSW62" s="608"/>
      <c r="TSX62" s="608"/>
      <c r="TSY62" s="608"/>
      <c r="TSZ62" s="608"/>
      <c r="TTA62" s="608"/>
      <c r="TTB62" s="608"/>
      <c r="TTC62" s="608"/>
      <c r="TTD62" s="608"/>
      <c r="TTE62" s="608"/>
      <c r="TTF62" s="608"/>
      <c r="TTG62" s="608"/>
      <c r="TTH62" s="608"/>
      <c r="TTI62" s="608"/>
      <c r="TTJ62" s="608"/>
      <c r="TTK62" s="608"/>
      <c r="TTL62" s="608"/>
      <c r="TTM62" s="608"/>
      <c r="TTN62" s="608"/>
      <c r="TTO62" s="608"/>
      <c r="TTP62" s="608"/>
      <c r="TTQ62" s="608"/>
      <c r="TTR62" s="608"/>
      <c r="TTS62" s="608"/>
      <c r="TTT62" s="608"/>
      <c r="TTU62" s="608"/>
      <c r="TTV62" s="608"/>
      <c r="TTW62" s="608"/>
      <c r="TTX62" s="608"/>
      <c r="TTY62" s="608"/>
      <c r="TTZ62" s="608"/>
      <c r="TUA62" s="608"/>
      <c r="TUB62" s="608"/>
      <c r="TUC62" s="608"/>
      <c r="TUD62" s="608"/>
      <c r="TUE62" s="608"/>
      <c r="TUF62" s="608"/>
      <c r="TUG62" s="608"/>
      <c r="TUH62" s="608"/>
      <c r="TUI62" s="608"/>
      <c r="TUJ62" s="608"/>
      <c r="TUK62" s="608"/>
      <c r="TUL62" s="608"/>
      <c r="TUM62" s="608"/>
      <c r="TUN62" s="608"/>
      <c r="TUO62" s="608"/>
      <c r="TUP62" s="608"/>
      <c r="TUQ62" s="608"/>
      <c r="TUR62" s="608"/>
      <c r="TUS62" s="608"/>
      <c r="TUT62" s="608"/>
      <c r="TUU62" s="608"/>
      <c r="TUV62" s="608"/>
      <c r="TUW62" s="608"/>
      <c r="TUX62" s="608"/>
      <c r="TUY62" s="608"/>
      <c r="TUZ62" s="608"/>
      <c r="TVA62" s="608"/>
      <c r="TVB62" s="608"/>
      <c r="TVC62" s="608"/>
      <c r="TVD62" s="608"/>
      <c r="TVE62" s="608"/>
      <c r="TVF62" s="608"/>
      <c r="TVG62" s="608"/>
      <c r="TVH62" s="608"/>
      <c r="TVI62" s="608"/>
      <c r="TVJ62" s="608"/>
      <c r="TVK62" s="608"/>
      <c r="TVL62" s="608"/>
      <c r="TVM62" s="608"/>
      <c r="TVN62" s="608"/>
      <c r="TVO62" s="608"/>
      <c r="TVP62" s="608"/>
      <c r="TVQ62" s="608"/>
      <c r="TVR62" s="608"/>
      <c r="TVS62" s="608"/>
      <c r="TVT62" s="608"/>
      <c r="TVU62" s="608"/>
      <c r="TVV62" s="608"/>
      <c r="TVW62" s="608"/>
      <c r="TVX62" s="608"/>
      <c r="TVY62" s="608"/>
      <c r="TVZ62" s="608"/>
      <c r="TWA62" s="608"/>
      <c r="TWB62" s="608"/>
      <c r="TWC62" s="608"/>
      <c r="TWD62" s="608"/>
      <c r="TWE62" s="608"/>
      <c r="TWF62" s="608"/>
      <c r="TWG62" s="608"/>
      <c r="TWH62" s="608"/>
      <c r="TWI62" s="608"/>
      <c r="TWJ62" s="608"/>
      <c r="TWK62" s="608"/>
      <c r="TWL62" s="608"/>
      <c r="TWM62" s="608"/>
      <c r="TWN62" s="608"/>
      <c r="TWO62" s="608"/>
      <c r="TWP62" s="608"/>
      <c r="TWQ62" s="608"/>
      <c r="TWR62" s="608"/>
      <c r="TWS62" s="608"/>
      <c r="TWT62" s="608"/>
      <c r="TWU62" s="608"/>
      <c r="TWV62" s="608"/>
      <c r="TWW62" s="608"/>
      <c r="TWX62" s="608"/>
      <c r="TWY62" s="608"/>
      <c r="TWZ62" s="608"/>
      <c r="TXA62" s="608"/>
      <c r="TXB62" s="608"/>
      <c r="TXC62" s="608"/>
      <c r="TXD62" s="608"/>
      <c r="TXE62" s="608"/>
      <c r="TXF62" s="608"/>
      <c r="TXG62" s="608"/>
      <c r="TXH62" s="608"/>
      <c r="TXI62" s="608"/>
      <c r="TXJ62" s="608"/>
      <c r="TXK62" s="608"/>
      <c r="TXL62" s="608"/>
      <c r="TXM62" s="608"/>
      <c r="TXN62" s="608"/>
      <c r="TXO62" s="608"/>
      <c r="TXP62" s="608"/>
      <c r="TXQ62" s="608"/>
      <c r="TXR62" s="608"/>
      <c r="TXS62" s="608"/>
      <c r="TXT62" s="608"/>
      <c r="TXU62" s="608"/>
      <c r="TXV62" s="608"/>
      <c r="TXW62" s="608"/>
      <c r="TXX62" s="608"/>
      <c r="TXY62" s="608"/>
      <c r="TXZ62" s="608"/>
      <c r="TYA62" s="608"/>
      <c r="TYB62" s="608"/>
      <c r="TYC62" s="608"/>
      <c r="TYD62" s="608"/>
      <c r="TYE62" s="608"/>
      <c r="TYF62" s="608"/>
      <c r="TYG62" s="608"/>
      <c r="TYH62" s="608"/>
      <c r="TYI62" s="608"/>
      <c r="TYJ62" s="608"/>
      <c r="TYK62" s="608"/>
      <c r="TYL62" s="608"/>
      <c r="TYM62" s="608"/>
      <c r="TYN62" s="608"/>
      <c r="TYO62" s="608"/>
      <c r="TYP62" s="608"/>
      <c r="TYQ62" s="608"/>
      <c r="TYR62" s="608"/>
      <c r="TYS62" s="608"/>
      <c r="TYT62" s="608"/>
      <c r="TYU62" s="608"/>
      <c r="TYV62" s="608"/>
      <c r="TYW62" s="608"/>
      <c r="TYX62" s="608"/>
      <c r="TYY62" s="608"/>
      <c r="TYZ62" s="608"/>
      <c r="TZA62" s="608"/>
      <c r="TZB62" s="608"/>
      <c r="TZC62" s="608"/>
      <c r="TZD62" s="608"/>
      <c r="TZE62" s="608"/>
      <c r="TZF62" s="608"/>
      <c r="TZG62" s="608"/>
      <c r="TZH62" s="608"/>
      <c r="TZI62" s="608"/>
      <c r="TZJ62" s="608"/>
      <c r="TZK62" s="608"/>
      <c r="TZL62" s="608"/>
      <c r="TZM62" s="608"/>
      <c r="TZN62" s="608"/>
      <c r="TZO62" s="608"/>
      <c r="TZP62" s="608"/>
      <c r="TZQ62" s="608"/>
      <c r="TZR62" s="608"/>
      <c r="TZS62" s="608"/>
      <c r="TZT62" s="608"/>
      <c r="TZU62" s="608"/>
      <c r="TZV62" s="608"/>
      <c r="TZW62" s="608"/>
      <c r="TZX62" s="608"/>
      <c r="TZY62" s="608"/>
      <c r="TZZ62" s="608"/>
      <c r="UAA62" s="608"/>
      <c r="UAB62" s="608"/>
      <c r="UAC62" s="608"/>
      <c r="UAD62" s="608"/>
      <c r="UAE62" s="608"/>
      <c r="UAF62" s="608"/>
      <c r="UAG62" s="608"/>
      <c r="UAH62" s="608"/>
      <c r="UAI62" s="608"/>
      <c r="UAJ62" s="608"/>
      <c r="UAK62" s="608"/>
      <c r="UAL62" s="608"/>
      <c r="UAM62" s="608"/>
      <c r="UAN62" s="608"/>
      <c r="UAO62" s="608"/>
      <c r="UAP62" s="608"/>
      <c r="UAQ62" s="608"/>
      <c r="UAR62" s="608"/>
      <c r="UAS62" s="608"/>
      <c r="UAT62" s="608"/>
      <c r="UAU62" s="608"/>
      <c r="UAV62" s="608"/>
      <c r="UAW62" s="608"/>
      <c r="UAX62" s="608"/>
      <c r="UAY62" s="608"/>
      <c r="UAZ62" s="608"/>
      <c r="UBA62" s="608"/>
      <c r="UBB62" s="608"/>
      <c r="UBC62" s="608"/>
      <c r="UBD62" s="608"/>
      <c r="UBE62" s="608"/>
      <c r="UBF62" s="608"/>
      <c r="UBG62" s="608"/>
      <c r="UBH62" s="608"/>
      <c r="UBI62" s="608"/>
      <c r="UBJ62" s="608"/>
      <c r="UBK62" s="608"/>
      <c r="UBL62" s="608"/>
      <c r="UBM62" s="608"/>
      <c r="UBN62" s="608"/>
      <c r="UBO62" s="608"/>
      <c r="UBP62" s="608"/>
      <c r="UBQ62" s="608"/>
      <c r="UBR62" s="608"/>
      <c r="UBS62" s="608"/>
      <c r="UBT62" s="608"/>
      <c r="UBU62" s="608"/>
      <c r="UBV62" s="608"/>
      <c r="UBW62" s="608"/>
      <c r="UBX62" s="608"/>
      <c r="UBY62" s="608"/>
      <c r="UBZ62" s="608"/>
      <c r="UCA62" s="608"/>
      <c r="UCB62" s="608"/>
      <c r="UCC62" s="608"/>
      <c r="UCD62" s="608"/>
      <c r="UCE62" s="608"/>
      <c r="UCF62" s="608"/>
      <c r="UCG62" s="608"/>
      <c r="UCH62" s="608"/>
      <c r="UCI62" s="608"/>
      <c r="UCJ62" s="608"/>
      <c r="UCK62" s="608"/>
      <c r="UCL62" s="608"/>
      <c r="UCM62" s="608"/>
      <c r="UCN62" s="608"/>
      <c r="UCO62" s="608"/>
      <c r="UCP62" s="608"/>
      <c r="UCQ62" s="608"/>
      <c r="UCR62" s="608"/>
      <c r="UCS62" s="608"/>
      <c r="UCT62" s="608"/>
      <c r="UCU62" s="608"/>
      <c r="UCV62" s="608"/>
      <c r="UCW62" s="608"/>
      <c r="UCX62" s="608"/>
      <c r="UCY62" s="608"/>
      <c r="UCZ62" s="608"/>
      <c r="UDA62" s="608"/>
      <c r="UDB62" s="608"/>
      <c r="UDC62" s="608"/>
      <c r="UDD62" s="608"/>
      <c r="UDE62" s="608"/>
      <c r="UDF62" s="608"/>
      <c r="UDG62" s="608"/>
      <c r="UDH62" s="608"/>
      <c r="UDI62" s="608"/>
      <c r="UDJ62" s="608"/>
      <c r="UDK62" s="608"/>
      <c r="UDL62" s="608"/>
      <c r="UDM62" s="608"/>
      <c r="UDN62" s="608"/>
      <c r="UDO62" s="608"/>
      <c r="UDP62" s="608"/>
      <c r="UDQ62" s="608"/>
      <c r="UDR62" s="608"/>
      <c r="UDS62" s="608"/>
      <c r="UDT62" s="608"/>
      <c r="UDU62" s="608"/>
      <c r="UDV62" s="608"/>
      <c r="UDW62" s="608"/>
      <c r="UDX62" s="608"/>
      <c r="UDY62" s="608"/>
      <c r="UDZ62" s="608"/>
      <c r="UEA62" s="608"/>
      <c r="UEB62" s="608"/>
      <c r="UEC62" s="608"/>
      <c r="UED62" s="608"/>
      <c r="UEE62" s="608"/>
      <c r="UEF62" s="608"/>
      <c r="UEG62" s="608"/>
      <c r="UEH62" s="608"/>
      <c r="UEI62" s="608"/>
      <c r="UEJ62" s="608"/>
      <c r="UEK62" s="608"/>
      <c r="UEL62" s="608"/>
      <c r="UEM62" s="608"/>
      <c r="UEN62" s="608"/>
      <c r="UEO62" s="608"/>
      <c r="UEP62" s="608"/>
      <c r="UEQ62" s="608"/>
      <c r="UER62" s="608"/>
      <c r="UES62" s="608"/>
      <c r="UET62" s="608"/>
      <c r="UEU62" s="608"/>
      <c r="UEV62" s="608"/>
      <c r="UEW62" s="608"/>
      <c r="UEX62" s="608"/>
      <c r="UEY62" s="608"/>
      <c r="UEZ62" s="608"/>
      <c r="UFA62" s="608"/>
      <c r="UFB62" s="608"/>
      <c r="UFC62" s="608"/>
      <c r="UFD62" s="608"/>
      <c r="UFE62" s="608"/>
      <c r="UFF62" s="608"/>
      <c r="UFG62" s="608"/>
      <c r="UFH62" s="608"/>
      <c r="UFI62" s="608"/>
      <c r="UFJ62" s="608"/>
      <c r="UFK62" s="608"/>
      <c r="UFL62" s="608"/>
      <c r="UFM62" s="608"/>
      <c r="UFN62" s="608"/>
      <c r="UFO62" s="608"/>
      <c r="UFP62" s="608"/>
      <c r="UFQ62" s="608"/>
      <c r="UFR62" s="608"/>
      <c r="UFS62" s="608"/>
      <c r="UFT62" s="608"/>
      <c r="UFU62" s="608"/>
      <c r="UFV62" s="608"/>
      <c r="UFW62" s="608"/>
      <c r="UFX62" s="608"/>
      <c r="UFY62" s="608"/>
      <c r="UFZ62" s="608"/>
      <c r="UGA62" s="608"/>
      <c r="UGB62" s="608"/>
      <c r="UGC62" s="608"/>
      <c r="UGD62" s="608"/>
      <c r="UGE62" s="608"/>
      <c r="UGF62" s="608"/>
      <c r="UGG62" s="608"/>
      <c r="UGH62" s="608"/>
      <c r="UGI62" s="608"/>
      <c r="UGJ62" s="608"/>
      <c r="UGK62" s="608"/>
      <c r="UGL62" s="608"/>
      <c r="UGM62" s="608"/>
      <c r="UGN62" s="608"/>
      <c r="UGO62" s="608"/>
      <c r="UGP62" s="608"/>
      <c r="UGQ62" s="608"/>
      <c r="UGR62" s="608"/>
      <c r="UGS62" s="608"/>
      <c r="UGT62" s="608"/>
      <c r="UGU62" s="608"/>
      <c r="UGV62" s="608"/>
      <c r="UGW62" s="608"/>
      <c r="UGX62" s="608"/>
      <c r="UGY62" s="608"/>
      <c r="UGZ62" s="608"/>
      <c r="UHA62" s="608"/>
      <c r="UHB62" s="608"/>
      <c r="UHC62" s="608"/>
      <c r="UHD62" s="608"/>
      <c r="UHE62" s="608"/>
      <c r="UHF62" s="608"/>
      <c r="UHG62" s="608"/>
      <c r="UHH62" s="608"/>
      <c r="UHI62" s="608"/>
      <c r="UHJ62" s="608"/>
      <c r="UHK62" s="608"/>
      <c r="UHL62" s="608"/>
      <c r="UHM62" s="608"/>
      <c r="UHN62" s="608"/>
      <c r="UHO62" s="608"/>
      <c r="UHP62" s="608"/>
      <c r="UHQ62" s="608"/>
      <c r="UHR62" s="608"/>
      <c r="UHS62" s="608"/>
      <c r="UHT62" s="608"/>
      <c r="UHU62" s="608"/>
      <c r="UHV62" s="608"/>
      <c r="UHW62" s="608"/>
      <c r="UHX62" s="608"/>
      <c r="UHY62" s="608"/>
      <c r="UHZ62" s="608"/>
      <c r="UIA62" s="608"/>
      <c r="UIB62" s="608"/>
      <c r="UIC62" s="608"/>
      <c r="UID62" s="608"/>
      <c r="UIE62" s="608"/>
      <c r="UIF62" s="608"/>
      <c r="UIG62" s="608"/>
      <c r="UIH62" s="608"/>
      <c r="UII62" s="608"/>
      <c r="UIJ62" s="608"/>
      <c r="UIK62" s="608"/>
      <c r="UIL62" s="608"/>
      <c r="UIM62" s="608"/>
      <c r="UIN62" s="608"/>
      <c r="UIO62" s="608"/>
      <c r="UIP62" s="608"/>
      <c r="UIQ62" s="608"/>
      <c r="UIR62" s="608"/>
      <c r="UIS62" s="608"/>
      <c r="UIT62" s="608"/>
      <c r="UIU62" s="608"/>
      <c r="UIV62" s="608"/>
      <c r="UIW62" s="608"/>
      <c r="UIX62" s="608"/>
      <c r="UIY62" s="608"/>
      <c r="UIZ62" s="608"/>
      <c r="UJA62" s="608"/>
      <c r="UJB62" s="608"/>
      <c r="UJC62" s="608"/>
      <c r="UJD62" s="608"/>
      <c r="UJE62" s="608"/>
      <c r="UJF62" s="608"/>
      <c r="UJG62" s="608"/>
      <c r="UJH62" s="608"/>
      <c r="UJI62" s="608"/>
      <c r="UJJ62" s="608"/>
      <c r="UJK62" s="608"/>
      <c r="UJL62" s="608"/>
      <c r="UJM62" s="608"/>
      <c r="UJN62" s="608"/>
      <c r="UJO62" s="608"/>
      <c r="UJP62" s="608"/>
      <c r="UJQ62" s="608"/>
      <c r="UJR62" s="608"/>
      <c r="UJS62" s="608"/>
      <c r="UJT62" s="608"/>
      <c r="UJU62" s="608"/>
      <c r="UJV62" s="608"/>
      <c r="UJW62" s="608"/>
      <c r="UJX62" s="608"/>
      <c r="UJY62" s="608"/>
      <c r="UJZ62" s="608"/>
      <c r="UKA62" s="608"/>
      <c r="UKB62" s="608"/>
      <c r="UKC62" s="608"/>
      <c r="UKD62" s="608"/>
      <c r="UKE62" s="608"/>
      <c r="UKF62" s="608"/>
      <c r="UKG62" s="608"/>
      <c r="UKH62" s="608"/>
      <c r="UKI62" s="608"/>
      <c r="UKJ62" s="608"/>
      <c r="UKK62" s="608"/>
      <c r="UKL62" s="608"/>
      <c r="UKM62" s="608"/>
      <c r="UKN62" s="608"/>
      <c r="UKO62" s="608"/>
      <c r="UKP62" s="608"/>
      <c r="UKQ62" s="608"/>
      <c r="UKR62" s="608"/>
      <c r="UKS62" s="608"/>
      <c r="UKT62" s="608"/>
      <c r="UKU62" s="608"/>
      <c r="UKV62" s="608"/>
      <c r="UKW62" s="608"/>
      <c r="UKX62" s="608"/>
      <c r="UKY62" s="608"/>
      <c r="UKZ62" s="608"/>
      <c r="ULA62" s="608"/>
      <c r="ULB62" s="608"/>
      <c r="ULC62" s="608"/>
      <c r="ULD62" s="608"/>
      <c r="ULE62" s="608"/>
      <c r="ULF62" s="608"/>
      <c r="ULG62" s="608"/>
      <c r="ULH62" s="608"/>
      <c r="ULI62" s="608"/>
      <c r="ULJ62" s="608"/>
      <c r="ULK62" s="608"/>
      <c r="ULL62" s="608"/>
      <c r="ULM62" s="608"/>
      <c r="ULN62" s="608"/>
      <c r="ULO62" s="608"/>
      <c r="ULP62" s="608"/>
      <c r="ULQ62" s="608"/>
      <c r="ULR62" s="608"/>
      <c r="ULS62" s="608"/>
      <c r="ULT62" s="608"/>
      <c r="ULU62" s="608"/>
      <c r="ULV62" s="608"/>
      <c r="ULW62" s="608"/>
      <c r="ULX62" s="608"/>
      <c r="ULY62" s="608"/>
      <c r="ULZ62" s="608"/>
      <c r="UMA62" s="608"/>
      <c r="UMB62" s="608"/>
      <c r="UMC62" s="608"/>
      <c r="UMD62" s="608"/>
      <c r="UME62" s="608"/>
      <c r="UMF62" s="608"/>
      <c r="UMG62" s="608"/>
      <c r="UMH62" s="608"/>
      <c r="UMI62" s="608"/>
      <c r="UMJ62" s="608"/>
      <c r="UMK62" s="608"/>
      <c r="UML62" s="608"/>
      <c r="UMM62" s="608"/>
      <c r="UMN62" s="608"/>
      <c r="UMO62" s="608"/>
      <c r="UMP62" s="608"/>
      <c r="UMQ62" s="608"/>
      <c r="UMR62" s="608"/>
      <c r="UMS62" s="608"/>
      <c r="UMT62" s="608"/>
      <c r="UMU62" s="608"/>
      <c r="UMV62" s="608"/>
      <c r="UMW62" s="608"/>
      <c r="UMX62" s="608"/>
      <c r="UMY62" s="608"/>
      <c r="UMZ62" s="608"/>
      <c r="UNA62" s="608"/>
      <c r="UNB62" s="608"/>
      <c r="UNC62" s="608"/>
      <c r="UND62" s="608"/>
      <c r="UNE62" s="608"/>
      <c r="UNF62" s="608"/>
      <c r="UNG62" s="608"/>
      <c r="UNH62" s="608"/>
      <c r="UNI62" s="608"/>
      <c r="UNJ62" s="608"/>
      <c r="UNK62" s="608"/>
      <c r="UNL62" s="608"/>
      <c r="UNM62" s="608"/>
      <c r="UNN62" s="608"/>
      <c r="UNO62" s="608"/>
      <c r="UNP62" s="608"/>
      <c r="UNQ62" s="608"/>
      <c r="UNR62" s="608"/>
      <c r="UNS62" s="608"/>
      <c r="UNT62" s="608"/>
      <c r="UNU62" s="608"/>
      <c r="UNV62" s="608"/>
      <c r="UNW62" s="608"/>
      <c r="UNX62" s="608"/>
      <c r="UNY62" s="608"/>
      <c r="UNZ62" s="608"/>
      <c r="UOA62" s="608"/>
      <c r="UOB62" s="608"/>
      <c r="UOC62" s="608"/>
      <c r="UOD62" s="608"/>
      <c r="UOE62" s="608"/>
      <c r="UOF62" s="608"/>
      <c r="UOG62" s="608"/>
      <c r="UOH62" s="608"/>
      <c r="UOI62" s="608"/>
      <c r="UOJ62" s="608"/>
      <c r="UOK62" s="608"/>
      <c r="UOL62" s="608"/>
      <c r="UOM62" s="608"/>
      <c r="UON62" s="608"/>
      <c r="UOO62" s="608"/>
      <c r="UOP62" s="608"/>
      <c r="UOQ62" s="608"/>
      <c r="UOR62" s="608"/>
      <c r="UOS62" s="608"/>
      <c r="UOT62" s="608"/>
      <c r="UOU62" s="608"/>
      <c r="UOV62" s="608"/>
      <c r="UOW62" s="608"/>
      <c r="UOX62" s="608"/>
      <c r="UOY62" s="608"/>
      <c r="UOZ62" s="608"/>
      <c r="UPA62" s="608"/>
      <c r="UPB62" s="608"/>
      <c r="UPC62" s="608"/>
      <c r="UPD62" s="608"/>
      <c r="UPE62" s="608"/>
      <c r="UPF62" s="608"/>
      <c r="UPG62" s="608"/>
      <c r="UPH62" s="608"/>
      <c r="UPI62" s="608"/>
      <c r="UPJ62" s="608"/>
      <c r="UPK62" s="608"/>
      <c r="UPL62" s="608"/>
      <c r="UPM62" s="608"/>
      <c r="UPN62" s="608"/>
      <c r="UPO62" s="608"/>
      <c r="UPP62" s="608"/>
      <c r="UPQ62" s="608"/>
      <c r="UPR62" s="608"/>
      <c r="UPS62" s="608"/>
      <c r="UPT62" s="608"/>
      <c r="UPU62" s="608"/>
      <c r="UPV62" s="608"/>
      <c r="UPW62" s="608"/>
      <c r="UPX62" s="608"/>
      <c r="UPY62" s="608"/>
      <c r="UPZ62" s="608"/>
      <c r="UQA62" s="608"/>
      <c r="UQB62" s="608"/>
      <c r="UQC62" s="608"/>
      <c r="UQD62" s="608"/>
      <c r="UQE62" s="608"/>
      <c r="UQF62" s="608"/>
      <c r="UQG62" s="608"/>
      <c r="UQH62" s="608"/>
      <c r="UQI62" s="608"/>
      <c r="UQJ62" s="608"/>
      <c r="UQK62" s="608"/>
      <c r="UQL62" s="608"/>
      <c r="UQM62" s="608"/>
      <c r="UQN62" s="608"/>
      <c r="UQO62" s="608"/>
      <c r="UQP62" s="608"/>
      <c r="UQQ62" s="608"/>
      <c r="UQR62" s="608"/>
      <c r="UQS62" s="608"/>
      <c r="UQT62" s="608"/>
      <c r="UQU62" s="608"/>
      <c r="UQV62" s="608"/>
      <c r="UQW62" s="608"/>
      <c r="UQX62" s="608"/>
      <c r="UQY62" s="608"/>
      <c r="UQZ62" s="608"/>
      <c r="URA62" s="608"/>
      <c r="URB62" s="608"/>
      <c r="URC62" s="608"/>
      <c r="URD62" s="608"/>
      <c r="URE62" s="608"/>
      <c r="URF62" s="608"/>
      <c r="URG62" s="608"/>
      <c r="URH62" s="608"/>
      <c r="URI62" s="608"/>
      <c r="URJ62" s="608"/>
      <c r="URK62" s="608"/>
      <c r="URL62" s="608"/>
      <c r="URM62" s="608"/>
      <c r="URN62" s="608"/>
      <c r="URO62" s="608"/>
      <c r="URP62" s="608"/>
      <c r="URQ62" s="608"/>
      <c r="URR62" s="608"/>
      <c r="URS62" s="608"/>
      <c r="URT62" s="608"/>
      <c r="URU62" s="608"/>
      <c r="URV62" s="608"/>
      <c r="URW62" s="608"/>
      <c r="URX62" s="608"/>
      <c r="URY62" s="608"/>
      <c r="URZ62" s="608"/>
      <c r="USA62" s="608"/>
      <c r="USB62" s="608"/>
      <c r="USC62" s="608"/>
      <c r="USD62" s="608"/>
      <c r="USE62" s="608"/>
      <c r="USF62" s="608"/>
      <c r="USG62" s="608"/>
      <c r="USH62" s="608"/>
      <c r="USI62" s="608"/>
      <c r="USJ62" s="608"/>
      <c r="USK62" s="608"/>
      <c r="USL62" s="608"/>
      <c r="USM62" s="608"/>
      <c r="USN62" s="608"/>
      <c r="USO62" s="608"/>
      <c r="USP62" s="608"/>
      <c r="USQ62" s="608"/>
      <c r="USR62" s="608"/>
      <c r="USS62" s="608"/>
      <c r="UST62" s="608"/>
      <c r="USU62" s="608"/>
      <c r="USV62" s="608"/>
      <c r="USW62" s="608"/>
      <c r="USX62" s="608"/>
      <c r="USY62" s="608"/>
      <c r="USZ62" s="608"/>
      <c r="UTA62" s="608"/>
      <c r="UTB62" s="608"/>
      <c r="UTC62" s="608"/>
      <c r="UTD62" s="608"/>
      <c r="UTE62" s="608"/>
      <c r="UTF62" s="608"/>
      <c r="UTG62" s="608"/>
      <c r="UTH62" s="608"/>
      <c r="UTI62" s="608"/>
      <c r="UTJ62" s="608"/>
      <c r="UTK62" s="608"/>
      <c r="UTL62" s="608"/>
      <c r="UTM62" s="608"/>
      <c r="UTN62" s="608"/>
      <c r="UTO62" s="608"/>
      <c r="UTP62" s="608"/>
      <c r="UTQ62" s="608"/>
      <c r="UTR62" s="608"/>
      <c r="UTS62" s="608"/>
      <c r="UTT62" s="608"/>
      <c r="UTU62" s="608"/>
      <c r="UTV62" s="608"/>
      <c r="UTW62" s="608"/>
      <c r="UTX62" s="608"/>
      <c r="UTY62" s="608"/>
      <c r="UTZ62" s="608"/>
      <c r="UUA62" s="608"/>
      <c r="UUB62" s="608"/>
      <c r="UUC62" s="608"/>
      <c r="UUD62" s="608"/>
      <c r="UUE62" s="608"/>
      <c r="UUF62" s="608"/>
      <c r="UUG62" s="608"/>
      <c r="UUH62" s="608"/>
      <c r="UUI62" s="608"/>
      <c r="UUJ62" s="608"/>
      <c r="UUK62" s="608"/>
      <c r="UUL62" s="608"/>
      <c r="UUM62" s="608"/>
      <c r="UUN62" s="608"/>
      <c r="UUO62" s="608"/>
      <c r="UUP62" s="608"/>
      <c r="UUQ62" s="608"/>
      <c r="UUR62" s="608"/>
      <c r="UUS62" s="608"/>
      <c r="UUT62" s="608"/>
      <c r="UUU62" s="608"/>
      <c r="UUV62" s="608"/>
      <c r="UUW62" s="608"/>
      <c r="UUX62" s="608"/>
      <c r="UUY62" s="608"/>
      <c r="UUZ62" s="608"/>
      <c r="UVA62" s="608"/>
      <c r="UVB62" s="608"/>
      <c r="UVC62" s="608"/>
      <c r="UVD62" s="608"/>
      <c r="UVE62" s="608"/>
      <c r="UVF62" s="608"/>
      <c r="UVG62" s="608"/>
      <c r="UVH62" s="608"/>
      <c r="UVI62" s="608"/>
      <c r="UVJ62" s="608"/>
      <c r="UVK62" s="608"/>
      <c r="UVL62" s="608"/>
      <c r="UVM62" s="608"/>
      <c r="UVN62" s="608"/>
      <c r="UVO62" s="608"/>
      <c r="UVP62" s="608"/>
      <c r="UVQ62" s="608"/>
      <c r="UVR62" s="608"/>
      <c r="UVS62" s="608"/>
      <c r="UVT62" s="608"/>
      <c r="UVU62" s="608"/>
      <c r="UVV62" s="608"/>
      <c r="UVW62" s="608"/>
      <c r="UVX62" s="608"/>
      <c r="UVY62" s="608"/>
      <c r="UVZ62" s="608"/>
      <c r="UWA62" s="608"/>
      <c r="UWB62" s="608"/>
      <c r="UWC62" s="608"/>
      <c r="UWD62" s="608"/>
      <c r="UWE62" s="608"/>
      <c r="UWF62" s="608"/>
      <c r="UWG62" s="608"/>
      <c r="UWH62" s="608"/>
      <c r="UWI62" s="608"/>
      <c r="UWJ62" s="608"/>
      <c r="UWK62" s="608"/>
      <c r="UWL62" s="608"/>
      <c r="UWM62" s="608"/>
      <c r="UWN62" s="608"/>
      <c r="UWO62" s="608"/>
      <c r="UWP62" s="608"/>
      <c r="UWQ62" s="608"/>
      <c r="UWR62" s="608"/>
      <c r="UWS62" s="608"/>
      <c r="UWT62" s="608"/>
      <c r="UWU62" s="608"/>
      <c r="UWV62" s="608"/>
      <c r="UWW62" s="608"/>
      <c r="UWX62" s="608"/>
      <c r="UWY62" s="608"/>
      <c r="UWZ62" s="608"/>
      <c r="UXA62" s="608"/>
      <c r="UXB62" s="608"/>
      <c r="UXC62" s="608"/>
      <c r="UXD62" s="608"/>
      <c r="UXE62" s="608"/>
      <c r="UXF62" s="608"/>
      <c r="UXG62" s="608"/>
      <c r="UXH62" s="608"/>
      <c r="UXI62" s="608"/>
      <c r="UXJ62" s="608"/>
      <c r="UXK62" s="608"/>
      <c r="UXL62" s="608"/>
      <c r="UXM62" s="608"/>
      <c r="UXN62" s="608"/>
      <c r="UXO62" s="608"/>
      <c r="UXP62" s="608"/>
      <c r="UXQ62" s="608"/>
      <c r="UXR62" s="608"/>
      <c r="UXS62" s="608"/>
      <c r="UXT62" s="608"/>
      <c r="UXU62" s="608"/>
      <c r="UXV62" s="608"/>
      <c r="UXW62" s="608"/>
      <c r="UXX62" s="608"/>
      <c r="UXY62" s="608"/>
      <c r="UXZ62" s="608"/>
      <c r="UYA62" s="608"/>
      <c r="UYB62" s="608"/>
      <c r="UYC62" s="608"/>
      <c r="UYD62" s="608"/>
      <c r="UYE62" s="608"/>
      <c r="UYF62" s="608"/>
      <c r="UYG62" s="608"/>
      <c r="UYH62" s="608"/>
      <c r="UYI62" s="608"/>
      <c r="UYJ62" s="608"/>
      <c r="UYK62" s="608"/>
      <c r="UYL62" s="608"/>
      <c r="UYM62" s="608"/>
      <c r="UYN62" s="608"/>
      <c r="UYO62" s="608"/>
      <c r="UYP62" s="608"/>
      <c r="UYQ62" s="608"/>
      <c r="UYR62" s="608"/>
      <c r="UYS62" s="608"/>
      <c r="UYT62" s="608"/>
      <c r="UYU62" s="608"/>
      <c r="UYV62" s="608"/>
      <c r="UYW62" s="608"/>
      <c r="UYX62" s="608"/>
      <c r="UYY62" s="608"/>
      <c r="UYZ62" s="608"/>
      <c r="UZA62" s="608"/>
      <c r="UZB62" s="608"/>
      <c r="UZC62" s="608"/>
      <c r="UZD62" s="608"/>
      <c r="UZE62" s="608"/>
      <c r="UZF62" s="608"/>
      <c r="UZG62" s="608"/>
      <c r="UZH62" s="608"/>
      <c r="UZI62" s="608"/>
      <c r="UZJ62" s="608"/>
      <c r="UZK62" s="608"/>
      <c r="UZL62" s="608"/>
      <c r="UZM62" s="608"/>
      <c r="UZN62" s="608"/>
      <c r="UZO62" s="608"/>
      <c r="UZP62" s="608"/>
      <c r="UZQ62" s="608"/>
      <c r="UZR62" s="608"/>
      <c r="UZS62" s="608"/>
      <c r="UZT62" s="608"/>
      <c r="UZU62" s="608"/>
      <c r="UZV62" s="608"/>
      <c r="UZW62" s="608"/>
      <c r="UZX62" s="608"/>
      <c r="UZY62" s="608"/>
      <c r="UZZ62" s="608"/>
      <c r="VAA62" s="608"/>
      <c r="VAB62" s="608"/>
      <c r="VAC62" s="608"/>
      <c r="VAD62" s="608"/>
      <c r="VAE62" s="608"/>
      <c r="VAF62" s="608"/>
      <c r="VAG62" s="608"/>
      <c r="VAH62" s="608"/>
      <c r="VAI62" s="608"/>
      <c r="VAJ62" s="608"/>
      <c r="VAK62" s="608"/>
      <c r="VAL62" s="608"/>
      <c r="VAM62" s="608"/>
      <c r="VAN62" s="608"/>
      <c r="VAO62" s="608"/>
      <c r="VAP62" s="608"/>
      <c r="VAQ62" s="608"/>
      <c r="VAR62" s="608"/>
      <c r="VAS62" s="608"/>
      <c r="VAT62" s="608"/>
      <c r="VAU62" s="608"/>
      <c r="VAV62" s="608"/>
      <c r="VAW62" s="608"/>
      <c r="VAX62" s="608"/>
      <c r="VAY62" s="608"/>
      <c r="VAZ62" s="608"/>
      <c r="VBA62" s="608"/>
      <c r="VBB62" s="608"/>
      <c r="VBC62" s="608"/>
      <c r="VBD62" s="608"/>
      <c r="VBE62" s="608"/>
      <c r="VBF62" s="608"/>
      <c r="VBG62" s="608"/>
      <c r="VBH62" s="608"/>
      <c r="VBI62" s="608"/>
      <c r="VBJ62" s="608"/>
      <c r="VBK62" s="608"/>
      <c r="VBL62" s="608"/>
      <c r="VBM62" s="608"/>
      <c r="VBN62" s="608"/>
      <c r="VBO62" s="608"/>
      <c r="VBP62" s="608"/>
      <c r="VBQ62" s="608"/>
      <c r="VBR62" s="608"/>
      <c r="VBS62" s="608"/>
      <c r="VBT62" s="608"/>
      <c r="VBU62" s="608"/>
      <c r="VBV62" s="608"/>
      <c r="VBW62" s="608"/>
      <c r="VBX62" s="608"/>
      <c r="VBY62" s="608"/>
      <c r="VBZ62" s="608"/>
      <c r="VCA62" s="608"/>
      <c r="VCB62" s="608"/>
      <c r="VCC62" s="608"/>
      <c r="VCD62" s="608"/>
      <c r="VCE62" s="608"/>
      <c r="VCF62" s="608"/>
      <c r="VCG62" s="608"/>
      <c r="VCH62" s="608"/>
      <c r="VCI62" s="608"/>
      <c r="VCJ62" s="608"/>
      <c r="VCK62" s="608"/>
      <c r="VCL62" s="608"/>
      <c r="VCM62" s="608"/>
      <c r="VCN62" s="608"/>
      <c r="VCO62" s="608"/>
      <c r="VCP62" s="608"/>
      <c r="VCQ62" s="608"/>
      <c r="VCR62" s="608"/>
      <c r="VCS62" s="608"/>
      <c r="VCT62" s="608"/>
      <c r="VCU62" s="608"/>
      <c r="VCV62" s="608"/>
      <c r="VCW62" s="608"/>
      <c r="VCX62" s="608"/>
      <c r="VCY62" s="608"/>
      <c r="VCZ62" s="608"/>
      <c r="VDA62" s="608"/>
      <c r="VDB62" s="608"/>
      <c r="VDC62" s="608"/>
      <c r="VDD62" s="608"/>
      <c r="VDE62" s="608"/>
      <c r="VDF62" s="608"/>
      <c r="VDG62" s="608"/>
      <c r="VDH62" s="608"/>
      <c r="VDI62" s="608"/>
      <c r="VDJ62" s="608"/>
      <c r="VDK62" s="608"/>
      <c r="VDL62" s="608"/>
      <c r="VDM62" s="608"/>
      <c r="VDN62" s="608"/>
      <c r="VDO62" s="608"/>
      <c r="VDP62" s="608"/>
      <c r="VDQ62" s="608"/>
      <c r="VDR62" s="608"/>
      <c r="VDS62" s="608"/>
      <c r="VDT62" s="608"/>
      <c r="VDU62" s="608"/>
      <c r="VDV62" s="608"/>
      <c r="VDW62" s="608"/>
      <c r="VDX62" s="608"/>
      <c r="VDY62" s="608"/>
      <c r="VDZ62" s="608"/>
      <c r="VEA62" s="608"/>
      <c r="VEB62" s="608"/>
      <c r="VEC62" s="608"/>
      <c r="VED62" s="608"/>
      <c r="VEE62" s="608"/>
      <c r="VEF62" s="608"/>
      <c r="VEG62" s="608"/>
      <c r="VEH62" s="608"/>
      <c r="VEI62" s="608"/>
      <c r="VEJ62" s="608"/>
      <c r="VEK62" s="608"/>
      <c r="VEL62" s="608"/>
      <c r="VEM62" s="608"/>
      <c r="VEN62" s="608"/>
      <c r="VEO62" s="608"/>
      <c r="VEP62" s="608"/>
      <c r="VEQ62" s="608"/>
      <c r="VER62" s="608"/>
      <c r="VES62" s="608"/>
      <c r="VET62" s="608"/>
      <c r="VEU62" s="608"/>
      <c r="VEV62" s="608"/>
      <c r="VEW62" s="608"/>
      <c r="VEX62" s="608"/>
      <c r="VEY62" s="608"/>
      <c r="VEZ62" s="608"/>
      <c r="VFA62" s="608"/>
      <c r="VFB62" s="608"/>
      <c r="VFC62" s="608"/>
      <c r="VFD62" s="608"/>
      <c r="VFE62" s="608"/>
      <c r="VFF62" s="608"/>
      <c r="VFG62" s="608"/>
      <c r="VFH62" s="608"/>
      <c r="VFI62" s="608"/>
      <c r="VFJ62" s="608"/>
      <c r="VFK62" s="608"/>
      <c r="VFL62" s="608"/>
      <c r="VFM62" s="608"/>
      <c r="VFN62" s="608"/>
      <c r="VFO62" s="608"/>
      <c r="VFP62" s="608"/>
      <c r="VFQ62" s="608"/>
      <c r="VFR62" s="608"/>
      <c r="VFS62" s="608"/>
      <c r="VFT62" s="608"/>
      <c r="VFU62" s="608"/>
      <c r="VFV62" s="608"/>
      <c r="VFW62" s="608"/>
      <c r="VFX62" s="608"/>
      <c r="VFY62" s="608"/>
      <c r="VFZ62" s="608"/>
      <c r="VGA62" s="608"/>
      <c r="VGB62" s="608"/>
      <c r="VGC62" s="608"/>
      <c r="VGD62" s="608"/>
      <c r="VGE62" s="608"/>
      <c r="VGF62" s="608"/>
      <c r="VGG62" s="608"/>
      <c r="VGH62" s="608"/>
      <c r="VGI62" s="608"/>
      <c r="VGJ62" s="608"/>
      <c r="VGK62" s="608"/>
      <c r="VGL62" s="608"/>
      <c r="VGM62" s="608"/>
      <c r="VGN62" s="608"/>
      <c r="VGO62" s="608"/>
      <c r="VGP62" s="608"/>
      <c r="VGQ62" s="608"/>
      <c r="VGR62" s="608"/>
      <c r="VGS62" s="608"/>
      <c r="VGT62" s="608"/>
      <c r="VGU62" s="608"/>
      <c r="VGV62" s="608"/>
      <c r="VGW62" s="608"/>
      <c r="VGX62" s="608"/>
      <c r="VGY62" s="608"/>
      <c r="VGZ62" s="608"/>
      <c r="VHA62" s="608"/>
      <c r="VHB62" s="608"/>
      <c r="VHC62" s="608"/>
      <c r="VHD62" s="608"/>
      <c r="VHE62" s="608"/>
      <c r="VHF62" s="608"/>
      <c r="VHG62" s="608"/>
      <c r="VHH62" s="608"/>
      <c r="VHI62" s="608"/>
      <c r="VHJ62" s="608"/>
      <c r="VHK62" s="608"/>
      <c r="VHL62" s="608"/>
      <c r="VHM62" s="608"/>
      <c r="VHN62" s="608"/>
      <c r="VHO62" s="608"/>
      <c r="VHP62" s="608"/>
      <c r="VHQ62" s="608"/>
      <c r="VHR62" s="608"/>
      <c r="VHS62" s="608"/>
      <c r="VHT62" s="608"/>
      <c r="VHU62" s="608"/>
      <c r="VHV62" s="608"/>
      <c r="VHW62" s="608"/>
      <c r="VHX62" s="608"/>
      <c r="VHY62" s="608"/>
      <c r="VHZ62" s="608"/>
      <c r="VIA62" s="608"/>
      <c r="VIB62" s="608"/>
      <c r="VIC62" s="608"/>
      <c r="VID62" s="608"/>
      <c r="VIE62" s="608"/>
      <c r="VIF62" s="608"/>
      <c r="VIG62" s="608"/>
      <c r="VIH62" s="608"/>
      <c r="VII62" s="608"/>
      <c r="VIJ62" s="608"/>
      <c r="VIK62" s="608"/>
      <c r="VIL62" s="608"/>
      <c r="VIM62" s="608"/>
      <c r="VIN62" s="608"/>
      <c r="VIO62" s="608"/>
      <c r="VIP62" s="608"/>
      <c r="VIQ62" s="608"/>
      <c r="VIR62" s="608"/>
      <c r="VIS62" s="608"/>
      <c r="VIT62" s="608"/>
      <c r="VIU62" s="608"/>
      <c r="VIV62" s="608"/>
      <c r="VIW62" s="608"/>
      <c r="VIX62" s="608"/>
      <c r="VIY62" s="608"/>
      <c r="VIZ62" s="608"/>
      <c r="VJA62" s="608"/>
      <c r="VJB62" s="608"/>
      <c r="VJC62" s="608"/>
      <c r="VJD62" s="608"/>
      <c r="VJE62" s="608"/>
      <c r="VJF62" s="608"/>
      <c r="VJG62" s="608"/>
      <c r="VJH62" s="608"/>
      <c r="VJI62" s="608"/>
      <c r="VJJ62" s="608"/>
      <c r="VJK62" s="608"/>
      <c r="VJL62" s="608"/>
      <c r="VJM62" s="608"/>
      <c r="VJN62" s="608"/>
      <c r="VJO62" s="608"/>
      <c r="VJP62" s="608"/>
      <c r="VJQ62" s="608"/>
      <c r="VJR62" s="608"/>
      <c r="VJS62" s="608"/>
      <c r="VJT62" s="608"/>
      <c r="VJU62" s="608"/>
      <c r="VJV62" s="608"/>
      <c r="VJW62" s="608"/>
      <c r="VJX62" s="608"/>
      <c r="VJY62" s="608"/>
      <c r="VJZ62" s="608"/>
      <c r="VKA62" s="608"/>
      <c r="VKB62" s="608"/>
      <c r="VKC62" s="608"/>
      <c r="VKD62" s="608"/>
      <c r="VKE62" s="608"/>
      <c r="VKF62" s="608"/>
      <c r="VKG62" s="608"/>
      <c r="VKH62" s="608"/>
      <c r="VKI62" s="608"/>
      <c r="VKJ62" s="608"/>
      <c r="VKK62" s="608"/>
      <c r="VKL62" s="608"/>
      <c r="VKM62" s="608"/>
      <c r="VKN62" s="608"/>
      <c r="VKO62" s="608"/>
      <c r="VKP62" s="608"/>
      <c r="VKQ62" s="608"/>
      <c r="VKR62" s="608"/>
      <c r="VKS62" s="608"/>
      <c r="VKT62" s="608"/>
      <c r="VKU62" s="608"/>
      <c r="VKV62" s="608"/>
      <c r="VKW62" s="608"/>
      <c r="VKX62" s="608"/>
      <c r="VKY62" s="608"/>
      <c r="VKZ62" s="608"/>
      <c r="VLA62" s="608"/>
      <c r="VLB62" s="608"/>
      <c r="VLC62" s="608"/>
      <c r="VLD62" s="608"/>
      <c r="VLE62" s="608"/>
      <c r="VLF62" s="608"/>
      <c r="VLG62" s="608"/>
      <c r="VLH62" s="608"/>
      <c r="VLI62" s="608"/>
      <c r="VLJ62" s="608"/>
      <c r="VLK62" s="608"/>
      <c r="VLL62" s="608"/>
      <c r="VLM62" s="608"/>
      <c r="VLN62" s="608"/>
      <c r="VLO62" s="608"/>
      <c r="VLP62" s="608"/>
      <c r="VLQ62" s="608"/>
      <c r="VLR62" s="608"/>
      <c r="VLS62" s="608"/>
      <c r="VLT62" s="608"/>
      <c r="VLU62" s="608"/>
      <c r="VLV62" s="608"/>
      <c r="VLW62" s="608"/>
      <c r="VLX62" s="608"/>
      <c r="VLY62" s="608"/>
      <c r="VLZ62" s="608"/>
      <c r="VMA62" s="608"/>
      <c r="VMB62" s="608"/>
      <c r="VMC62" s="608"/>
      <c r="VMD62" s="608"/>
      <c r="VME62" s="608"/>
      <c r="VMF62" s="608"/>
      <c r="VMG62" s="608"/>
      <c r="VMH62" s="608"/>
      <c r="VMI62" s="608"/>
      <c r="VMJ62" s="608"/>
      <c r="VMK62" s="608"/>
      <c r="VML62" s="608"/>
      <c r="VMM62" s="608"/>
      <c r="VMN62" s="608"/>
      <c r="VMO62" s="608"/>
      <c r="VMP62" s="608"/>
      <c r="VMQ62" s="608"/>
      <c r="VMR62" s="608"/>
      <c r="VMS62" s="608"/>
      <c r="VMT62" s="608"/>
      <c r="VMU62" s="608"/>
      <c r="VMV62" s="608"/>
      <c r="VMW62" s="608"/>
      <c r="VMX62" s="608"/>
      <c r="VMY62" s="608"/>
      <c r="VMZ62" s="608"/>
      <c r="VNA62" s="608"/>
      <c r="VNB62" s="608"/>
      <c r="VNC62" s="608"/>
      <c r="VND62" s="608"/>
      <c r="VNE62" s="608"/>
      <c r="VNF62" s="608"/>
      <c r="VNG62" s="608"/>
      <c r="VNH62" s="608"/>
      <c r="VNI62" s="608"/>
      <c r="VNJ62" s="608"/>
      <c r="VNK62" s="608"/>
      <c r="VNL62" s="608"/>
      <c r="VNM62" s="608"/>
      <c r="VNN62" s="608"/>
      <c r="VNO62" s="608"/>
      <c r="VNP62" s="608"/>
      <c r="VNQ62" s="608"/>
      <c r="VNR62" s="608"/>
      <c r="VNS62" s="608"/>
      <c r="VNT62" s="608"/>
      <c r="VNU62" s="608"/>
      <c r="VNV62" s="608"/>
      <c r="VNW62" s="608"/>
      <c r="VNX62" s="608"/>
      <c r="VNY62" s="608"/>
      <c r="VNZ62" s="608"/>
      <c r="VOA62" s="608"/>
      <c r="VOB62" s="608"/>
      <c r="VOC62" s="608"/>
      <c r="VOD62" s="608"/>
      <c r="VOE62" s="608"/>
      <c r="VOF62" s="608"/>
      <c r="VOG62" s="608"/>
      <c r="VOH62" s="608"/>
      <c r="VOI62" s="608"/>
      <c r="VOJ62" s="608"/>
      <c r="VOK62" s="608"/>
      <c r="VOL62" s="608"/>
      <c r="VOM62" s="608"/>
      <c r="VON62" s="608"/>
      <c r="VOO62" s="608"/>
      <c r="VOP62" s="608"/>
      <c r="VOQ62" s="608"/>
      <c r="VOR62" s="608"/>
      <c r="VOS62" s="608"/>
      <c r="VOT62" s="608"/>
      <c r="VOU62" s="608"/>
      <c r="VOV62" s="608"/>
      <c r="VOW62" s="608"/>
      <c r="VOX62" s="608"/>
      <c r="VOY62" s="608"/>
      <c r="VOZ62" s="608"/>
      <c r="VPA62" s="608"/>
      <c r="VPB62" s="608"/>
      <c r="VPC62" s="608"/>
      <c r="VPD62" s="608"/>
      <c r="VPE62" s="608"/>
      <c r="VPF62" s="608"/>
      <c r="VPG62" s="608"/>
      <c r="VPH62" s="608"/>
      <c r="VPI62" s="608"/>
      <c r="VPJ62" s="608"/>
      <c r="VPK62" s="608"/>
      <c r="VPL62" s="608"/>
      <c r="VPM62" s="608"/>
      <c r="VPN62" s="608"/>
      <c r="VPO62" s="608"/>
      <c r="VPP62" s="608"/>
      <c r="VPQ62" s="608"/>
      <c r="VPR62" s="608"/>
      <c r="VPS62" s="608"/>
      <c r="VPT62" s="608"/>
      <c r="VPU62" s="608"/>
      <c r="VPV62" s="608"/>
      <c r="VPW62" s="608"/>
      <c r="VPX62" s="608"/>
      <c r="VPY62" s="608"/>
      <c r="VPZ62" s="608"/>
      <c r="VQA62" s="608"/>
      <c r="VQB62" s="608"/>
      <c r="VQC62" s="608"/>
      <c r="VQD62" s="608"/>
      <c r="VQE62" s="608"/>
      <c r="VQF62" s="608"/>
      <c r="VQG62" s="608"/>
      <c r="VQH62" s="608"/>
      <c r="VQI62" s="608"/>
      <c r="VQJ62" s="608"/>
      <c r="VQK62" s="608"/>
      <c r="VQL62" s="608"/>
      <c r="VQM62" s="608"/>
      <c r="VQN62" s="608"/>
      <c r="VQO62" s="608"/>
      <c r="VQP62" s="608"/>
      <c r="VQQ62" s="608"/>
      <c r="VQR62" s="608"/>
      <c r="VQS62" s="608"/>
      <c r="VQT62" s="608"/>
      <c r="VQU62" s="608"/>
      <c r="VQV62" s="608"/>
      <c r="VQW62" s="608"/>
      <c r="VQX62" s="608"/>
      <c r="VQY62" s="608"/>
      <c r="VQZ62" s="608"/>
      <c r="VRA62" s="608"/>
      <c r="VRB62" s="608"/>
      <c r="VRC62" s="608"/>
      <c r="VRD62" s="608"/>
      <c r="VRE62" s="608"/>
      <c r="VRF62" s="608"/>
      <c r="VRG62" s="608"/>
      <c r="VRH62" s="608"/>
      <c r="VRI62" s="608"/>
      <c r="VRJ62" s="608"/>
      <c r="VRK62" s="608"/>
      <c r="VRL62" s="608"/>
      <c r="VRM62" s="608"/>
      <c r="VRN62" s="608"/>
      <c r="VRO62" s="608"/>
      <c r="VRP62" s="608"/>
      <c r="VRQ62" s="608"/>
      <c r="VRR62" s="608"/>
      <c r="VRS62" s="608"/>
      <c r="VRT62" s="608"/>
      <c r="VRU62" s="608"/>
      <c r="VRV62" s="608"/>
      <c r="VRW62" s="608"/>
      <c r="VRX62" s="608"/>
      <c r="VRY62" s="608"/>
      <c r="VRZ62" s="608"/>
      <c r="VSA62" s="608"/>
      <c r="VSB62" s="608"/>
      <c r="VSC62" s="608"/>
      <c r="VSD62" s="608"/>
      <c r="VSE62" s="608"/>
      <c r="VSF62" s="608"/>
      <c r="VSG62" s="608"/>
      <c r="VSH62" s="608"/>
      <c r="VSI62" s="608"/>
      <c r="VSJ62" s="608"/>
      <c r="VSK62" s="608"/>
      <c r="VSL62" s="608"/>
      <c r="VSM62" s="608"/>
      <c r="VSN62" s="608"/>
      <c r="VSO62" s="608"/>
      <c r="VSP62" s="608"/>
      <c r="VSQ62" s="608"/>
      <c r="VSR62" s="608"/>
      <c r="VSS62" s="608"/>
      <c r="VST62" s="608"/>
      <c r="VSU62" s="608"/>
      <c r="VSV62" s="608"/>
      <c r="VSW62" s="608"/>
      <c r="VSX62" s="608"/>
      <c r="VSY62" s="608"/>
      <c r="VSZ62" s="608"/>
      <c r="VTA62" s="608"/>
      <c r="VTB62" s="608"/>
      <c r="VTC62" s="608"/>
      <c r="VTD62" s="608"/>
      <c r="VTE62" s="608"/>
      <c r="VTF62" s="608"/>
      <c r="VTG62" s="608"/>
      <c r="VTH62" s="608"/>
      <c r="VTI62" s="608"/>
      <c r="VTJ62" s="608"/>
      <c r="VTK62" s="608"/>
      <c r="VTL62" s="608"/>
      <c r="VTM62" s="608"/>
      <c r="VTN62" s="608"/>
      <c r="VTO62" s="608"/>
      <c r="VTP62" s="608"/>
      <c r="VTQ62" s="608"/>
      <c r="VTR62" s="608"/>
      <c r="VTS62" s="608"/>
      <c r="VTT62" s="608"/>
      <c r="VTU62" s="608"/>
      <c r="VTV62" s="608"/>
      <c r="VTW62" s="608"/>
      <c r="VTX62" s="608"/>
      <c r="VTY62" s="608"/>
      <c r="VTZ62" s="608"/>
      <c r="VUA62" s="608"/>
      <c r="VUB62" s="608"/>
      <c r="VUC62" s="608"/>
      <c r="VUD62" s="608"/>
      <c r="VUE62" s="608"/>
      <c r="VUF62" s="608"/>
      <c r="VUG62" s="608"/>
      <c r="VUH62" s="608"/>
      <c r="VUI62" s="608"/>
      <c r="VUJ62" s="608"/>
      <c r="VUK62" s="608"/>
      <c r="VUL62" s="608"/>
      <c r="VUM62" s="608"/>
      <c r="VUN62" s="608"/>
      <c r="VUO62" s="608"/>
      <c r="VUP62" s="608"/>
      <c r="VUQ62" s="608"/>
      <c r="VUR62" s="608"/>
      <c r="VUS62" s="608"/>
      <c r="VUT62" s="608"/>
      <c r="VUU62" s="608"/>
      <c r="VUV62" s="608"/>
      <c r="VUW62" s="608"/>
      <c r="VUX62" s="608"/>
      <c r="VUY62" s="608"/>
      <c r="VUZ62" s="608"/>
      <c r="VVA62" s="608"/>
      <c r="VVB62" s="608"/>
      <c r="VVC62" s="608"/>
      <c r="VVD62" s="608"/>
      <c r="VVE62" s="608"/>
      <c r="VVF62" s="608"/>
      <c r="VVG62" s="608"/>
      <c r="VVH62" s="608"/>
      <c r="VVI62" s="608"/>
      <c r="VVJ62" s="608"/>
      <c r="VVK62" s="608"/>
      <c r="VVL62" s="608"/>
      <c r="VVM62" s="608"/>
      <c r="VVN62" s="608"/>
      <c r="VVO62" s="608"/>
      <c r="VVP62" s="608"/>
      <c r="VVQ62" s="608"/>
      <c r="VVR62" s="608"/>
      <c r="VVS62" s="608"/>
      <c r="VVT62" s="608"/>
      <c r="VVU62" s="608"/>
      <c r="VVV62" s="608"/>
      <c r="VVW62" s="608"/>
      <c r="VVX62" s="608"/>
      <c r="VVY62" s="608"/>
      <c r="VVZ62" s="608"/>
      <c r="VWA62" s="608"/>
      <c r="VWB62" s="608"/>
      <c r="VWC62" s="608"/>
      <c r="VWD62" s="608"/>
      <c r="VWE62" s="608"/>
      <c r="VWF62" s="608"/>
      <c r="VWG62" s="608"/>
      <c r="VWH62" s="608"/>
      <c r="VWI62" s="608"/>
      <c r="VWJ62" s="608"/>
      <c r="VWK62" s="608"/>
      <c r="VWL62" s="608"/>
      <c r="VWM62" s="608"/>
      <c r="VWN62" s="608"/>
      <c r="VWO62" s="608"/>
      <c r="VWP62" s="608"/>
      <c r="VWQ62" s="608"/>
      <c r="VWR62" s="608"/>
      <c r="VWS62" s="608"/>
      <c r="VWT62" s="608"/>
      <c r="VWU62" s="608"/>
      <c r="VWV62" s="608"/>
      <c r="VWW62" s="608"/>
      <c r="VWX62" s="608"/>
      <c r="VWY62" s="608"/>
      <c r="VWZ62" s="608"/>
      <c r="VXA62" s="608"/>
      <c r="VXB62" s="608"/>
      <c r="VXC62" s="608"/>
      <c r="VXD62" s="608"/>
      <c r="VXE62" s="608"/>
      <c r="VXF62" s="608"/>
      <c r="VXG62" s="608"/>
      <c r="VXH62" s="608"/>
      <c r="VXI62" s="608"/>
      <c r="VXJ62" s="608"/>
      <c r="VXK62" s="608"/>
      <c r="VXL62" s="608"/>
      <c r="VXM62" s="608"/>
      <c r="VXN62" s="608"/>
      <c r="VXO62" s="608"/>
      <c r="VXP62" s="608"/>
      <c r="VXQ62" s="608"/>
      <c r="VXR62" s="608"/>
      <c r="VXS62" s="608"/>
      <c r="VXT62" s="608"/>
      <c r="VXU62" s="608"/>
      <c r="VXV62" s="608"/>
      <c r="VXW62" s="608"/>
      <c r="VXX62" s="608"/>
      <c r="VXY62" s="608"/>
      <c r="VXZ62" s="608"/>
      <c r="VYA62" s="608"/>
      <c r="VYB62" s="608"/>
      <c r="VYC62" s="608"/>
      <c r="VYD62" s="608"/>
      <c r="VYE62" s="608"/>
      <c r="VYF62" s="608"/>
      <c r="VYG62" s="608"/>
      <c r="VYH62" s="608"/>
      <c r="VYI62" s="608"/>
      <c r="VYJ62" s="608"/>
      <c r="VYK62" s="608"/>
      <c r="VYL62" s="608"/>
      <c r="VYM62" s="608"/>
      <c r="VYN62" s="608"/>
      <c r="VYO62" s="608"/>
      <c r="VYP62" s="608"/>
      <c r="VYQ62" s="608"/>
      <c r="VYR62" s="608"/>
      <c r="VYS62" s="608"/>
      <c r="VYT62" s="608"/>
      <c r="VYU62" s="608"/>
      <c r="VYV62" s="608"/>
      <c r="VYW62" s="608"/>
      <c r="VYX62" s="608"/>
      <c r="VYY62" s="608"/>
      <c r="VYZ62" s="608"/>
      <c r="VZA62" s="608"/>
      <c r="VZB62" s="608"/>
      <c r="VZC62" s="608"/>
      <c r="VZD62" s="608"/>
      <c r="VZE62" s="608"/>
      <c r="VZF62" s="608"/>
      <c r="VZG62" s="608"/>
      <c r="VZH62" s="608"/>
      <c r="VZI62" s="608"/>
      <c r="VZJ62" s="608"/>
      <c r="VZK62" s="608"/>
      <c r="VZL62" s="608"/>
      <c r="VZM62" s="608"/>
      <c r="VZN62" s="608"/>
      <c r="VZO62" s="608"/>
      <c r="VZP62" s="608"/>
      <c r="VZQ62" s="608"/>
      <c r="VZR62" s="608"/>
      <c r="VZS62" s="608"/>
      <c r="VZT62" s="608"/>
      <c r="VZU62" s="608"/>
      <c r="VZV62" s="608"/>
      <c r="VZW62" s="608"/>
      <c r="VZX62" s="608"/>
      <c r="VZY62" s="608"/>
      <c r="VZZ62" s="608"/>
      <c r="WAA62" s="608"/>
      <c r="WAB62" s="608"/>
      <c r="WAC62" s="608"/>
      <c r="WAD62" s="608"/>
      <c r="WAE62" s="608"/>
      <c r="WAF62" s="608"/>
      <c r="WAG62" s="608"/>
      <c r="WAH62" s="608"/>
      <c r="WAI62" s="608"/>
      <c r="WAJ62" s="608"/>
      <c r="WAK62" s="608"/>
      <c r="WAL62" s="608"/>
      <c r="WAM62" s="608"/>
      <c r="WAN62" s="608"/>
      <c r="WAO62" s="608"/>
      <c r="WAP62" s="608"/>
      <c r="WAQ62" s="608"/>
      <c r="WAR62" s="608"/>
      <c r="WAS62" s="608"/>
      <c r="WAT62" s="608"/>
      <c r="WAU62" s="608"/>
      <c r="WAV62" s="608"/>
      <c r="WAW62" s="608"/>
      <c r="WAX62" s="608"/>
      <c r="WAY62" s="608"/>
      <c r="WAZ62" s="608"/>
      <c r="WBA62" s="608"/>
      <c r="WBB62" s="608"/>
      <c r="WBC62" s="608"/>
      <c r="WBD62" s="608"/>
      <c r="WBE62" s="608"/>
      <c r="WBF62" s="608"/>
      <c r="WBG62" s="608"/>
      <c r="WBH62" s="608"/>
      <c r="WBI62" s="608"/>
      <c r="WBJ62" s="608"/>
      <c r="WBK62" s="608"/>
      <c r="WBL62" s="608"/>
      <c r="WBM62" s="608"/>
      <c r="WBN62" s="608"/>
      <c r="WBO62" s="608"/>
      <c r="WBP62" s="608"/>
      <c r="WBQ62" s="608"/>
      <c r="WBR62" s="608"/>
      <c r="WBS62" s="608"/>
      <c r="WBT62" s="608"/>
      <c r="WBU62" s="608"/>
      <c r="WBV62" s="608"/>
      <c r="WBW62" s="608"/>
      <c r="WBX62" s="608"/>
      <c r="WBY62" s="608"/>
      <c r="WBZ62" s="608"/>
      <c r="WCA62" s="608"/>
      <c r="WCB62" s="608"/>
      <c r="WCC62" s="608"/>
      <c r="WCD62" s="608"/>
      <c r="WCE62" s="608"/>
      <c r="WCF62" s="608"/>
      <c r="WCG62" s="608"/>
      <c r="WCH62" s="608"/>
      <c r="WCI62" s="608"/>
      <c r="WCJ62" s="608"/>
      <c r="WCK62" s="608"/>
      <c r="WCL62" s="608"/>
      <c r="WCM62" s="608"/>
      <c r="WCN62" s="608"/>
      <c r="WCO62" s="608"/>
      <c r="WCP62" s="608"/>
      <c r="WCQ62" s="608"/>
      <c r="WCR62" s="608"/>
      <c r="WCS62" s="608"/>
      <c r="WCT62" s="608"/>
      <c r="WCU62" s="608"/>
      <c r="WCV62" s="608"/>
      <c r="WCW62" s="608"/>
      <c r="WCX62" s="608"/>
      <c r="WCY62" s="608"/>
      <c r="WCZ62" s="608"/>
      <c r="WDA62" s="608"/>
      <c r="WDB62" s="608"/>
      <c r="WDC62" s="608"/>
      <c r="WDD62" s="608"/>
      <c r="WDE62" s="608"/>
      <c r="WDF62" s="608"/>
      <c r="WDG62" s="608"/>
      <c r="WDH62" s="608"/>
      <c r="WDI62" s="608"/>
      <c r="WDJ62" s="608"/>
      <c r="WDK62" s="608"/>
      <c r="WDL62" s="608"/>
      <c r="WDM62" s="608"/>
      <c r="WDN62" s="608"/>
      <c r="WDO62" s="608"/>
      <c r="WDP62" s="608"/>
      <c r="WDQ62" s="608"/>
      <c r="WDR62" s="608"/>
      <c r="WDS62" s="608"/>
      <c r="WDT62" s="608"/>
      <c r="WDU62" s="608"/>
      <c r="WDV62" s="608"/>
      <c r="WDW62" s="608"/>
      <c r="WDX62" s="608"/>
      <c r="WDY62" s="608"/>
      <c r="WDZ62" s="608"/>
      <c r="WEA62" s="608"/>
      <c r="WEB62" s="608"/>
      <c r="WEC62" s="608"/>
      <c r="WED62" s="608"/>
      <c r="WEE62" s="608"/>
      <c r="WEF62" s="608"/>
      <c r="WEG62" s="608"/>
      <c r="WEH62" s="608"/>
      <c r="WEI62" s="608"/>
      <c r="WEJ62" s="608"/>
      <c r="WEK62" s="608"/>
      <c r="WEL62" s="608"/>
      <c r="WEM62" s="608"/>
      <c r="WEN62" s="608"/>
      <c r="WEO62" s="608"/>
      <c r="WEP62" s="608"/>
      <c r="WEQ62" s="608"/>
      <c r="WER62" s="608"/>
      <c r="WES62" s="608"/>
      <c r="WET62" s="608"/>
      <c r="WEU62" s="608"/>
      <c r="WEV62" s="608"/>
      <c r="WEW62" s="608"/>
      <c r="WEX62" s="608"/>
      <c r="WEY62" s="608"/>
      <c r="WEZ62" s="608"/>
      <c r="WFA62" s="608"/>
      <c r="WFB62" s="608"/>
      <c r="WFC62" s="608"/>
      <c r="WFD62" s="608"/>
      <c r="WFE62" s="608"/>
      <c r="WFF62" s="608"/>
      <c r="WFG62" s="608"/>
      <c r="WFH62" s="608"/>
      <c r="WFI62" s="608"/>
      <c r="WFJ62" s="608"/>
      <c r="WFK62" s="608"/>
      <c r="WFL62" s="608"/>
      <c r="WFM62" s="608"/>
      <c r="WFN62" s="608"/>
      <c r="WFO62" s="608"/>
      <c r="WFP62" s="608"/>
      <c r="WFQ62" s="608"/>
      <c r="WFR62" s="608"/>
      <c r="WFS62" s="608"/>
      <c r="WFT62" s="608"/>
      <c r="WFU62" s="608"/>
      <c r="WFV62" s="608"/>
      <c r="WFW62" s="608"/>
      <c r="WFX62" s="608"/>
      <c r="WFY62" s="608"/>
      <c r="WFZ62" s="608"/>
      <c r="WGA62" s="608"/>
      <c r="WGB62" s="608"/>
      <c r="WGC62" s="608"/>
      <c r="WGD62" s="608"/>
      <c r="WGE62" s="608"/>
      <c r="WGF62" s="608"/>
      <c r="WGG62" s="608"/>
      <c r="WGH62" s="608"/>
      <c r="WGI62" s="608"/>
      <c r="WGJ62" s="608"/>
      <c r="WGK62" s="608"/>
      <c r="WGL62" s="608"/>
      <c r="WGM62" s="608"/>
      <c r="WGN62" s="608"/>
      <c r="WGO62" s="608"/>
      <c r="WGP62" s="608"/>
      <c r="WGQ62" s="608"/>
      <c r="WGR62" s="608"/>
      <c r="WGS62" s="608"/>
      <c r="WGT62" s="608"/>
      <c r="WGU62" s="608"/>
      <c r="WGV62" s="608"/>
      <c r="WGW62" s="608"/>
      <c r="WGX62" s="608"/>
      <c r="WGY62" s="608"/>
      <c r="WGZ62" s="608"/>
      <c r="WHA62" s="608"/>
      <c r="WHB62" s="608"/>
      <c r="WHC62" s="608"/>
      <c r="WHD62" s="608"/>
      <c r="WHE62" s="608"/>
      <c r="WHF62" s="608"/>
      <c r="WHG62" s="608"/>
      <c r="WHH62" s="608"/>
      <c r="WHI62" s="608"/>
      <c r="WHJ62" s="608"/>
      <c r="WHK62" s="608"/>
      <c r="WHL62" s="608"/>
      <c r="WHM62" s="608"/>
      <c r="WHN62" s="608"/>
      <c r="WHO62" s="608"/>
      <c r="WHP62" s="608"/>
      <c r="WHQ62" s="608"/>
      <c r="WHR62" s="608"/>
      <c r="WHS62" s="608"/>
      <c r="WHT62" s="608"/>
      <c r="WHU62" s="608"/>
      <c r="WHV62" s="608"/>
      <c r="WHW62" s="608"/>
      <c r="WHX62" s="608"/>
      <c r="WHY62" s="608"/>
      <c r="WHZ62" s="608"/>
      <c r="WIA62" s="608"/>
      <c r="WIB62" s="608"/>
      <c r="WIC62" s="608"/>
      <c r="WID62" s="608"/>
      <c r="WIE62" s="608"/>
      <c r="WIF62" s="608"/>
      <c r="WIG62" s="608"/>
      <c r="WIH62" s="608"/>
      <c r="WII62" s="608"/>
      <c r="WIJ62" s="608"/>
      <c r="WIK62" s="608"/>
      <c r="WIL62" s="608"/>
      <c r="WIM62" s="608"/>
      <c r="WIN62" s="608"/>
      <c r="WIO62" s="608"/>
      <c r="WIP62" s="608"/>
      <c r="WIQ62" s="608"/>
      <c r="WIR62" s="608"/>
      <c r="WIS62" s="608"/>
      <c r="WIT62" s="608"/>
      <c r="WIU62" s="608"/>
      <c r="WIV62" s="608"/>
      <c r="WIW62" s="608"/>
      <c r="WIX62" s="608"/>
      <c r="WIY62" s="608"/>
      <c r="WIZ62" s="608"/>
      <c r="WJA62" s="608"/>
      <c r="WJB62" s="608"/>
      <c r="WJC62" s="608"/>
      <c r="WJD62" s="608"/>
      <c r="WJE62" s="608"/>
      <c r="WJF62" s="608"/>
      <c r="WJG62" s="608"/>
      <c r="WJH62" s="608"/>
      <c r="WJI62" s="608"/>
      <c r="WJJ62" s="608"/>
      <c r="WJK62" s="608"/>
      <c r="WJL62" s="608"/>
      <c r="WJM62" s="608"/>
      <c r="WJN62" s="608"/>
      <c r="WJO62" s="608"/>
      <c r="WJP62" s="608"/>
      <c r="WJQ62" s="608"/>
      <c r="WJR62" s="608"/>
      <c r="WJS62" s="608"/>
      <c r="WJT62" s="608"/>
      <c r="WJU62" s="608"/>
      <c r="WJV62" s="608"/>
      <c r="WJW62" s="608"/>
      <c r="WJX62" s="608"/>
      <c r="WJY62" s="608"/>
      <c r="WJZ62" s="608"/>
      <c r="WKA62" s="608"/>
      <c r="WKB62" s="608"/>
      <c r="WKC62" s="608"/>
      <c r="WKD62" s="608"/>
      <c r="WKE62" s="608"/>
      <c r="WKF62" s="608"/>
      <c r="WKG62" s="608"/>
      <c r="WKH62" s="608"/>
      <c r="WKI62" s="608"/>
      <c r="WKJ62" s="608"/>
      <c r="WKK62" s="608"/>
      <c r="WKL62" s="608"/>
      <c r="WKM62" s="608"/>
      <c r="WKN62" s="608"/>
      <c r="WKO62" s="608"/>
      <c r="WKP62" s="608"/>
      <c r="WKQ62" s="608"/>
      <c r="WKR62" s="608"/>
      <c r="WKS62" s="608"/>
      <c r="WKT62" s="608"/>
      <c r="WKU62" s="608"/>
      <c r="WKV62" s="608"/>
      <c r="WKW62" s="608"/>
      <c r="WKX62" s="608"/>
      <c r="WKY62" s="608"/>
      <c r="WKZ62" s="608"/>
      <c r="WLA62" s="608"/>
      <c r="WLB62" s="608"/>
      <c r="WLC62" s="608"/>
      <c r="WLD62" s="608"/>
      <c r="WLE62" s="608"/>
      <c r="WLF62" s="608"/>
      <c r="WLG62" s="608"/>
      <c r="WLH62" s="608"/>
      <c r="WLI62" s="608"/>
      <c r="WLJ62" s="608"/>
      <c r="WLK62" s="608"/>
      <c r="WLL62" s="608"/>
      <c r="WLM62" s="608"/>
      <c r="WLN62" s="608"/>
      <c r="WLO62" s="608"/>
      <c r="WLP62" s="608"/>
      <c r="WLQ62" s="608"/>
      <c r="WLR62" s="608"/>
      <c r="WLS62" s="608"/>
      <c r="WLT62" s="608"/>
      <c r="WLU62" s="608"/>
      <c r="WLV62" s="608"/>
      <c r="WLW62" s="608"/>
      <c r="WLX62" s="608"/>
      <c r="WLY62" s="608"/>
      <c r="WLZ62" s="608"/>
      <c r="WMA62" s="608"/>
      <c r="WMB62" s="608"/>
      <c r="WMC62" s="608"/>
      <c r="WMD62" s="608"/>
      <c r="WME62" s="608"/>
      <c r="WMF62" s="608"/>
      <c r="WMG62" s="608"/>
      <c r="WMH62" s="608"/>
      <c r="WMI62" s="608"/>
      <c r="WMJ62" s="608"/>
      <c r="WMK62" s="608"/>
      <c r="WML62" s="608"/>
      <c r="WMM62" s="608"/>
      <c r="WMN62" s="608"/>
      <c r="WMO62" s="608"/>
      <c r="WMP62" s="608"/>
      <c r="WMQ62" s="608"/>
      <c r="WMR62" s="608"/>
      <c r="WMS62" s="608"/>
      <c r="WMT62" s="608"/>
      <c r="WMU62" s="608"/>
      <c r="WMV62" s="608"/>
      <c r="WMW62" s="608"/>
      <c r="WMX62" s="608"/>
      <c r="WMY62" s="608"/>
      <c r="WMZ62" s="608"/>
      <c r="WNA62" s="608"/>
      <c r="WNB62" s="608"/>
      <c r="WNC62" s="608"/>
      <c r="WND62" s="608"/>
      <c r="WNE62" s="608"/>
      <c r="WNF62" s="608"/>
      <c r="WNG62" s="608"/>
      <c r="WNH62" s="608"/>
      <c r="WNI62" s="608"/>
      <c r="WNJ62" s="608"/>
      <c r="WNK62" s="608"/>
      <c r="WNL62" s="608"/>
      <c r="WNM62" s="608"/>
      <c r="WNN62" s="608"/>
      <c r="WNO62" s="608"/>
      <c r="WNP62" s="608"/>
      <c r="WNQ62" s="608"/>
      <c r="WNR62" s="608"/>
      <c r="WNS62" s="608"/>
      <c r="WNT62" s="608"/>
      <c r="WNU62" s="608"/>
      <c r="WNV62" s="608"/>
      <c r="WNW62" s="608"/>
      <c r="WNX62" s="608"/>
      <c r="WNY62" s="608"/>
      <c r="WNZ62" s="608"/>
      <c r="WOA62" s="608"/>
      <c r="WOB62" s="608"/>
      <c r="WOC62" s="608"/>
      <c r="WOD62" s="608"/>
      <c r="WOE62" s="608"/>
      <c r="WOF62" s="608"/>
      <c r="WOG62" s="608"/>
      <c r="WOH62" s="608"/>
      <c r="WOI62" s="608"/>
      <c r="WOJ62" s="608"/>
      <c r="WOK62" s="608"/>
      <c r="WOL62" s="608"/>
      <c r="WOM62" s="608"/>
      <c r="WON62" s="608"/>
      <c r="WOO62" s="608"/>
      <c r="WOP62" s="608"/>
      <c r="WOQ62" s="608"/>
      <c r="WOR62" s="608"/>
      <c r="WOS62" s="608"/>
      <c r="WOT62" s="608"/>
      <c r="WOU62" s="608"/>
      <c r="WOV62" s="608"/>
      <c r="WOW62" s="608"/>
      <c r="WOX62" s="608"/>
      <c r="WOY62" s="608"/>
      <c r="WOZ62" s="608"/>
      <c r="WPA62" s="608"/>
      <c r="WPB62" s="608"/>
      <c r="WPC62" s="608"/>
      <c r="WPD62" s="608"/>
      <c r="WPE62" s="608"/>
      <c r="WPF62" s="608"/>
      <c r="WPG62" s="608"/>
      <c r="WPH62" s="608"/>
      <c r="WPI62" s="608"/>
      <c r="WPJ62" s="608"/>
      <c r="WPK62" s="608"/>
      <c r="WPL62" s="608"/>
      <c r="WPM62" s="608"/>
      <c r="WPN62" s="608"/>
      <c r="WPO62" s="608"/>
      <c r="WPP62" s="608"/>
      <c r="WPQ62" s="608"/>
      <c r="WPR62" s="608"/>
      <c r="WPS62" s="608"/>
      <c r="WPT62" s="608"/>
      <c r="WPU62" s="608"/>
      <c r="WPV62" s="608"/>
      <c r="WPW62" s="608"/>
      <c r="WPX62" s="608"/>
      <c r="WPY62" s="608"/>
      <c r="WPZ62" s="608"/>
      <c r="WQA62" s="608"/>
      <c r="WQB62" s="608"/>
      <c r="WQC62" s="608"/>
      <c r="WQD62" s="608"/>
      <c r="WQE62" s="608"/>
      <c r="WQF62" s="608"/>
      <c r="WQG62" s="608"/>
      <c r="WQH62" s="608"/>
      <c r="WQI62" s="608"/>
      <c r="WQJ62" s="608"/>
      <c r="WQK62" s="608"/>
      <c r="WQL62" s="608"/>
      <c r="WQM62" s="608"/>
      <c r="WQN62" s="608"/>
      <c r="WQO62" s="608"/>
      <c r="WQP62" s="608"/>
      <c r="WQQ62" s="608"/>
      <c r="WQR62" s="608"/>
      <c r="WQS62" s="608"/>
      <c r="WQT62" s="608"/>
      <c r="WQU62" s="608"/>
      <c r="WQV62" s="608"/>
      <c r="WQW62" s="608"/>
      <c r="WQX62" s="608"/>
      <c r="WQY62" s="608"/>
      <c r="WQZ62" s="608"/>
      <c r="WRA62" s="608"/>
      <c r="WRB62" s="608"/>
      <c r="WRC62" s="608"/>
      <c r="WRD62" s="608"/>
      <c r="WRE62" s="608"/>
      <c r="WRF62" s="608"/>
      <c r="WRG62" s="608"/>
      <c r="WRH62" s="608"/>
      <c r="WRI62" s="608"/>
      <c r="WRJ62" s="608"/>
      <c r="WRK62" s="608"/>
      <c r="WRL62" s="608"/>
      <c r="WRM62" s="608"/>
      <c r="WRN62" s="608"/>
      <c r="WRO62" s="608"/>
      <c r="WRP62" s="608"/>
      <c r="WRQ62" s="608"/>
      <c r="WRR62" s="608"/>
      <c r="WRS62" s="608"/>
      <c r="WRT62" s="608"/>
      <c r="WRU62" s="608"/>
      <c r="WRV62" s="608"/>
      <c r="WRW62" s="608"/>
      <c r="WRX62" s="608"/>
      <c r="WRY62" s="608"/>
      <c r="WRZ62" s="608"/>
      <c r="WSA62" s="608"/>
      <c r="WSB62" s="608"/>
      <c r="WSC62" s="608"/>
      <c r="WSD62" s="608"/>
      <c r="WSE62" s="608"/>
      <c r="WSF62" s="608"/>
      <c r="WSG62" s="608"/>
      <c r="WSH62" s="608"/>
      <c r="WSI62" s="608"/>
      <c r="WSJ62" s="608"/>
      <c r="WSK62" s="608"/>
      <c r="WSL62" s="608"/>
      <c r="WSM62" s="608"/>
      <c r="WSN62" s="608"/>
      <c r="WSO62" s="608"/>
      <c r="WSP62" s="608"/>
      <c r="WSQ62" s="608"/>
      <c r="WSR62" s="608"/>
      <c r="WSS62" s="608"/>
      <c r="WST62" s="608"/>
      <c r="WSU62" s="608"/>
      <c r="WSV62" s="608"/>
      <c r="WSW62" s="608"/>
      <c r="WSX62" s="608"/>
      <c r="WSY62" s="608"/>
      <c r="WSZ62" s="608"/>
      <c r="WTA62" s="608"/>
      <c r="WTB62" s="608"/>
      <c r="WTC62" s="608"/>
      <c r="WTD62" s="608"/>
      <c r="WTE62" s="608"/>
      <c r="WTF62" s="608"/>
      <c r="WTG62" s="608"/>
      <c r="WTH62" s="608"/>
      <c r="WTI62" s="608"/>
      <c r="WTJ62" s="608"/>
      <c r="WTK62" s="608"/>
      <c r="WTL62" s="608"/>
      <c r="WTM62" s="608"/>
      <c r="WTN62" s="608"/>
      <c r="WTO62" s="608"/>
      <c r="WTP62" s="608"/>
      <c r="WTQ62" s="608"/>
      <c r="WTR62" s="608"/>
      <c r="WTS62" s="608"/>
      <c r="WTT62" s="608"/>
      <c r="WTU62" s="608"/>
      <c r="WTV62" s="608"/>
      <c r="WTW62" s="608"/>
      <c r="WTX62" s="608"/>
      <c r="WTY62" s="608"/>
      <c r="WTZ62" s="608"/>
      <c r="WUA62" s="608"/>
      <c r="WUB62" s="608"/>
      <c r="WUC62" s="608"/>
      <c r="WUD62" s="608"/>
      <c r="WUE62" s="608"/>
      <c r="WUF62" s="608"/>
      <c r="WUG62" s="608"/>
      <c r="WUH62" s="608"/>
      <c r="WUI62" s="608"/>
      <c r="WUJ62" s="608"/>
      <c r="WUK62" s="608"/>
      <c r="WUL62" s="608"/>
      <c r="WUM62" s="608"/>
      <c r="WUN62" s="608"/>
      <c r="WUO62" s="608"/>
      <c r="WUP62" s="608"/>
      <c r="WUQ62" s="608"/>
      <c r="WUR62" s="608"/>
      <c r="WUS62" s="608"/>
      <c r="WUT62" s="608"/>
      <c r="WUU62" s="608"/>
      <c r="WUV62" s="608"/>
      <c r="WUW62" s="608"/>
      <c r="WUX62" s="608"/>
      <c r="WUY62" s="608"/>
      <c r="WUZ62" s="608"/>
      <c r="WVA62" s="608"/>
      <c r="WVB62" s="608"/>
      <c r="WVC62" s="608"/>
      <c r="WVD62" s="608"/>
      <c r="WVE62" s="608"/>
      <c r="WVF62" s="608"/>
      <c r="WVG62" s="608"/>
      <c r="WVH62" s="608"/>
      <c r="WVI62" s="608"/>
      <c r="WVJ62" s="608"/>
      <c r="WVK62" s="608"/>
      <c r="WVL62" s="608"/>
      <c r="WVM62" s="608"/>
      <c r="WVN62" s="608"/>
      <c r="WVO62" s="608"/>
      <c r="WVP62" s="608"/>
      <c r="WVQ62" s="608"/>
      <c r="WVR62" s="608"/>
      <c r="WVS62" s="608"/>
      <c r="WVT62" s="608"/>
      <c r="WVU62" s="608"/>
      <c r="WVV62" s="608"/>
      <c r="WVW62" s="608"/>
      <c r="WVX62" s="608"/>
      <c r="WVY62" s="608"/>
      <c r="WVZ62" s="608"/>
      <c r="WWA62" s="608"/>
      <c r="WWB62" s="608"/>
      <c r="WWC62" s="608"/>
      <c r="WWD62" s="608"/>
      <c r="WWE62" s="608"/>
      <c r="WWF62" s="608"/>
      <c r="WWG62" s="608"/>
      <c r="WWH62" s="608"/>
      <c r="WWI62" s="608"/>
      <c r="WWJ62" s="608"/>
      <c r="WWK62" s="608"/>
      <c r="WWL62" s="608"/>
      <c r="WWM62" s="608"/>
      <c r="WWN62" s="608"/>
      <c r="WWO62" s="608"/>
      <c r="WWP62" s="608"/>
      <c r="WWQ62" s="608"/>
      <c r="WWR62" s="608"/>
      <c r="WWS62" s="608"/>
      <c r="WWT62" s="608"/>
      <c r="WWU62" s="608"/>
      <c r="WWV62" s="608"/>
      <c r="WWW62" s="608"/>
      <c r="WWX62" s="608"/>
      <c r="WWY62" s="608"/>
      <c r="WWZ62" s="608"/>
      <c r="WXA62" s="608"/>
      <c r="WXB62" s="608"/>
      <c r="WXC62" s="608"/>
      <c r="WXD62" s="608"/>
      <c r="WXE62" s="608"/>
      <c r="WXF62" s="608"/>
      <c r="WXG62" s="608"/>
      <c r="WXH62" s="608"/>
      <c r="WXI62" s="608"/>
      <c r="WXJ62" s="608"/>
      <c r="WXK62" s="608"/>
      <c r="WXL62" s="608"/>
      <c r="WXM62" s="608"/>
      <c r="WXN62" s="608"/>
      <c r="WXO62" s="608"/>
      <c r="WXP62" s="608"/>
      <c r="WXQ62" s="608"/>
      <c r="WXR62" s="608"/>
      <c r="WXS62" s="608"/>
      <c r="WXT62" s="608"/>
      <c r="WXU62" s="608"/>
      <c r="WXV62" s="608"/>
      <c r="WXW62" s="608"/>
      <c r="WXX62" s="608"/>
      <c r="WXY62" s="608"/>
      <c r="WXZ62" s="608"/>
      <c r="WYA62" s="608"/>
      <c r="WYB62" s="608"/>
      <c r="WYC62" s="608"/>
      <c r="WYD62" s="608"/>
      <c r="WYE62" s="608"/>
      <c r="WYF62" s="608"/>
      <c r="WYG62" s="608"/>
      <c r="WYH62" s="608"/>
      <c r="WYI62" s="608"/>
      <c r="WYJ62" s="608"/>
      <c r="WYK62" s="608"/>
      <c r="WYL62" s="608"/>
      <c r="WYM62" s="608"/>
      <c r="WYN62" s="608"/>
      <c r="WYO62" s="608"/>
      <c r="WYP62" s="608"/>
      <c r="WYQ62" s="608"/>
      <c r="WYR62" s="608"/>
      <c r="WYS62" s="608"/>
      <c r="WYT62" s="608"/>
      <c r="WYU62" s="608"/>
      <c r="WYV62" s="608"/>
      <c r="WYW62" s="608"/>
      <c r="WYX62" s="608"/>
      <c r="WYY62" s="608"/>
      <c r="WYZ62" s="608"/>
      <c r="WZA62" s="608"/>
      <c r="WZB62" s="608"/>
      <c r="WZC62" s="608"/>
      <c r="WZD62" s="608"/>
      <c r="WZE62" s="608"/>
      <c r="WZF62" s="608"/>
      <c r="WZG62" s="608"/>
      <c r="WZH62" s="608"/>
      <c r="WZI62" s="608"/>
      <c r="WZJ62" s="608"/>
      <c r="WZK62" s="608"/>
      <c r="WZL62" s="608"/>
      <c r="WZM62" s="608"/>
      <c r="WZN62" s="608"/>
      <c r="WZO62" s="608"/>
      <c r="WZP62" s="608"/>
      <c r="WZQ62" s="608"/>
      <c r="WZR62" s="608"/>
      <c r="WZS62" s="608"/>
      <c r="WZT62" s="608"/>
      <c r="WZU62" s="608"/>
      <c r="WZV62" s="608"/>
      <c r="WZW62" s="608"/>
      <c r="WZX62" s="608"/>
      <c r="WZY62" s="608"/>
      <c r="WZZ62" s="608"/>
      <c r="XAA62" s="608"/>
      <c r="XAB62" s="608"/>
      <c r="XAC62" s="608"/>
      <c r="XAD62" s="608"/>
      <c r="XAE62" s="608"/>
      <c r="XAF62" s="608"/>
      <c r="XAG62" s="608"/>
      <c r="XAH62" s="608"/>
      <c r="XAI62" s="608"/>
      <c r="XAJ62" s="608"/>
      <c r="XAK62" s="608"/>
      <c r="XAL62" s="608"/>
      <c r="XAM62" s="608"/>
      <c r="XAN62" s="608"/>
      <c r="XAO62" s="608"/>
      <c r="XAP62" s="608"/>
      <c r="XAQ62" s="608"/>
      <c r="XAR62" s="608"/>
      <c r="XAS62" s="608"/>
      <c r="XAT62" s="608"/>
      <c r="XAU62" s="608"/>
      <c r="XAV62" s="608"/>
      <c r="XAW62" s="608"/>
      <c r="XAX62" s="608"/>
      <c r="XAY62" s="608"/>
      <c r="XAZ62" s="608"/>
      <c r="XBA62" s="608"/>
      <c r="XBB62" s="608"/>
      <c r="XBC62" s="608"/>
      <c r="XBD62" s="608"/>
      <c r="XBE62" s="608"/>
      <c r="XBF62" s="608"/>
      <c r="XBG62" s="608"/>
      <c r="XBH62" s="608"/>
      <c r="XBI62" s="608"/>
      <c r="XBJ62" s="608"/>
      <c r="XBK62" s="608"/>
      <c r="XBL62" s="608"/>
      <c r="XBM62" s="608"/>
      <c r="XBN62" s="608"/>
      <c r="XBO62" s="608"/>
      <c r="XBP62" s="608"/>
      <c r="XBQ62" s="608"/>
      <c r="XBR62" s="608"/>
      <c r="XBS62" s="608"/>
      <c r="XBT62" s="608"/>
      <c r="XBU62" s="608"/>
      <c r="XBV62" s="608"/>
      <c r="XBW62" s="608"/>
      <c r="XBX62" s="608"/>
      <c r="XBY62" s="608"/>
      <c r="XBZ62" s="608"/>
      <c r="XCA62" s="608"/>
      <c r="XCB62" s="608"/>
      <c r="XCC62" s="608"/>
      <c r="XCD62" s="608"/>
      <c r="XCE62" s="608"/>
      <c r="XCF62" s="608"/>
      <c r="XCG62" s="608"/>
      <c r="XCH62" s="608"/>
      <c r="XCI62" s="608"/>
      <c r="XCJ62" s="608"/>
      <c r="XCK62" s="608"/>
      <c r="XCL62" s="608"/>
      <c r="XCM62" s="608"/>
      <c r="XCN62" s="608"/>
      <c r="XCO62" s="608"/>
      <c r="XCP62" s="608"/>
      <c r="XCQ62" s="608"/>
      <c r="XCR62" s="608"/>
      <c r="XCS62" s="608"/>
      <c r="XCT62" s="608"/>
      <c r="XCU62" s="608"/>
      <c r="XCV62" s="608"/>
      <c r="XCW62" s="608"/>
      <c r="XCX62" s="608"/>
      <c r="XCY62" s="608"/>
      <c r="XCZ62" s="608"/>
      <c r="XDA62" s="608"/>
      <c r="XDB62" s="608"/>
      <c r="XDC62" s="608"/>
      <c r="XDD62" s="608"/>
      <c r="XDE62" s="608"/>
      <c r="XDF62" s="608"/>
      <c r="XDG62" s="608"/>
      <c r="XDH62" s="608"/>
      <c r="XDI62" s="608"/>
      <c r="XDJ62" s="608"/>
      <c r="XDK62" s="608"/>
      <c r="XDL62" s="608"/>
      <c r="XDM62" s="608"/>
      <c r="XDN62" s="608"/>
      <c r="XDO62" s="608"/>
      <c r="XDP62" s="608"/>
      <c r="XDQ62" s="608"/>
      <c r="XDR62" s="608"/>
      <c r="XDS62" s="608"/>
      <c r="XDT62" s="608"/>
      <c r="XDU62" s="608"/>
      <c r="XDV62" s="608"/>
      <c r="XDW62" s="608"/>
      <c r="XDX62" s="608"/>
      <c r="XDY62" s="608"/>
      <c r="XDZ62" s="608"/>
      <c r="XEA62" s="608"/>
      <c r="XEB62" s="608"/>
      <c r="XEC62" s="608"/>
      <c r="XED62" s="608"/>
      <c r="XEE62" s="608"/>
      <c r="XEF62" s="608"/>
      <c r="XEG62" s="608"/>
      <c r="XEH62" s="608"/>
      <c r="XEI62" s="608"/>
      <c r="XEJ62" s="608"/>
      <c r="XEK62" s="608"/>
      <c r="XEL62" s="608"/>
      <c r="XEM62" s="608"/>
      <c r="XEN62" s="608"/>
      <c r="XEO62" s="608"/>
      <c r="XEP62" s="608"/>
      <c r="XEQ62" s="608"/>
      <c r="XER62" s="608"/>
      <c r="XES62" s="608"/>
      <c r="XET62" s="608"/>
      <c r="XEU62" s="608"/>
      <c r="XEV62" s="608"/>
      <c r="XEW62" s="608"/>
      <c r="XEX62" s="608"/>
      <c r="XEY62" s="608"/>
      <c r="XEZ62" s="615"/>
      <c r="XFA62" s="615"/>
      <c r="XFB62" s="615"/>
      <c r="XFC62" s="615"/>
      <c r="XFD62" s="615"/>
    </row>
    <row r="63" s="609" customFormat="1" spans="1:18">
      <c r="A63" s="609" t="s">
        <v>2155</v>
      </c>
      <c r="B63" s="609" t="s">
        <v>2156</v>
      </c>
      <c r="C63" s="609" t="s">
        <v>2096</v>
      </c>
      <c r="D63" s="609">
        <v>32742.57</v>
      </c>
      <c r="E63" s="609">
        <v>73016</v>
      </c>
      <c r="F63" s="609" t="s">
        <v>2157</v>
      </c>
      <c r="G63" s="609" t="s">
        <v>1930</v>
      </c>
      <c r="H63" s="609" t="s">
        <v>2113</v>
      </c>
      <c r="I63" s="609" t="s">
        <v>2147</v>
      </c>
      <c r="J63" s="609" t="s">
        <v>2158</v>
      </c>
      <c r="K63" s="613">
        <v>44343.0004976852</v>
      </c>
      <c r="L63" s="609" t="s">
        <v>1932</v>
      </c>
      <c r="M63" s="609" t="s">
        <v>2159</v>
      </c>
      <c r="N63" s="609">
        <v>309500</v>
      </c>
      <c r="O63" s="609">
        <v>6301.68</v>
      </c>
      <c r="P63" s="609">
        <v>42388</v>
      </c>
      <c r="Q63" s="609">
        <v>5.09</v>
      </c>
      <c r="R63" s="609" t="s">
        <v>2150</v>
      </c>
    </row>
    <row r="64" s="609" customFormat="1" spans="1:18">
      <c r="A64" s="609" t="s">
        <v>2160</v>
      </c>
      <c r="B64" s="609" t="s">
        <v>2161</v>
      </c>
      <c r="C64" s="609" t="s">
        <v>2096</v>
      </c>
      <c r="D64" s="609">
        <v>41608.92</v>
      </c>
      <c r="E64" s="609">
        <v>110813.27</v>
      </c>
      <c r="F64" s="609" t="s">
        <v>2162</v>
      </c>
      <c r="G64" s="609" t="s">
        <v>1930</v>
      </c>
      <c r="H64" s="609" t="s">
        <v>2163</v>
      </c>
      <c r="I64" s="609" t="s">
        <v>2147</v>
      </c>
      <c r="J64" s="609" t="s">
        <v>2164</v>
      </c>
      <c r="K64" s="613">
        <v>44327.0004976852</v>
      </c>
      <c r="L64" s="609" t="s">
        <v>1932</v>
      </c>
      <c r="M64" s="609" t="s">
        <v>2165</v>
      </c>
      <c r="N64" s="609">
        <v>644000</v>
      </c>
      <c r="O64" s="609">
        <v>10318.3</v>
      </c>
      <c r="P64" s="609">
        <v>58116</v>
      </c>
      <c r="Q64" s="609">
        <v>4.55</v>
      </c>
      <c r="R64" s="609" t="s">
        <v>2150</v>
      </c>
    </row>
    <row r="65" s="609" customFormat="1" spans="1:18">
      <c r="A65" s="609" t="s">
        <v>2166</v>
      </c>
      <c r="B65" s="609" t="s">
        <v>2167</v>
      </c>
      <c r="C65" s="609" t="s">
        <v>2096</v>
      </c>
      <c r="D65" s="609">
        <v>101127.8</v>
      </c>
      <c r="E65" s="609">
        <v>155908</v>
      </c>
      <c r="F65" s="609" t="s">
        <v>2168</v>
      </c>
      <c r="G65" s="609" t="s">
        <v>1930</v>
      </c>
      <c r="H65" s="609" t="s">
        <v>2169</v>
      </c>
      <c r="I65" s="609" t="s">
        <v>2170</v>
      </c>
      <c r="J65" s="609" t="s">
        <v>2107</v>
      </c>
      <c r="K65" s="613">
        <v>44195.0004976852</v>
      </c>
      <c r="L65" s="609" t="s">
        <v>1932</v>
      </c>
      <c r="M65" s="609" t="s">
        <v>2171</v>
      </c>
      <c r="N65" s="609">
        <v>555600</v>
      </c>
      <c r="O65" s="609">
        <v>3662.69</v>
      </c>
      <c r="P65" s="609">
        <v>35636</v>
      </c>
      <c r="Q65" s="609">
        <v>0</v>
      </c>
      <c r="R65" s="609" t="s">
        <v>2150</v>
      </c>
    </row>
    <row r="66" s="609" customFormat="1" spans="1:18">
      <c r="A66" s="609" t="s">
        <v>2172</v>
      </c>
      <c r="B66" s="609" t="s">
        <v>2173</v>
      </c>
      <c r="C66" s="609" t="s">
        <v>2096</v>
      </c>
      <c r="D66" s="609">
        <v>73884.72</v>
      </c>
      <c r="E66" s="609">
        <v>267169.69</v>
      </c>
      <c r="F66" s="609" t="s">
        <v>2174</v>
      </c>
      <c r="G66" s="609" t="s">
        <v>1930</v>
      </c>
      <c r="H66" s="609" t="s">
        <v>2175</v>
      </c>
      <c r="I66" s="609" t="s">
        <v>2170</v>
      </c>
      <c r="J66" s="609" t="s">
        <v>2107</v>
      </c>
      <c r="K66" s="613">
        <v>44076.0004976852</v>
      </c>
      <c r="L66" s="609" t="s">
        <v>1932</v>
      </c>
      <c r="M66" s="609" t="s">
        <v>2176</v>
      </c>
      <c r="N66" s="609">
        <v>697800</v>
      </c>
      <c r="O66" s="609">
        <v>6296.3</v>
      </c>
      <c r="P66" s="609">
        <v>26118</v>
      </c>
      <c r="Q66" s="609">
        <v>0</v>
      </c>
      <c r="R66" s="609" t="s">
        <v>2150</v>
      </c>
    </row>
    <row r="67" s="609" customFormat="1" spans="1:18">
      <c r="A67" s="609" t="s">
        <v>2177</v>
      </c>
      <c r="B67" s="609" t="s">
        <v>2178</v>
      </c>
      <c r="C67" s="609" t="s">
        <v>2096</v>
      </c>
      <c r="D67" s="609">
        <v>20188.58</v>
      </c>
      <c r="E67" s="609">
        <v>48528</v>
      </c>
      <c r="F67" s="609" t="s">
        <v>2179</v>
      </c>
      <c r="G67" s="609" t="s">
        <v>1930</v>
      </c>
      <c r="H67" s="609" t="s">
        <v>2180</v>
      </c>
      <c r="I67" s="609" t="s">
        <v>2170</v>
      </c>
      <c r="J67" s="609" t="s">
        <v>2122</v>
      </c>
      <c r="K67" s="613">
        <v>43966.0004976852</v>
      </c>
      <c r="L67" s="609" t="s">
        <v>1932</v>
      </c>
      <c r="M67" s="609" t="s">
        <v>2181</v>
      </c>
      <c r="N67" s="609">
        <v>205500</v>
      </c>
      <c r="O67" s="609">
        <v>6786.01</v>
      </c>
      <c r="P67" s="609">
        <v>42347</v>
      </c>
      <c r="Q67" s="609">
        <v>0</v>
      </c>
      <c r="R67" s="609" t="s">
        <v>2150</v>
      </c>
    </row>
    <row r="68" s="609" customFormat="1" spans="1:18">
      <c r="A68" s="609" t="s">
        <v>2182</v>
      </c>
      <c r="B68" s="609" t="s">
        <v>2183</v>
      </c>
      <c r="C68" s="609" t="s">
        <v>2096</v>
      </c>
      <c r="D68" s="609">
        <v>80892.99</v>
      </c>
      <c r="E68" s="609">
        <v>112042</v>
      </c>
      <c r="F68" s="609" t="s">
        <v>2184</v>
      </c>
      <c r="G68" s="609" t="s">
        <v>1930</v>
      </c>
      <c r="H68" s="609" t="s">
        <v>2185</v>
      </c>
      <c r="I68" s="609" t="s">
        <v>2170</v>
      </c>
      <c r="J68" s="609" t="s">
        <v>2107</v>
      </c>
      <c r="K68" s="613">
        <v>43923.0004976852</v>
      </c>
      <c r="L68" s="609" t="s">
        <v>1932</v>
      </c>
      <c r="M68" s="609" t="s">
        <v>2186</v>
      </c>
      <c r="N68" s="609">
        <v>460000</v>
      </c>
      <c r="O68" s="609">
        <v>3791.02</v>
      </c>
      <c r="P68" s="609">
        <v>41056</v>
      </c>
      <c r="Q68" s="609">
        <v>0</v>
      </c>
      <c r="R68" s="609" t="s">
        <v>2150</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048571"/>
  <sheetViews>
    <sheetView tabSelected="1" topLeftCell="A78" workbookViewId="0">
      <selection activeCell="L284" sqref="L284"/>
    </sheetView>
  </sheetViews>
  <sheetFormatPr defaultColWidth="8.88888888888889" defaultRowHeight="10.8"/>
  <cols>
    <col min="1" max="5" width="8.88888888888889" style="592"/>
    <col min="6" max="6" width="13.7777777777778" style="596" customWidth="1"/>
    <col min="7" max="10" width="8.88888888888889" style="592"/>
    <col min="11" max="12" width="8.88888888888889" style="596"/>
    <col min="13" max="16384" width="8.88888888888889" style="592"/>
  </cols>
  <sheetData>
    <row r="1" s="592" customFormat="1" ht="24.75" customHeight="1" spans="1:13">
      <c r="A1" s="597" t="s">
        <v>2187</v>
      </c>
      <c r="B1" s="597"/>
      <c r="C1" s="597"/>
      <c r="D1" s="597"/>
      <c r="E1" s="597"/>
      <c r="F1" s="598"/>
      <c r="G1" s="597"/>
      <c r="H1" s="597"/>
      <c r="I1" s="597"/>
      <c r="J1" s="597"/>
      <c r="K1" s="598"/>
      <c r="L1" s="598"/>
      <c r="M1" s="597"/>
    </row>
    <row r="2" s="593" customFormat="1" ht="12.95" customHeight="1" spans="1:13">
      <c r="A2" s="599" t="s">
        <v>2188</v>
      </c>
      <c r="B2" s="599" t="s">
        <v>2189</v>
      </c>
      <c r="C2" s="599" t="s">
        <v>2190</v>
      </c>
      <c r="D2" s="599" t="s">
        <v>2191</v>
      </c>
      <c r="E2" s="599" t="s">
        <v>2192</v>
      </c>
      <c r="F2" s="600" t="s">
        <v>2193</v>
      </c>
      <c r="G2" s="599" t="s">
        <v>2194</v>
      </c>
      <c r="H2" s="599" t="s">
        <v>2195</v>
      </c>
      <c r="I2" s="599" t="s">
        <v>2196</v>
      </c>
      <c r="J2" s="599" t="s">
        <v>2197</v>
      </c>
      <c r="K2" s="600" t="s">
        <v>2198</v>
      </c>
      <c r="L2" s="600" t="s">
        <v>2199</v>
      </c>
      <c r="M2" s="599" t="s">
        <v>2200</v>
      </c>
    </row>
    <row r="3" s="593" customFormat="1" ht="15" customHeight="1" spans="1:13">
      <c r="A3" s="599">
        <v>71</v>
      </c>
      <c r="B3" s="599" t="s">
        <v>2201</v>
      </c>
      <c r="C3" s="599" t="s">
        <v>2202</v>
      </c>
      <c r="D3" s="599" t="s">
        <v>2203</v>
      </c>
      <c r="E3" s="599" t="s">
        <v>2204</v>
      </c>
      <c r="F3" s="600">
        <v>6343</v>
      </c>
      <c r="G3" s="599" t="s">
        <v>2205</v>
      </c>
      <c r="H3" s="599">
        <v>2022</v>
      </c>
      <c r="I3" s="599" t="s">
        <v>2206</v>
      </c>
      <c r="J3" s="599" t="s">
        <v>2207</v>
      </c>
      <c r="K3" s="600">
        <v>152</v>
      </c>
      <c r="L3" s="600">
        <v>23963</v>
      </c>
      <c r="M3" s="599" t="s">
        <v>2208</v>
      </c>
    </row>
    <row r="4" s="593" customFormat="1" ht="15" customHeight="1" spans="1:13">
      <c r="A4" s="599">
        <v>72</v>
      </c>
      <c r="B4" s="599" t="s">
        <v>2209</v>
      </c>
      <c r="C4" s="599" t="s">
        <v>2202</v>
      </c>
      <c r="D4" s="599" t="s">
        <v>2210</v>
      </c>
      <c r="E4" s="599" t="s">
        <v>2211</v>
      </c>
      <c r="F4" s="600">
        <v>17265</v>
      </c>
      <c r="G4" s="599" t="s">
        <v>2205</v>
      </c>
      <c r="H4" s="599">
        <v>2022</v>
      </c>
      <c r="I4" s="599" t="s">
        <v>2212</v>
      </c>
      <c r="J4" s="599" t="s">
        <v>2213</v>
      </c>
      <c r="K4" s="600">
        <v>163</v>
      </c>
      <c r="L4" s="600">
        <v>9441</v>
      </c>
      <c r="M4" s="599" t="s">
        <v>2208</v>
      </c>
    </row>
    <row r="5" s="593" customFormat="1" ht="15" customHeight="1" spans="1:13">
      <c r="A5" s="599">
        <v>73</v>
      </c>
      <c r="B5" s="599" t="s">
        <v>2214</v>
      </c>
      <c r="C5" s="599" t="s">
        <v>2202</v>
      </c>
      <c r="D5" s="599" t="s">
        <v>2215</v>
      </c>
      <c r="E5" s="599" t="s">
        <v>2204</v>
      </c>
      <c r="F5" s="600">
        <v>24165</v>
      </c>
      <c r="G5" s="599" t="s">
        <v>2205</v>
      </c>
      <c r="H5" s="599">
        <v>2022</v>
      </c>
      <c r="I5" s="599" t="s">
        <v>2216</v>
      </c>
      <c r="J5" s="599" t="s">
        <v>2217</v>
      </c>
      <c r="K5" s="600">
        <v>750</v>
      </c>
      <c r="L5" s="600">
        <v>31037</v>
      </c>
      <c r="M5" s="599" t="s">
        <v>2218</v>
      </c>
    </row>
    <row r="6" s="594" customFormat="1" ht="15" customHeight="1" spans="1:13">
      <c r="A6" s="601">
        <v>75</v>
      </c>
      <c r="B6" s="602" t="s">
        <v>2219</v>
      </c>
      <c r="C6" s="601" t="s">
        <v>2202</v>
      </c>
      <c r="D6" s="601" t="s">
        <v>2220</v>
      </c>
      <c r="E6" s="601" t="s">
        <v>2204</v>
      </c>
      <c r="F6" s="603">
        <v>119000</v>
      </c>
      <c r="G6" s="601" t="s">
        <v>2221</v>
      </c>
      <c r="H6" s="601">
        <v>2022</v>
      </c>
      <c r="I6" s="601" t="s">
        <v>2222</v>
      </c>
      <c r="J6" s="601" t="s">
        <v>2223</v>
      </c>
      <c r="K6" s="603">
        <v>5015</v>
      </c>
      <c r="L6" s="603">
        <v>42143</v>
      </c>
      <c r="M6" s="601" t="s">
        <v>2218</v>
      </c>
    </row>
    <row r="7" s="593" customFormat="1" ht="15" customHeight="1" spans="1:13">
      <c r="A7" s="599">
        <v>77</v>
      </c>
      <c r="B7" s="599" t="s">
        <v>2224</v>
      </c>
      <c r="C7" s="599" t="s">
        <v>2202</v>
      </c>
      <c r="D7" s="599" t="s">
        <v>2215</v>
      </c>
      <c r="E7" s="599" t="s">
        <v>2225</v>
      </c>
      <c r="F7" s="600">
        <v>175969</v>
      </c>
      <c r="G7" s="599" t="s">
        <v>2221</v>
      </c>
      <c r="H7" s="599">
        <v>2022</v>
      </c>
      <c r="I7" s="599" t="s">
        <v>2222</v>
      </c>
      <c r="J7" s="599" t="s">
        <v>2226</v>
      </c>
      <c r="K7" s="600">
        <v>3000</v>
      </c>
      <c r="L7" s="600">
        <v>34097</v>
      </c>
      <c r="M7" s="599" t="s">
        <v>2218</v>
      </c>
    </row>
    <row r="8" s="593" customFormat="1" ht="15" customHeight="1" spans="1:13">
      <c r="A8" s="599">
        <v>79</v>
      </c>
      <c r="B8" s="599" t="s">
        <v>2227</v>
      </c>
      <c r="C8" s="599" t="s">
        <v>2202</v>
      </c>
      <c r="D8" s="599" t="s">
        <v>2203</v>
      </c>
      <c r="E8" s="599" t="s">
        <v>2228</v>
      </c>
      <c r="F8" s="600">
        <v>14585</v>
      </c>
      <c r="G8" s="599" t="s">
        <v>2229</v>
      </c>
      <c r="H8" s="599">
        <v>2022</v>
      </c>
      <c r="I8" s="599" t="s">
        <v>2230</v>
      </c>
      <c r="J8" s="599" t="s">
        <v>2231</v>
      </c>
      <c r="K8" s="600">
        <v>294</v>
      </c>
      <c r="L8" s="600">
        <v>20158</v>
      </c>
      <c r="M8" s="599" t="s">
        <v>2208</v>
      </c>
    </row>
    <row r="9" s="593" customFormat="1" ht="15" customHeight="1" spans="1:13">
      <c r="A9" s="599">
        <v>81</v>
      </c>
      <c r="B9" s="599" t="s">
        <v>2232</v>
      </c>
      <c r="C9" s="599" t="s">
        <v>2202</v>
      </c>
      <c r="D9" s="599" t="s">
        <v>2233</v>
      </c>
      <c r="E9" s="599" t="s">
        <v>2228</v>
      </c>
      <c r="F9" s="600">
        <v>118997</v>
      </c>
      <c r="G9" s="599" t="s">
        <v>2229</v>
      </c>
      <c r="H9" s="599">
        <v>2022</v>
      </c>
      <c r="I9" s="599" t="s">
        <v>2234</v>
      </c>
      <c r="J9" s="599" t="s">
        <v>2235</v>
      </c>
      <c r="K9" s="600">
        <v>1250</v>
      </c>
      <c r="L9" s="600">
        <v>10500</v>
      </c>
      <c r="M9" s="599" t="s">
        <v>2218</v>
      </c>
    </row>
    <row r="10" s="593" customFormat="1" ht="15" customHeight="1" spans="1:13">
      <c r="A10" s="599">
        <v>82</v>
      </c>
      <c r="B10" s="599" t="s">
        <v>2236</v>
      </c>
      <c r="C10" s="599" t="s">
        <v>2202</v>
      </c>
      <c r="D10" s="599" t="s">
        <v>2215</v>
      </c>
      <c r="E10" s="599" t="s">
        <v>2204</v>
      </c>
      <c r="F10" s="600">
        <v>40824</v>
      </c>
      <c r="G10" s="599" t="s">
        <v>2229</v>
      </c>
      <c r="H10" s="599">
        <v>2022</v>
      </c>
      <c r="I10" s="599" t="s">
        <v>2237</v>
      </c>
      <c r="J10" s="599" t="s">
        <v>2238</v>
      </c>
      <c r="K10" s="600">
        <v>1342</v>
      </c>
      <c r="L10" s="600">
        <v>70831</v>
      </c>
      <c r="M10" s="599" t="s">
        <v>2218</v>
      </c>
    </row>
    <row r="11" s="593" customFormat="1" ht="15" customHeight="1" spans="1:13">
      <c r="A11" s="599">
        <v>83</v>
      </c>
      <c r="B11" s="599" t="s">
        <v>2239</v>
      </c>
      <c r="C11" s="599" t="s">
        <v>2202</v>
      </c>
      <c r="D11" s="599" t="s">
        <v>2203</v>
      </c>
      <c r="E11" s="599" t="s">
        <v>2228</v>
      </c>
      <c r="F11" s="600">
        <v>11235</v>
      </c>
      <c r="G11" s="599" t="s">
        <v>2229</v>
      </c>
      <c r="H11" s="599">
        <v>2022</v>
      </c>
      <c r="I11" s="599" t="s">
        <v>2240</v>
      </c>
      <c r="J11" s="599" t="s">
        <v>2241</v>
      </c>
      <c r="K11" s="600">
        <v>427</v>
      </c>
      <c r="L11" s="600">
        <v>38000</v>
      </c>
      <c r="M11" s="599" t="s">
        <v>2208</v>
      </c>
    </row>
    <row r="12" s="595" customFormat="1" ht="15" customHeight="1" spans="1:24">
      <c r="A12" s="604">
        <v>84</v>
      </c>
      <c r="B12" s="604" t="s">
        <v>2242</v>
      </c>
      <c r="C12" s="604" t="s">
        <v>2243</v>
      </c>
      <c r="D12" s="604" t="s">
        <v>2244</v>
      </c>
      <c r="E12" s="604" t="s">
        <v>549</v>
      </c>
      <c r="F12" s="605">
        <v>12500</v>
      </c>
      <c r="G12" s="604" t="s">
        <v>2245</v>
      </c>
      <c r="H12" s="604">
        <v>2022</v>
      </c>
      <c r="I12" s="604" t="s">
        <v>2246</v>
      </c>
      <c r="J12" s="604" t="s">
        <v>2247</v>
      </c>
      <c r="K12" s="605">
        <v>550</v>
      </c>
      <c r="L12" s="605">
        <v>44000</v>
      </c>
      <c r="M12" s="604" t="s">
        <v>2248</v>
      </c>
      <c r="N12" s="595" t="s">
        <v>2249</v>
      </c>
      <c r="P12" s="595" t="s">
        <v>2250</v>
      </c>
      <c r="Q12" s="595" t="s">
        <v>2251</v>
      </c>
      <c r="R12" s="595" t="s">
        <v>2252</v>
      </c>
      <c r="V12" s="595" t="s">
        <v>2253</v>
      </c>
      <c r="W12" s="595" t="s">
        <v>2254</v>
      </c>
      <c r="X12" s="595" t="s">
        <v>2255</v>
      </c>
    </row>
    <row r="13" s="593" customFormat="1" ht="15" customHeight="1" spans="1:13">
      <c r="A13" s="599">
        <v>85</v>
      </c>
      <c r="B13" s="599" t="s">
        <v>2256</v>
      </c>
      <c r="C13" s="599" t="s">
        <v>2202</v>
      </c>
      <c r="D13" s="599" t="s">
        <v>2215</v>
      </c>
      <c r="E13" s="599" t="s">
        <v>2211</v>
      </c>
      <c r="F13" s="600">
        <v>6297</v>
      </c>
      <c r="G13" s="599" t="s">
        <v>2229</v>
      </c>
      <c r="H13" s="599">
        <v>2022</v>
      </c>
      <c r="I13" s="599" t="s">
        <v>2257</v>
      </c>
      <c r="J13" s="599" t="s">
        <v>2258</v>
      </c>
      <c r="K13" s="600">
        <v>187</v>
      </c>
      <c r="L13" s="600">
        <v>29697</v>
      </c>
      <c r="M13" s="599" t="s">
        <v>2208</v>
      </c>
    </row>
    <row r="14" s="595" customFormat="1" ht="15" customHeight="1" spans="1:18">
      <c r="A14" s="604">
        <v>86</v>
      </c>
      <c r="B14" s="604" t="s">
        <v>2259</v>
      </c>
      <c r="C14" s="604" t="s">
        <v>2243</v>
      </c>
      <c r="D14" s="604" t="s">
        <v>2244</v>
      </c>
      <c r="E14" s="604" t="s">
        <v>549</v>
      </c>
      <c r="F14" s="605">
        <v>7618</v>
      </c>
      <c r="G14" s="604" t="s">
        <v>2245</v>
      </c>
      <c r="H14" s="604">
        <v>2022</v>
      </c>
      <c r="I14" s="604" t="s">
        <v>2260</v>
      </c>
      <c r="J14" s="604" t="s">
        <v>2261</v>
      </c>
      <c r="K14" s="605">
        <v>433</v>
      </c>
      <c r="L14" s="605">
        <v>56867</v>
      </c>
      <c r="M14" s="604" t="s">
        <v>2248</v>
      </c>
      <c r="N14" s="595" t="s">
        <v>2262</v>
      </c>
      <c r="O14" s="595" t="s">
        <v>2263</v>
      </c>
      <c r="P14" s="595" t="s">
        <v>2264</v>
      </c>
      <c r="Q14" s="595" t="s">
        <v>2265</v>
      </c>
      <c r="R14" s="595" t="s">
        <v>2266</v>
      </c>
    </row>
    <row r="15" s="593" customFormat="1" ht="15" customHeight="1" spans="1:13">
      <c r="A15" s="599">
        <v>87</v>
      </c>
      <c r="B15" s="599" t="s">
        <v>2267</v>
      </c>
      <c r="C15" s="599" t="s">
        <v>2202</v>
      </c>
      <c r="D15" s="599" t="s">
        <v>2215</v>
      </c>
      <c r="E15" s="599" t="s">
        <v>2204</v>
      </c>
      <c r="F15" s="600">
        <v>58239</v>
      </c>
      <c r="G15" s="599" t="s">
        <v>2268</v>
      </c>
      <c r="H15" s="599">
        <v>2022</v>
      </c>
      <c r="I15" s="599" t="s">
        <v>2269</v>
      </c>
      <c r="J15" s="599" t="s">
        <v>2270</v>
      </c>
      <c r="K15" s="600">
        <v>2037</v>
      </c>
      <c r="L15" s="600">
        <v>34977</v>
      </c>
      <c r="M15" s="599" t="s">
        <v>2208</v>
      </c>
    </row>
    <row r="16" s="595" customFormat="1" ht="15" customHeight="1" spans="1:24">
      <c r="A16" s="604">
        <v>89</v>
      </c>
      <c r="B16" s="604" t="s">
        <v>2271</v>
      </c>
      <c r="C16" s="604" t="s">
        <v>2243</v>
      </c>
      <c r="D16" s="604" t="s">
        <v>2244</v>
      </c>
      <c r="E16" s="604" t="s">
        <v>549</v>
      </c>
      <c r="F16" s="605">
        <v>6461</v>
      </c>
      <c r="G16" s="604" t="s">
        <v>2272</v>
      </c>
      <c r="H16" s="604">
        <v>2022</v>
      </c>
      <c r="I16" s="604" t="s">
        <v>2273</v>
      </c>
      <c r="J16" s="604" t="s">
        <v>2274</v>
      </c>
      <c r="K16" s="605">
        <v>321</v>
      </c>
      <c r="L16" s="605">
        <v>49683</v>
      </c>
      <c r="M16" s="604" t="s">
        <v>2248</v>
      </c>
      <c r="N16" s="595" t="s">
        <v>2275</v>
      </c>
      <c r="P16" s="595" t="s">
        <v>2276</v>
      </c>
      <c r="Q16" s="595" t="s">
        <v>2265</v>
      </c>
      <c r="R16" s="595" t="s">
        <v>2277</v>
      </c>
      <c r="V16" s="595" t="s">
        <v>2278</v>
      </c>
      <c r="X16" s="595" t="s">
        <v>2279</v>
      </c>
    </row>
    <row r="17" s="594" customFormat="1" ht="15" customHeight="1" spans="1:13">
      <c r="A17" s="601">
        <v>90</v>
      </c>
      <c r="B17" s="601" t="s">
        <v>2280</v>
      </c>
      <c r="C17" s="601" t="s">
        <v>2202</v>
      </c>
      <c r="D17" s="601" t="s">
        <v>2220</v>
      </c>
      <c r="E17" s="601" t="s">
        <v>2204</v>
      </c>
      <c r="F17" s="603">
        <v>5000</v>
      </c>
      <c r="G17" s="601" t="s">
        <v>2268</v>
      </c>
      <c r="H17" s="601">
        <v>2022</v>
      </c>
      <c r="I17" s="601" t="s">
        <v>2281</v>
      </c>
      <c r="J17" s="601" t="s">
        <v>2282</v>
      </c>
      <c r="K17" s="603">
        <v>425</v>
      </c>
      <c r="L17" s="603">
        <v>85000</v>
      </c>
      <c r="M17" s="601" t="s">
        <v>2208</v>
      </c>
    </row>
    <row r="18" s="593" customFormat="1" ht="15" customHeight="1" spans="1:13">
      <c r="A18" s="599">
        <v>92</v>
      </c>
      <c r="B18" s="599" t="s">
        <v>2283</v>
      </c>
      <c r="C18" s="599" t="s">
        <v>2202</v>
      </c>
      <c r="D18" s="599" t="s">
        <v>2203</v>
      </c>
      <c r="E18" s="599" t="s">
        <v>2228</v>
      </c>
      <c r="F18" s="600">
        <v>26584</v>
      </c>
      <c r="G18" s="599" t="s">
        <v>2268</v>
      </c>
      <c r="H18" s="599">
        <v>2022</v>
      </c>
      <c r="I18" s="599" t="s">
        <v>2284</v>
      </c>
      <c r="J18" s="599" t="s">
        <v>2285</v>
      </c>
      <c r="K18" s="600">
        <v>906</v>
      </c>
      <c r="L18" s="600">
        <v>34081</v>
      </c>
      <c r="M18" s="599" t="s">
        <v>2208</v>
      </c>
    </row>
    <row r="19" s="593" customFormat="1" ht="15" customHeight="1" spans="1:13">
      <c r="A19" s="599">
        <v>93</v>
      </c>
      <c r="B19" s="599" t="s">
        <v>2286</v>
      </c>
      <c r="C19" s="599" t="s">
        <v>2202</v>
      </c>
      <c r="D19" s="599" t="s">
        <v>2210</v>
      </c>
      <c r="E19" s="599" t="s">
        <v>2204</v>
      </c>
      <c r="F19" s="600">
        <v>53000</v>
      </c>
      <c r="G19" s="599" t="s">
        <v>2268</v>
      </c>
      <c r="H19" s="599">
        <v>2022</v>
      </c>
      <c r="I19" s="599" t="s">
        <v>2287</v>
      </c>
      <c r="J19" s="599" t="s">
        <v>2288</v>
      </c>
      <c r="K19" s="600">
        <v>2650</v>
      </c>
      <c r="L19" s="600">
        <v>50000</v>
      </c>
      <c r="M19" s="599" t="s">
        <v>2208</v>
      </c>
    </row>
    <row r="20" s="593" customFormat="1" ht="15" customHeight="1" spans="1:13">
      <c r="A20" s="599">
        <v>95</v>
      </c>
      <c r="B20" s="599" t="s">
        <v>2289</v>
      </c>
      <c r="C20" s="599" t="s">
        <v>2202</v>
      </c>
      <c r="D20" s="599" t="s">
        <v>2233</v>
      </c>
      <c r="E20" s="599" t="s">
        <v>2204</v>
      </c>
      <c r="F20" s="600">
        <v>6747</v>
      </c>
      <c r="G20" s="599" t="s">
        <v>2268</v>
      </c>
      <c r="H20" s="599">
        <v>2022</v>
      </c>
      <c r="I20" s="599" t="s">
        <v>2290</v>
      </c>
      <c r="J20" s="599" t="s">
        <v>2291</v>
      </c>
      <c r="K20" s="600">
        <v>324</v>
      </c>
      <c r="L20" s="600">
        <v>48036</v>
      </c>
      <c r="M20" s="599" t="s">
        <v>2208</v>
      </c>
    </row>
    <row r="21" s="593" customFormat="1" ht="15" customHeight="1" spans="1:13">
      <c r="A21" s="599">
        <v>96</v>
      </c>
      <c r="B21" s="599" t="s">
        <v>2292</v>
      </c>
      <c r="C21" s="599" t="s">
        <v>2202</v>
      </c>
      <c r="D21" s="599" t="s">
        <v>2215</v>
      </c>
      <c r="E21" s="599" t="s">
        <v>2228</v>
      </c>
      <c r="F21" s="600">
        <v>25503</v>
      </c>
      <c r="G21" s="599" t="s">
        <v>2268</v>
      </c>
      <c r="H21" s="599">
        <v>2022</v>
      </c>
      <c r="I21" s="599" t="s">
        <v>2293</v>
      </c>
      <c r="J21" s="599" t="s">
        <v>2294</v>
      </c>
      <c r="K21" s="600">
        <v>592</v>
      </c>
      <c r="L21" s="600">
        <v>23204</v>
      </c>
      <c r="M21" s="599" t="s">
        <v>2208</v>
      </c>
    </row>
    <row r="22" s="594" customFormat="1" ht="15" customHeight="1" spans="1:13">
      <c r="A22" s="601">
        <v>97</v>
      </c>
      <c r="B22" s="602" t="s">
        <v>2295</v>
      </c>
      <c r="C22" s="601" t="s">
        <v>2202</v>
      </c>
      <c r="D22" s="601" t="s">
        <v>2220</v>
      </c>
      <c r="E22" s="601" t="s">
        <v>2204</v>
      </c>
      <c r="F22" s="603">
        <v>34999</v>
      </c>
      <c r="G22" s="601" t="s">
        <v>2268</v>
      </c>
      <c r="H22" s="601">
        <v>2022</v>
      </c>
      <c r="I22" s="601" t="s">
        <v>2257</v>
      </c>
      <c r="J22" s="601" t="s">
        <v>2296</v>
      </c>
      <c r="K22" s="603">
        <v>1500</v>
      </c>
      <c r="L22" s="603">
        <v>42858</v>
      </c>
      <c r="M22" s="601" t="s">
        <v>2208</v>
      </c>
    </row>
    <row r="23" s="594" customFormat="1" ht="15" customHeight="1" spans="1:13">
      <c r="A23" s="601">
        <v>98</v>
      </c>
      <c r="B23" s="601" t="s">
        <v>2297</v>
      </c>
      <c r="C23" s="601" t="s">
        <v>2202</v>
      </c>
      <c r="D23" s="601" t="s">
        <v>2220</v>
      </c>
      <c r="E23" s="601" t="s">
        <v>2204</v>
      </c>
      <c r="F23" s="603">
        <v>184914</v>
      </c>
      <c r="G23" s="601" t="s">
        <v>2268</v>
      </c>
      <c r="H23" s="601">
        <v>2022</v>
      </c>
      <c r="I23" s="601" t="s">
        <v>2298</v>
      </c>
      <c r="J23" s="601" t="s">
        <v>2226</v>
      </c>
      <c r="K23" s="603">
        <v>6404</v>
      </c>
      <c r="L23" s="603">
        <v>34611</v>
      </c>
      <c r="M23" s="601" t="s">
        <v>2218</v>
      </c>
    </row>
    <row r="24" s="593" customFormat="1" ht="15" customHeight="1" spans="1:13">
      <c r="A24" s="599">
        <v>99</v>
      </c>
      <c r="B24" s="599" t="s">
        <v>2299</v>
      </c>
      <c r="C24" s="599" t="s">
        <v>2202</v>
      </c>
      <c r="D24" s="599" t="s">
        <v>2300</v>
      </c>
      <c r="E24" s="599" t="s">
        <v>2211</v>
      </c>
      <c r="F24" s="600">
        <v>3300</v>
      </c>
      <c r="G24" s="599" t="s">
        <v>2268</v>
      </c>
      <c r="H24" s="599">
        <v>2022</v>
      </c>
      <c r="I24" s="599" t="s">
        <v>2301</v>
      </c>
      <c r="J24" s="599" t="s">
        <v>2302</v>
      </c>
      <c r="K24" s="600">
        <v>149</v>
      </c>
      <c r="L24" s="600">
        <v>45000</v>
      </c>
      <c r="M24" s="599" t="s">
        <v>2208</v>
      </c>
    </row>
    <row r="25" s="593" customFormat="1" ht="15" customHeight="1" spans="1:13">
      <c r="A25" s="599">
        <v>100</v>
      </c>
      <c r="B25" s="599" t="s">
        <v>2303</v>
      </c>
      <c r="C25" s="599" t="s">
        <v>2202</v>
      </c>
      <c r="D25" s="599" t="s">
        <v>2304</v>
      </c>
      <c r="E25" s="599" t="s">
        <v>2204</v>
      </c>
      <c r="F25" s="600">
        <v>6200</v>
      </c>
      <c r="G25" s="599" t="s">
        <v>2268</v>
      </c>
      <c r="H25" s="599">
        <v>2022</v>
      </c>
      <c r="I25" s="599" t="s">
        <v>2305</v>
      </c>
      <c r="J25" s="599" t="s">
        <v>2306</v>
      </c>
      <c r="K25" s="600">
        <v>242</v>
      </c>
      <c r="L25" s="600">
        <v>39000</v>
      </c>
      <c r="M25" s="599" t="s">
        <v>2208</v>
      </c>
    </row>
    <row r="26" s="593" customFormat="1" ht="15" customHeight="1" spans="1:13">
      <c r="A26" s="599">
        <v>101</v>
      </c>
      <c r="B26" s="599" t="s">
        <v>2307</v>
      </c>
      <c r="C26" s="599" t="s">
        <v>2202</v>
      </c>
      <c r="D26" s="599" t="s">
        <v>2220</v>
      </c>
      <c r="E26" s="599" t="s">
        <v>2211</v>
      </c>
      <c r="F26" s="600">
        <v>17000</v>
      </c>
      <c r="G26" s="599" t="s">
        <v>2268</v>
      </c>
      <c r="H26" s="599">
        <v>2022</v>
      </c>
      <c r="I26" s="599" t="s">
        <v>2308</v>
      </c>
      <c r="J26" s="599" t="s">
        <v>2309</v>
      </c>
      <c r="K26" s="600">
        <v>230</v>
      </c>
      <c r="L26" s="600">
        <v>13529</v>
      </c>
      <c r="M26" s="599" t="s">
        <v>2218</v>
      </c>
    </row>
    <row r="138" spans="17:17">
      <c r="Q138" s="592" t="s">
        <v>2310</v>
      </c>
    </row>
    <row r="284" spans="12:12">
      <c r="L284" s="606"/>
    </row>
    <row r="1048455" customFormat="1" ht="14.4"/>
    <row r="1048456" customFormat="1" ht="14.4"/>
    <row r="1048457" customFormat="1" ht="14.4"/>
    <row r="1048458" customFormat="1" ht="14.4"/>
    <row r="1048459" customFormat="1" ht="14.4"/>
    <row r="1048460" customFormat="1" ht="14.4"/>
    <row r="1048461" customFormat="1" ht="14.4"/>
    <row r="1048462" customFormat="1" ht="14.4"/>
    <row r="1048463" customFormat="1" ht="14.4"/>
    <row r="1048464" customFormat="1" ht="14.4"/>
    <row r="1048465" customFormat="1" ht="14.4"/>
    <row r="1048466" customFormat="1" ht="14.4"/>
    <row r="1048467" customFormat="1" ht="14.4"/>
    <row r="1048468" customFormat="1" ht="14.4"/>
    <row r="1048469" customFormat="1" ht="14.4"/>
    <row r="1048470" customFormat="1" ht="14.4"/>
    <row r="1048471" customFormat="1" ht="14.4"/>
    <row r="1048472" customFormat="1" ht="14.4"/>
    <row r="1048473" customFormat="1" ht="14.4"/>
    <row r="1048474" customFormat="1" ht="14.4"/>
    <row r="1048475" customFormat="1" ht="14.4"/>
    <row r="1048476" customFormat="1" ht="14.4"/>
    <row r="1048477" customFormat="1" ht="14.4"/>
    <row r="1048478" customFormat="1" ht="14.4"/>
    <row r="1048479" customFormat="1" ht="14.4"/>
    <row r="1048480" customFormat="1" ht="14.4"/>
    <row r="1048481" customFormat="1" ht="14.4"/>
    <row r="1048482" customFormat="1" ht="14.4"/>
    <row r="1048483" customFormat="1" ht="14.4"/>
    <row r="1048484" customFormat="1" ht="14.4"/>
    <row r="1048485" customFormat="1" ht="14.4"/>
    <row r="1048486" customFormat="1" ht="14.4"/>
    <row r="1048487" customFormat="1" ht="14.4"/>
    <row r="1048488" customFormat="1" ht="14.4"/>
    <row r="1048489" customFormat="1" ht="14.4"/>
    <row r="1048490" customFormat="1" ht="14.4"/>
    <row r="1048491" customFormat="1" ht="14.4"/>
    <row r="1048492" customFormat="1" ht="14.4"/>
    <row r="1048493" customFormat="1" ht="14.4"/>
    <row r="1048494" customFormat="1" ht="14.4"/>
    <row r="1048495" customFormat="1" ht="14.4"/>
    <row r="1048496" customFormat="1" ht="14.4"/>
    <row r="1048497" customFormat="1" ht="14.4"/>
    <row r="1048498" customFormat="1" ht="14.4"/>
    <row r="1048499" customFormat="1" ht="14.4"/>
    <row r="1048500" customFormat="1" ht="14.4"/>
    <row r="1048501" customFormat="1" ht="14.4"/>
    <row r="1048502" customFormat="1" ht="14.4"/>
    <row r="1048503" customFormat="1" ht="14.4"/>
    <row r="1048504" customFormat="1" ht="14.4"/>
    <row r="1048505" customFormat="1" ht="14.4"/>
    <row r="1048506" customFormat="1" ht="14.4"/>
    <row r="1048507" customFormat="1" ht="14.4"/>
    <row r="1048508" customFormat="1" ht="14.4"/>
    <row r="1048509" customFormat="1" ht="14.4"/>
    <row r="1048510" customFormat="1" ht="14.4"/>
    <row r="1048511" customFormat="1" ht="14.4"/>
    <row r="1048512" customFormat="1" ht="14.4"/>
    <row r="1048513" customFormat="1" ht="14.4"/>
    <row r="1048514" customFormat="1" ht="14.4"/>
    <row r="1048515" customFormat="1" ht="14.4"/>
    <row r="1048516" customFormat="1" ht="14.4"/>
    <row r="1048517" customFormat="1" ht="14.4"/>
    <row r="1048518" customFormat="1" ht="14.4"/>
    <row r="1048519" customFormat="1" ht="14.4"/>
    <row r="1048520" customFormat="1" ht="14.4"/>
    <row r="1048521" customFormat="1" ht="14.4"/>
    <row r="1048522" customFormat="1" ht="14.4"/>
    <row r="1048523" customFormat="1" ht="14.4"/>
    <row r="1048524" customFormat="1" ht="14.4"/>
    <row r="1048525" customFormat="1" ht="14.4"/>
    <row r="1048526" customFormat="1" ht="14.4"/>
    <row r="1048527" customFormat="1" ht="14.4"/>
    <row r="1048528" customFormat="1" ht="14.4"/>
    <row r="1048529" customFormat="1" ht="14.4"/>
    <row r="1048530" customFormat="1" ht="14.4"/>
    <row r="1048531" customFormat="1" ht="14.4"/>
    <row r="1048532" customFormat="1" ht="14.4"/>
    <row r="1048533" customFormat="1" ht="14.4"/>
    <row r="1048534" customFormat="1" ht="14.4"/>
    <row r="1048535" customFormat="1" ht="14.4"/>
    <row r="1048536" customFormat="1" ht="14.4"/>
    <row r="1048537" customFormat="1" ht="14.4"/>
    <row r="1048538" customFormat="1" ht="14.4"/>
    <row r="1048539" customFormat="1" ht="14.4"/>
    <row r="1048540" customFormat="1" ht="14.4"/>
    <row r="1048541" customFormat="1" ht="14.4"/>
    <row r="1048542" customFormat="1" ht="14.4"/>
    <row r="1048543" customFormat="1" ht="14.4"/>
    <row r="1048544" customFormat="1" ht="14.4"/>
    <row r="1048545" customFormat="1" ht="14.4"/>
    <row r="1048546" customFormat="1" ht="14.4"/>
    <row r="1048547" customFormat="1" ht="14.4"/>
    <row r="1048548" customFormat="1" ht="14.4"/>
    <row r="1048549" customFormat="1" ht="14.4"/>
    <row r="1048550" customFormat="1" ht="14.4"/>
    <row r="1048551" customFormat="1" ht="14.4"/>
    <row r="1048552" customFormat="1" ht="14.4"/>
    <row r="1048553" customFormat="1" ht="14.4"/>
    <row r="1048554" customFormat="1" ht="14.4"/>
    <row r="1048555" customFormat="1" ht="14.4"/>
    <row r="1048556" customFormat="1" ht="14.4"/>
    <row r="1048557" customFormat="1" ht="14.4"/>
    <row r="1048558" customFormat="1" ht="14.4"/>
    <row r="1048559" customFormat="1" ht="14.4"/>
    <row r="1048560" customFormat="1" ht="14.4"/>
    <row r="1048561" customFormat="1" ht="14.4"/>
    <row r="1048562" customFormat="1" ht="14.4"/>
    <row r="1048563" customFormat="1" ht="14.4"/>
    <row r="1048564" customFormat="1" ht="14.4"/>
    <row r="1048565" customFormat="1" ht="14.4"/>
    <row r="1048566" customFormat="1" ht="14.4"/>
    <row r="1048567" customFormat="1" ht="14.4"/>
    <row r="1048568" customFormat="1" ht="14.4"/>
    <row r="1048569" customFormat="1" ht="14.4"/>
    <row r="1048570" customFormat="1" ht="14.4"/>
    <row r="1048571" customFormat="1" ht="14.4"/>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55"/>
  <sheetViews>
    <sheetView topLeftCell="A37" workbookViewId="0">
      <selection activeCell="F55" sqref="F55"/>
    </sheetView>
  </sheetViews>
  <sheetFormatPr defaultColWidth="9" defaultRowHeight="15.6"/>
  <cols>
    <col min="1" max="1" width="4.87962962962963" style="569" customWidth="1"/>
    <col min="2" max="2" width="24.75" style="569" customWidth="1"/>
    <col min="3" max="3" width="16.1296296296296" style="568" customWidth="1"/>
    <col min="4" max="4" width="8.87962962962963" style="568" customWidth="1"/>
    <col min="5" max="5" width="20.5" style="568" customWidth="1"/>
    <col min="6" max="6" width="12.1296296296296" style="568" customWidth="1"/>
    <col min="7" max="7" width="11.25" style="568" customWidth="1"/>
    <col min="8" max="8" width="34.1296296296296" style="568" customWidth="1"/>
    <col min="9" max="9" width="9" style="568"/>
    <col min="10" max="10" width="14.3333333333333" style="568"/>
    <col min="11" max="12" width="11.8888888888889" style="568"/>
    <col min="13" max="13" width="9" style="568"/>
    <col min="14" max="14" width="17.7777777777778" style="568" customWidth="1"/>
    <col min="15" max="15" width="14.3333333333333" style="568"/>
    <col min="16" max="16" width="9" style="568"/>
    <col min="17" max="17" width="14.3333333333333" style="568"/>
    <col min="18" max="16384" width="9" style="568"/>
  </cols>
  <sheetData>
    <row r="1" ht="50" customHeight="1" spans="1:8">
      <c r="A1" s="570" t="s">
        <v>2311</v>
      </c>
      <c r="B1" s="570"/>
      <c r="C1" s="570"/>
      <c r="D1" s="570"/>
      <c r="E1" s="570"/>
      <c r="F1" s="570"/>
      <c r="G1" s="570"/>
      <c r="H1" s="570"/>
    </row>
    <row r="2" ht="37" customHeight="1" spans="1:15">
      <c r="A2" s="571" t="s">
        <v>2188</v>
      </c>
      <c r="B2" s="571" t="s">
        <v>2312</v>
      </c>
      <c r="C2" s="571" t="s">
        <v>2313</v>
      </c>
      <c r="D2" s="572" t="s">
        <v>2314</v>
      </c>
      <c r="E2" s="571" t="s">
        <v>2315</v>
      </c>
      <c r="F2" s="572" t="s">
        <v>2316</v>
      </c>
      <c r="G2" s="572" t="s">
        <v>2317</v>
      </c>
      <c r="H2" s="571" t="s">
        <v>2318</v>
      </c>
      <c r="J2" s="568" t="s">
        <v>2319</v>
      </c>
      <c r="K2" s="590" t="s">
        <v>2320</v>
      </c>
      <c r="L2" s="590"/>
      <c r="M2" s="568" t="s">
        <v>2321</v>
      </c>
      <c r="N2" s="568" t="s">
        <v>2322</v>
      </c>
      <c r="O2" s="568" t="s">
        <v>2323</v>
      </c>
    </row>
    <row r="3" ht="25" customHeight="1" spans="1:8">
      <c r="A3" s="571">
        <v>1</v>
      </c>
      <c r="B3" s="573" t="s">
        <v>2324</v>
      </c>
      <c r="C3" s="574">
        <v>112</v>
      </c>
      <c r="D3" s="574">
        <v>6</v>
      </c>
      <c r="E3" s="574" t="s">
        <v>2325</v>
      </c>
      <c r="F3" s="574">
        <v>155000</v>
      </c>
      <c r="G3" s="574">
        <v>37500</v>
      </c>
      <c r="H3" s="575" t="s">
        <v>2326</v>
      </c>
    </row>
    <row r="4" ht="25" customHeight="1" spans="1:8">
      <c r="A4" s="571">
        <v>2</v>
      </c>
      <c r="B4" s="574" t="s">
        <v>2327</v>
      </c>
      <c r="C4" s="574" t="s">
        <v>2328</v>
      </c>
      <c r="D4" s="574">
        <v>170</v>
      </c>
      <c r="E4" s="574" t="s">
        <v>2329</v>
      </c>
      <c r="F4" s="574">
        <v>1020000</v>
      </c>
      <c r="G4" s="574">
        <v>255000</v>
      </c>
      <c r="H4" s="575"/>
    </row>
    <row r="5" s="567" customFormat="1" ht="25" customHeight="1" spans="1:17">
      <c r="A5" s="576">
        <v>3</v>
      </c>
      <c r="B5" s="577" t="s">
        <v>2330</v>
      </c>
      <c r="C5" s="577" t="s">
        <v>2331</v>
      </c>
      <c r="D5" s="577">
        <v>330</v>
      </c>
      <c r="E5" s="577" t="s">
        <v>2332</v>
      </c>
      <c r="F5" s="577">
        <v>904050</v>
      </c>
      <c r="G5" s="577">
        <v>210000</v>
      </c>
      <c r="H5" s="578" t="s">
        <v>2333</v>
      </c>
      <c r="J5" s="567">
        <f>ROUND(904050/D5/365,2)</f>
        <v>7.51</v>
      </c>
      <c r="K5" s="591">
        <v>44603</v>
      </c>
      <c r="L5" s="591">
        <v>48254</v>
      </c>
      <c r="M5" s="567" t="s">
        <v>2334</v>
      </c>
      <c r="N5" s="567" t="s">
        <v>2335</v>
      </c>
      <c r="O5" s="567">
        <f>ROUND(210000/D5/365,1)</f>
        <v>1.7</v>
      </c>
      <c r="Q5" s="567">
        <f>1114050/D5/365</f>
        <v>9.24906600249066</v>
      </c>
    </row>
    <row r="6" ht="25" customHeight="1" spans="1:8">
      <c r="A6" s="571">
        <v>4</v>
      </c>
      <c r="B6" s="579" t="s">
        <v>2336</v>
      </c>
      <c r="C6" s="574" t="s">
        <v>2337</v>
      </c>
      <c r="D6" s="574"/>
      <c r="E6" s="574" t="s">
        <v>2332</v>
      </c>
      <c r="F6" s="574">
        <v>665000</v>
      </c>
      <c r="G6" s="574">
        <v>166000</v>
      </c>
      <c r="H6" s="580" t="s">
        <v>2333</v>
      </c>
    </row>
    <row r="7" ht="25" customHeight="1" spans="1:8">
      <c r="A7" s="571">
        <v>5</v>
      </c>
      <c r="B7" s="581" t="s">
        <v>2338</v>
      </c>
      <c r="C7" s="573" t="s">
        <v>2339</v>
      </c>
      <c r="D7" s="574">
        <v>240</v>
      </c>
      <c r="E7" s="574" t="s">
        <v>2340</v>
      </c>
      <c r="F7" s="574">
        <v>950000</v>
      </c>
      <c r="G7" s="574">
        <v>237500</v>
      </c>
      <c r="H7" s="582" t="s">
        <v>2341</v>
      </c>
    </row>
    <row r="8" ht="25" customHeight="1" spans="1:8">
      <c r="A8" s="571">
        <v>6</v>
      </c>
      <c r="B8" s="574" t="s">
        <v>2342</v>
      </c>
      <c r="C8" s="573" t="s">
        <v>2343</v>
      </c>
      <c r="D8" s="574">
        <v>30.92</v>
      </c>
      <c r="E8" s="574" t="s">
        <v>2344</v>
      </c>
      <c r="F8" s="574">
        <v>120000</v>
      </c>
      <c r="G8" s="574">
        <v>27500</v>
      </c>
      <c r="H8" s="583"/>
    </row>
    <row r="9" ht="25" customHeight="1" spans="1:8">
      <c r="A9" s="571">
        <v>7</v>
      </c>
      <c r="B9" s="574" t="s">
        <v>2345</v>
      </c>
      <c r="C9" s="573" t="s">
        <v>2346</v>
      </c>
      <c r="D9" s="574">
        <v>31.25</v>
      </c>
      <c r="E9" s="574" t="s">
        <v>2347</v>
      </c>
      <c r="F9" s="574">
        <v>120000</v>
      </c>
      <c r="G9" s="574">
        <v>27500</v>
      </c>
      <c r="H9" s="583"/>
    </row>
    <row r="10" ht="25" customHeight="1" spans="1:8">
      <c r="A10" s="571">
        <v>8</v>
      </c>
      <c r="B10" s="574" t="s">
        <v>2348</v>
      </c>
      <c r="C10" s="574" t="s">
        <v>2349</v>
      </c>
      <c r="D10" s="573">
        <v>134.44</v>
      </c>
      <c r="E10" s="574" t="s">
        <v>2350</v>
      </c>
      <c r="F10" s="574">
        <v>624000</v>
      </c>
      <c r="G10" s="574">
        <v>156000</v>
      </c>
      <c r="H10" s="575" t="s">
        <v>2351</v>
      </c>
    </row>
    <row r="11" ht="25" customHeight="1" spans="1:8">
      <c r="A11" s="571">
        <v>9</v>
      </c>
      <c r="B11" s="574" t="s">
        <v>2352</v>
      </c>
      <c r="C11" s="574" t="s">
        <v>2353</v>
      </c>
      <c r="D11" s="574">
        <v>44.31</v>
      </c>
      <c r="E11" s="574" t="s">
        <v>2354</v>
      </c>
      <c r="F11" s="574">
        <v>185000</v>
      </c>
      <c r="G11" s="574">
        <v>46250</v>
      </c>
      <c r="H11" s="575" t="s">
        <v>2355</v>
      </c>
    </row>
    <row r="12" ht="25" customHeight="1" spans="1:8">
      <c r="A12" s="571">
        <v>10</v>
      </c>
      <c r="B12" s="574" t="s">
        <v>2356</v>
      </c>
      <c r="C12" s="574" t="s">
        <v>2357</v>
      </c>
      <c r="D12" s="574">
        <v>2.5</v>
      </c>
      <c r="E12" s="574" t="s">
        <v>2358</v>
      </c>
      <c r="F12" s="574">
        <v>60000</v>
      </c>
      <c r="G12" s="574">
        <v>0</v>
      </c>
      <c r="H12" s="583"/>
    </row>
    <row r="13" s="567" customFormat="1" ht="25" customHeight="1" spans="1:15">
      <c r="A13" s="576">
        <v>11</v>
      </c>
      <c r="B13" s="577" t="s">
        <v>2359</v>
      </c>
      <c r="C13" s="577" t="s">
        <v>2360</v>
      </c>
      <c r="D13" s="577">
        <v>2256</v>
      </c>
      <c r="E13" s="577" t="s">
        <v>2361</v>
      </c>
      <c r="F13" s="577">
        <v>2680297</v>
      </c>
      <c r="G13" s="577">
        <v>108288</v>
      </c>
      <c r="H13" s="584" t="s">
        <v>2362</v>
      </c>
      <c r="J13" s="567">
        <v>3.1</v>
      </c>
      <c r="K13" s="591">
        <v>43549</v>
      </c>
      <c r="L13" s="591">
        <v>47931</v>
      </c>
      <c r="M13" s="567" t="s">
        <v>2363</v>
      </c>
      <c r="N13" s="567" t="s">
        <v>2335</v>
      </c>
      <c r="O13" s="567">
        <f>4/30</f>
        <v>0.133333333333333</v>
      </c>
    </row>
    <row r="14" ht="25" customHeight="1" spans="1:8">
      <c r="A14" s="571">
        <v>12</v>
      </c>
      <c r="B14" s="579" t="s">
        <v>2364</v>
      </c>
      <c r="C14" s="579" t="s">
        <v>2365</v>
      </c>
      <c r="D14" s="579"/>
      <c r="E14" s="579" t="s">
        <v>2366</v>
      </c>
      <c r="F14" s="579">
        <v>14000</v>
      </c>
      <c r="G14" s="579">
        <v>0</v>
      </c>
      <c r="H14" s="583"/>
    </row>
    <row r="15" ht="25" customHeight="1" spans="1:8">
      <c r="A15" s="571">
        <v>13</v>
      </c>
      <c r="B15" s="579" t="s">
        <v>2367</v>
      </c>
      <c r="C15" s="579" t="s">
        <v>2368</v>
      </c>
      <c r="D15" s="579"/>
      <c r="E15" s="579" t="s">
        <v>2366</v>
      </c>
      <c r="F15" s="579">
        <v>14000</v>
      </c>
      <c r="G15" s="579">
        <v>0</v>
      </c>
      <c r="H15" s="583"/>
    </row>
    <row r="16" ht="25" customHeight="1" spans="1:8">
      <c r="A16" s="571">
        <v>14</v>
      </c>
      <c r="B16" s="579" t="s">
        <v>2369</v>
      </c>
      <c r="C16" s="579" t="s">
        <v>2370</v>
      </c>
      <c r="D16" s="579"/>
      <c r="E16" s="579" t="s">
        <v>2366</v>
      </c>
      <c r="F16" s="579">
        <v>14000</v>
      </c>
      <c r="G16" s="579">
        <v>0</v>
      </c>
      <c r="H16" s="583"/>
    </row>
    <row r="17" ht="25" customHeight="1" spans="1:8">
      <c r="A17" s="571">
        <v>15</v>
      </c>
      <c r="B17" s="581" t="s">
        <v>2371</v>
      </c>
      <c r="C17" s="579" t="s">
        <v>2372</v>
      </c>
      <c r="D17" s="579"/>
      <c r="E17" s="579" t="s">
        <v>2366</v>
      </c>
      <c r="F17" s="579">
        <v>14000</v>
      </c>
      <c r="G17" s="579">
        <v>0</v>
      </c>
      <c r="H17" s="583"/>
    </row>
    <row r="18" ht="25" customHeight="1" spans="1:8">
      <c r="A18" s="571">
        <v>16</v>
      </c>
      <c r="B18" s="579" t="s">
        <v>2373</v>
      </c>
      <c r="C18" s="579" t="s">
        <v>2374</v>
      </c>
      <c r="D18" s="579"/>
      <c r="E18" s="579" t="s">
        <v>2366</v>
      </c>
      <c r="F18" s="579">
        <v>14000</v>
      </c>
      <c r="G18" s="579">
        <v>0</v>
      </c>
      <c r="H18" s="583"/>
    </row>
    <row r="19" ht="25" customHeight="1" spans="1:8">
      <c r="A19" s="571">
        <v>17</v>
      </c>
      <c r="B19" s="579" t="s">
        <v>2375</v>
      </c>
      <c r="C19" s="579" t="s">
        <v>2376</v>
      </c>
      <c r="D19" s="579"/>
      <c r="E19" s="579" t="s">
        <v>2366</v>
      </c>
      <c r="F19" s="579">
        <v>14000</v>
      </c>
      <c r="G19" s="579">
        <v>0</v>
      </c>
      <c r="H19" s="583"/>
    </row>
    <row r="20" ht="25" customHeight="1" spans="1:8">
      <c r="A20" s="571">
        <v>18</v>
      </c>
      <c r="B20" s="579" t="s">
        <v>2377</v>
      </c>
      <c r="C20" s="579" t="s">
        <v>2378</v>
      </c>
      <c r="D20" s="579"/>
      <c r="E20" s="579" t="s">
        <v>2366</v>
      </c>
      <c r="F20" s="579">
        <v>14000</v>
      </c>
      <c r="G20" s="579">
        <v>0</v>
      </c>
      <c r="H20" s="583"/>
    </row>
    <row r="21" ht="25" customHeight="1" spans="1:8">
      <c r="A21" s="571">
        <v>19</v>
      </c>
      <c r="B21" s="579" t="s">
        <v>2379</v>
      </c>
      <c r="C21" s="579" t="s">
        <v>2380</v>
      </c>
      <c r="D21" s="579"/>
      <c r="E21" s="579" t="s">
        <v>2366</v>
      </c>
      <c r="F21" s="579">
        <v>14000</v>
      </c>
      <c r="G21" s="579">
        <v>0</v>
      </c>
      <c r="H21" s="583"/>
    </row>
    <row r="22" customFormat="1" ht="25" customHeight="1" spans="1:8">
      <c r="A22" s="571">
        <v>20</v>
      </c>
      <c r="B22" s="579" t="s">
        <v>2381</v>
      </c>
      <c r="C22" s="579" t="s">
        <v>2382</v>
      </c>
      <c r="D22" s="579">
        <v>80</v>
      </c>
      <c r="E22" s="579" t="s">
        <v>2383</v>
      </c>
      <c r="F22" s="579">
        <f t="shared" ref="F22:F42" si="0">D22*4.5*365</f>
        <v>131400</v>
      </c>
      <c r="G22" s="585">
        <f t="shared" ref="G22:G27" si="1">D22*5*12</f>
        <v>4800</v>
      </c>
      <c r="H22" s="583"/>
    </row>
    <row r="23" customFormat="1" ht="25" customHeight="1" spans="1:8">
      <c r="A23" s="571">
        <v>21</v>
      </c>
      <c r="B23" s="574" t="s">
        <v>2384</v>
      </c>
      <c r="C23" s="579" t="s">
        <v>2385</v>
      </c>
      <c r="D23" s="579">
        <v>60</v>
      </c>
      <c r="E23" s="579" t="s">
        <v>2386</v>
      </c>
      <c r="F23" s="579">
        <f t="shared" si="0"/>
        <v>98550</v>
      </c>
      <c r="G23" s="585">
        <f t="shared" si="1"/>
        <v>3600</v>
      </c>
      <c r="H23" s="583"/>
    </row>
    <row r="24" s="568" customFormat="1" ht="25" customHeight="1" spans="1:8">
      <c r="A24" s="571">
        <v>22</v>
      </c>
      <c r="B24" s="579" t="s">
        <v>2387</v>
      </c>
      <c r="C24" s="579">
        <v>310</v>
      </c>
      <c r="D24" s="579">
        <v>230</v>
      </c>
      <c r="E24" s="579" t="s">
        <v>2366</v>
      </c>
      <c r="F24" s="579">
        <f t="shared" si="0"/>
        <v>377775</v>
      </c>
      <c r="G24" s="585">
        <f t="shared" si="1"/>
        <v>13800</v>
      </c>
      <c r="H24" s="583"/>
    </row>
    <row r="25" ht="25" customHeight="1" spans="1:8">
      <c r="A25" s="571">
        <v>23</v>
      </c>
      <c r="B25" s="579" t="s">
        <v>2388</v>
      </c>
      <c r="C25" s="579">
        <v>318</v>
      </c>
      <c r="D25" s="579">
        <v>230</v>
      </c>
      <c r="E25" s="579" t="s">
        <v>2366</v>
      </c>
      <c r="F25" s="585">
        <f t="shared" si="0"/>
        <v>377775</v>
      </c>
      <c r="G25" s="585">
        <f t="shared" si="1"/>
        <v>13800</v>
      </c>
      <c r="H25" s="583"/>
    </row>
    <row r="26" ht="25" customHeight="1" spans="1:8">
      <c r="A26" s="571">
        <v>24</v>
      </c>
      <c r="B26" s="579" t="s">
        <v>2389</v>
      </c>
      <c r="C26" s="579">
        <v>312</v>
      </c>
      <c r="D26" s="579">
        <v>45</v>
      </c>
      <c r="E26" s="579" t="s">
        <v>2366</v>
      </c>
      <c r="F26" s="585">
        <f t="shared" si="0"/>
        <v>73912.5</v>
      </c>
      <c r="G26" s="585">
        <f t="shared" si="1"/>
        <v>2700</v>
      </c>
      <c r="H26" s="583"/>
    </row>
    <row r="27" ht="25" customHeight="1" spans="1:8">
      <c r="A27" s="571">
        <v>25</v>
      </c>
      <c r="B27" s="579" t="s">
        <v>2389</v>
      </c>
      <c r="C27" s="579">
        <v>316</v>
      </c>
      <c r="D27" s="579">
        <v>65</v>
      </c>
      <c r="E27" s="579" t="s">
        <v>2366</v>
      </c>
      <c r="F27" s="585">
        <f t="shared" si="0"/>
        <v>106762.5</v>
      </c>
      <c r="G27" s="585">
        <f t="shared" si="1"/>
        <v>3900</v>
      </c>
      <c r="H27" s="583"/>
    </row>
    <row r="28" ht="25" customHeight="1" spans="1:8">
      <c r="A28" s="571">
        <v>26</v>
      </c>
      <c r="B28" s="579" t="s">
        <v>2390</v>
      </c>
      <c r="C28" s="579">
        <v>317</v>
      </c>
      <c r="D28" s="579">
        <v>240</v>
      </c>
      <c r="E28" s="579" t="s">
        <v>2366</v>
      </c>
      <c r="F28" s="585">
        <f t="shared" si="0"/>
        <v>394200</v>
      </c>
      <c r="G28" s="585">
        <f t="shared" ref="G28:G30" si="2">D28*8*12</f>
        <v>23040</v>
      </c>
      <c r="H28" s="583"/>
    </row>
    <row r="29" ht="25" customHeight="1" spans="1:8">
      <c r="A29" s="571">
        <v>27</v>
      </c>
      <c r="B29" s="579" t="s">
        <v>2391</v>
      </c>
      <c r="C29" s="579">
        <v>321</v>
      </c>
      <c r="D29" s="579">
        <v>103</v>
      </c>
      <c r="E29" s="579" t="s">
        <v>2392</v>
      </c>
      <c r="F29" s="585">
        <f t="shared" si="0"/>
        <v>169177.5</v>
      </c>
      <c r="G29" s="585">
        <f t="shared" si="2"/>
        <v>9888</v>
      </c>
      <c r="H29" s="583"/>
    </row>
    <row r="30" ht="25" customHeight="1" spans="1:8">
      <c r="A30" s="571">
        <v>28</v>
      </c>
      <c r="B30" s="574" t="s">
        <v>2393</v>
      </c>
      <c r="C30" s="574">
        <v>322</v>
      </c>
      <c r="D30" s="574">
        <v>110</v>
      </c>
      <c r="E30" s="579" t="s">
        <v>2366</v>
      </c>
      <c r="F30" s="586">
        <f t="shared" si="0"/>
        <v>180675</v>
      </c>
      <c r="G30" s="586">
        <f t="shared" si="2"/>
        <v>10560</v>
      </c>
      <c r="H30" s="583"/>
    </row>
    <row r="31" ht="25" customHeight="1" spans="1:8">
      <c r="A31" s="571">
        <v>29</v>
      </c>
      <c r="B31" s="574" t="s">
        <v>2394</v>
      </c>
      <c r="C31" s="574">
        <v>323</v>
      </c>
      <c r="D31" s="574">
        <v>30</v>
      </c>
      <c r="E31" s="581" t="s">
        <v>2366</v>
      </c>
      <c r="F31" s="586">
        <f t="shared" si="0"/>
        <v>49275</v>
      </c>
      <c r="G31" s="586">
        <f t="shared" ref="G31:G37" si="3">D31*5*12</f>
        <v>1800</v>
      </c>
      <c r="H31" s="583"/>
    </row>
    <row r="32" ht="25" customHeight="1" spans="1:8">
      <c r="A32" s="571">
        <v>30</v>
      </c>
      <c r="B32" s="579" t="s">
        <v>2395</v>
      </c>
      <c r="C32" s="579">
        <v>325</v>
      </c>
      <c r="D32" s="579">
        <v>30</v>
      </c>
      <c r="E32" s="581" t="s">
        <v>2366</v>
      </c>
      <c r="F32" s="585">
        <f t="shared" si="0"/>
        <v>49275</v>
      </c>
      <c r="G32" s="585">
        <f t="shared" si="3"/>
        <v>1800</v>
      </c>
      <c r="H32" s="583"/>
    </row>
    <row r="33" ht="25" customHeight="1" spans="1:8">
      <c r="A33" s="571">
        <v>31</v>
      </c>
      <c r="B33" s="579" t="s">
        <v>2396</v>
      </c>
      <c r="C33" s="579">
        <v>326</v>
      </c>
      <c r="D33" s="579">
        <v>30</v>
      </c>
      <c r="E33" s="581" t="s">
        <v>2366</v>
      </c>
      <c r="F33" s="585">
        <f t="shared" si="0"/>
        <v>49275</v>
      </c>
      <c r="G33" s="585">
        <f t="shared" si="3"/>
        <v>1800</v>
      </c>
      <c r="H33" s="583"/>
    </row>
    <row r="34" ht="25" customHeight="1" spans="1:8">
      <c r="A34" s="571">
        <v>32</v>
      </c>
      <c r="B34" s="579" t="s">
        <v>2397</v>
      </c>
      <c r="C34" s="579">
        <v>327</v>
      </c>
      <c r="D34" s="579">
        <v>42</v>
      </c>
      <c r="E34" s="581" t="s">
        <v>2366</v>
      </c>
      <c r="F34" s="585">
        <f t="shared" si="0"/>
        <v>68985</v>
      </c>
      <c r="G34" s="585">
        <f t="shared" si="3"/>
        <v>2520</v>
      </c>
      <c r="H34" s="583"/>
    </row>
    <row r="35" ht="25" customHeight="1" spans="1:8">
      <c r="A35" s="571">
        <v>33</v>
      </c>
      <c r="B35" s="579" t="s">
        <v>2398</v>
      </c>
      <c r="C35" s="579">
        <v>328</v>
      </c>
      <c r="D35" s="579">
        <v>35</v>
      </c>
      <c r="E35" s="581" t="s">
        <v>2366</v>
      </c>
      <c r="F35" s="585">
        <f t="shared" si="0"/>
        <v>57487.5</v>
      </c>
      <c r="G35" s="585">
        <f t="shared" si="3"/>
        <v>2100</v>
      </c>
      <c r="H35" s="583"/>
    </row>
    <row r="36" ht="25" customHeight="1" spans="1:8">
      <c r="A36" s="571">
        <v>34</v>
      </c>
      <c r="B36" s="579" t="s">
        <v>2399</v>
      </c>
      <c r="C36" s="579">
        <v>329</v>
      </c>
      <c r="D36" s="579">
        <v>35</v>
      </c>
      <c r="E36" s="581" t="s">
        <v>2366</v>
      </c>
      <c r="F36" s="585">
        <f t="shared" si="0"/>
        <v>57487.5</v>
      </c>
      <c r="G36" s="585">
        <f t="shared" si="3"/>
        <v>2100</v>
      </c>
      <c r="H36" s="583"/>
    </row>
    <row r="37" ht="25" customHeight="1" spans="1:8">
      <c r="A37" s="571">
        <v>35</v>
      </c>
      <c r="B37" s="579" t="s">
        <v>2400</v>
      </c>
      <c r="C37" s="579">
        <v>330</v>
      </c>
      <c r="D37" s="579">
        <v>45</v>
      </c>
      <c r="E37" s="581" t="s">
        <v>2366</v>
      </c>
      <c r="F37" s="585">
        <f t="shared" si="0"/>
        <v>73912.5</v>
      </c>
      <c r="G37" s="585">
        <f t="shared" si="3"/>
        <v>2700</v>
      </c>
      <c r="H37" s="583"/>
    </row>
    <row r="38" ht="25" customHeight="1" spans="1:8">
      <c r="A38" s="571">
        <v>36</v>
      </c>
      <c r="B38" s="579" t="s">
        <v>2401</v>
      </c>
      <c r="C38" s="579">
        <v>331</v>
      </c>
      <c r="D38" s="579">
        <v>68</v>
      </c>
      <c r="E38" s="579" t="s">
        <v>2402</v>
      </c>
      <c r="F38" s="585">
        <f t="shared" si="0"/>
        <v>111690</v>
      </c>
      <c r="G38" s="585">
        <f>D38*8*12</f>
        <v>6528</v>
      </c>
      <c r="H38" s="583"/>
    </row>
    <row r="39" ht="25" customHeight="1" spans="1:8">
      <c r="A39" s="571">
        <v>37</v>
      </c>
      <c r="B39" s="581" t="s">
        <v>2403</v>
      </c>
      <c r="C39" s="579">
        <v>332</v>
      </c>
      <c r="D39" s="579">
        <v>95</v>
      </c>
      <c r="E39" s="581" t="s">
        <v>2366</v>
      </c>
      <c r="F39" s="585">
        <f t="shared" si="0"/>
        <v>156037.5</v>
      </c>
      <c r="G39" s="585">
        <f t="shared" ref="G39:G42" si="4">D39*5*12</f>
        <v>5700</v>
      </c>
      <c r="H39" s="583"/>
    </row>
    <row r="40" ht="25" customHeight="1" spans="1:8">
      <c r="A40" s="571">
        <v>38</v>
      </c>
      <c r="B40" s="579" t="s">
        <v>2404</v>
      </c>
      <c r="C40" s="579">
        <v>333</v>
      </c>
      <c r="D40" s="579">
        <v>110</v>
      </c>
      <c r="E40" s="581" t="s">
        <v>2366</v>
      </c>
      <c r="F40" s="585">
        <f t="shared" si="0"/>
        <v>180675</v>
      </c>
      <c r="G40" s="585">
        <f t="shared" si="4"/>
        <v>6600</v>
      </c>
      <c r="H40" s="583"/>
    </row>
    <row r="41" ht="25" customHeight="1" spans="1:8">
      <c r="A41" s="571">
        <v>39</v>
      </c>
      <c r="B41" s="581" t="s">
        <v>2405</v>
      </c>
      <c r="C41" s="579">
        <v>335</v>
      </c>
      <c r="D41" s="579">
        <v>110</v>
      </c>
      <c r="E41" s="581" t="s">
        <v>2366</v>
      </c>
      <c r="F41" s="585">
        <f t="shared" si="0"/>
        <v>180675</v>
      </c>
      <c r="G41" s="585">
        <f t="shared" si="4"/>
        <v>6600</v>
      </c>
      <c r="H41" s="583"/>
    </row>
    <row r="42" ht="25" customHeight="1" spans="1:8">
      <c r="A42" s="571">
        <v>40</v>
      </c>
      <c r="B42" s="579" t="s">
        <v>2406</v>
      </c>
      <c r="C42" s="579">
        <v>337</v>
      </c>
      <c r="D42" s="579">
        <v>50</v>
      </c>
      <c r="E42" s="581" t="s">
        <v>2366</v>
      </c>
      <c r="F42" s="585">
        <f t="shared" si="0"/>
        <v>82125</v>
      </c>
      <c r="G42" s="585">
        <f t="shared" si="4"/>
        <v>3000</v>
      </c>
      <c r="H42" s="583"/>
    </row>
    <row r="43" ht="25" customHeight="1" spans="1:8">
      <c r="A43" s="571">
        <v>41</v>
      </c>
      <c r="B43" s="579" t="s">
        <v>2407</v>
      </c>
      <c r="C43" s="579" t="s">
        <v>2408</v>
      </c>
      <c r="D43" s="579">
        <v>416</v>
      </c>
      <c r="E43" s="579" t="s">
        <v>2409</v>
      </c>
      <c r="F43" s="585">
        <v>911040</v>
      </c>
      <c r="G43" s="585">
        <v>19968</v>
      </c>
      <c r="H43" s="583"/>
    </row>
    <row r="44" s="567" customFormat="1" ht="25" customHeight="1" spans="1:15">
      <c r="A44" s="576">
        <v>42</v>
      </c>
      <c r="B44" s="587" t="s">
        <v>2410</v>
      </c>
      <c r="C44" s="587" t="s">
        <v>2411</v>
      </c>
      <c r="D44" s="587">
        <v>4169.27</v>
      </c>
      <c r="E44" s="587" t="s">
        <v>2412</v>
      </c>
      <c r="F44" s="588">
        <v>8406000</v>
      </c>
      <c r="G44" s="588">
        <v>0</v>
      </c>
      <c r="H44" s="584" t="s">
        <v>2413</v>
      </c>
      <c r="J44" s="567">
        <f>ROUND(F44/D44/365,2)</f>
        <v>5.52</v>
      </c>
      <c r="K44" s="591">
        <v>44166</v>
      </c>
      <c r="L44" s="591">
        <v>47999</v>
      </c>
      <c r="M44" s="567" t="s">
        <v>2334</v>
      </c>
      <c r="N44" s="567" t="s">
        <v>2414</v>
      </c>
      <c r="O44" s="567">
        <f>4/30</f>
        <v>0.133333333333333</v>
      </c>
    </row>
    <row r="45" ht="25" customHeight="1" spans="1:8">
      <c r="A45" s="571">
        <v>43</v>
      </c>
      <c r="B45" s="574" t="s">
        <v>2415</v>
      </c>
      <c r="C45" s="574" t="s">
        <v>2416</v>
      </c>
      <c r="D45" s="574">
        <v>15</v>
      </c>
      <c r="E45" s="574" t="s">
        <v>2417</v>
      </c>
      <c r="F45" s="586">
        <v>300000</v>
      </c>
      <c r="G45" s="586">
        <v>0</v>
      </c>
      <c r="H45" s="575"/>
    </row>
    <row r="46" ht="25" customHeight="1" spans="1:8">
      <c r="A46" s="571">
        <v>44</v>
      </c>
      <c r="B46" s="574" t="s">
        <v>2418</v>
      </c>
      <c r="C46" s="574">
        <v>701</v>
      </c>
      <c r="D46" s="574">
        <v>80</v>
      </c>
      <c r="E46" s="574" t="s">
        <v>2419</v>
      </c>
      <c r="F46" s="586">
        <v>120000</v>
      </c>
      <c r="G46" s="585">
        <f>D46*5*12</f>
        <v>4800</v>
      </c>
      <c r="H46" s="583"/>
    </row>
    <row r="47" ht="25" customHeight="1" spans="1:8">
      <c r="A47" s="571">
        <v>45</v>
      </c>
      <c r="B47" s="574" t="s">
        <v>2420</v>
      </c>
      <c r="C47" s="574" t="s">
        <v>2421</v>
      </c>
      <c r="D47" s="574" t="s">
        <v>2422</v>
      </c>
      <c r="E47" s="574" t="s">
        <v>2423</v>
      </c>
      <c r="F47" s="586">
        <v>600000</v>
      </c>
      <c r="G47" s="586">
        <v>0</v>
      </c>
      <c r="H47" s="580" t="s">
        <v>2424</v>
      </c>
    </row>
    <row r="48" ht="25" customHeight="1" spans="1:8">
      <c r="A48" s="571">
        <v>46</v>
      </c>
      <c r="B48" s="574" t="s">
        <v>2425</v>
      </c>
      <c r="C48" s="574"/>
      <c r="D48" s="574"/>
      <c r="E48" s="579" t="s">
        <v>2412</v>
      </c>
      <c r="F48" s="586">
        <v>400000</v>
      </c>
      <c r="G48" s="586"/>
      <c r="H48" s="583"/>
    </row>
    <row r="49" s="568" customFormat="1" ht="25" customHeight="1" spans="1:8">
      <c r="A49" s="571">
        <v>47</v>
      </c>
      <c r="B49" s="574" t="s">
        <v>2426</v>
      </c>
      <c r="C49" s="574"/>
      <c r="D49" s="574"/>
      <c r="E49" s="574"/>
      <c r="F49" s="586">
        <v>1200000</v>
      </c>
      <c r="G49" s="586"/>
      <c r="H49" s="583"/>
    </row>
    <row r="50" ht="25" customHeight="1" spans="1:8">
      <c r="A50" s="571">
        <v>48</v>
      </c>
      <c r="B50" s="574" t="s">
        <v>2427</v>
      </c>
      <c r="C50" s="574"/>
      <c r="D50" s="574"/>
      <c r="E50" s="581" t="s">
        <v>2366</v>
      </c>
      <c r="F50" s="586">
        <v>0</v>
      </c>
      <c r="G50" s="586">
        <v>200000</v>
      </c>
      <c r="H50" s="583"/>
    </row>
    <row r="51" ht="25" customHeight="1" spans="1:8">
      <c r="A51" s="571">
        <v>49</v>
      </c>
      <c r="B51" s="574" t="s">
        <v>2428</v>
      </c>
      <c r="C51" s="574"/>
      <c r="D51" s="574"/>
      <c r="E51" s="574"/>
      <c r="F51" s="586">
        <v>1450000</v>
      </c>
      <c r="G51" s="586"/>
      <c r="H51" s="583"/>
    </row>
    <row r="52" ht="25" customHeight="1" spans="1:8">
      <c r="A52" s="571">
        <v>50</v>
      </c>
      <c r="B52" s="589" t="s">
        <v>2429</v>
      </c>
      <c r="C52" s="574"/>
      <c r="D52" s="574"/>
      <c r="E52" s="574"/>
      <c r="F52" s="586">
        <v>3420000</v>
      </c>
      <c r="G52" s="586"/>
      <c r="H52" s="583"/>
    </row>
    <row r="53" ht="29" customHeight="1" spans="1:8">
      <c r="A53" s="571"/>
      <c r="B53" s="574" t="s">
        <v>350</v>
      </c>
      <c r="C53" s="574"/>
      <c r="D53" s="574">
        <f>SUM(D3:D45)</f>
        <v>9688.69</v>
      </c>
      <c r="E53" s="574"/>
      <c r="F53" s="586">
        <f>SUM(F3:F52)</f>
        <v>27429514.5</v>
      </c>
      <c r="G53" s="586">
        <f>SUM(G3:G52)</f>
        <v>1625642</v>
      </c>
      <c r="H53" s="583"/>
    </row>
    <row r="54" ht="33" customHeight="1" spans="5:7">
      <c r="E54" s="568" t="s">
        <v>2430</v>
      </c>
      <c r="F54" s="569">
        <f>F53+G53</f>
        <v>29055156.5</v>
      </c>
      <c r="G54" s="569"/>
    </row>
    <row r="55" spans="5:6">
      <c r="E55" s="568" t="s">
        <v>2431</v>
      </c>
      <c r="F55" s="568">
        <f>ROUND(F54/10109.15/365,2)</f>
        <v>7.87</v>
      </c>
    </row>
  </sheetData>
  <mergeCells count="3">
    <mergeCell ref="A1:H1"/>
    <mergeCell ref="K2:L2"/>
    <mergeCell ref="F54:G54"/>
  </mergeCells>
  <pageMargins left="0.354166666666667" right="0.196527777777778" top="0.511805555555556" bottom="0.432638888888889" header="0.5" footer="0.5"/>
  <pageSetup paperSize="9" scale="70" fitToHeight="0" orientation="portrait"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86" customWidth="1"/>
    <col min="2" max="2" width="37.2222222222222" style="3686" customWidth="1"/>
    <col min="3" max="3" width="11.3333333333333" style="3686" customWidth="1"/>
    <col min="4" max="4" width="31.7777777777778" style="3686" customWidth="1"/>
    <col min="5" max="5" width="0.444444444444444" style="3686" customWidth="1"/>
    <col min="6" max="7" width="13" style="3686" customWidth="1"/>
    <col min="8" max="16384" width="9" style="3686"/>
  </cols>
  <sheetData>
    <row r="1" ht="17.4" spans="1:5">
      <c r="A1" s="3687" t="s">
        <v>94</v>
      </c>
      <c r="B1" s="3688"/>
      <c r="C1" s="3688"/>
      <c r="D1" s="3688"/>
      <c r="E1" s="3688"/>
    </row>
    <row r="2" ht="78" customHeight="1" spans="1:5">
      <c r="A2" s="36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9"/>
      <c r="C2" s="3689"/>
      <c r="D2" s="3689"/>
      <c r="E2" s="3689"/>
    </row>
    <row r="3" ht="17.4" spans="1:5">
      <c r="A3" s="3690" t="str">
        <f>IF(项目基本情况!B9="房地产市场价值","估价结果一览表（市场价值不需“结果表-1”）","估价结果一览表")</f>
        <v>估价结果一览表</v>
      </c>
      <c r="B3" s="3690"/>
      <c r="C3" s="3690"/>
      <c r="D3" s="3690"/>
      <c r="E3" s="3690"/>
    </row>
    <row r="4" ht="18.15" spans="1:5">
      <c r="A4" s="3690"/>
      <c r="B4" s="3691" t="s">
        <v>95</v>
      </c>
      <c r="C4" s="3691"/>
      <c r="D4" s="3691"/>
      <c r="E4" s="3690"/>
    </row>
    <row r="5" ht="16.35" spans="1:5">
      <c r="A5" s="3688"/>
      <c r="B5" s="3692" t="s">
        <v>96</v>
      </c>
      <c r="C5" s="3693" t="s">
        <v>97</v>
      </c>
      <c r="D5" s="3694">
        <f ca="1">结果表!H101</f>
        <v>27351</v>
      </c>
      <c r="E5" s="3688"/>
    </row>
    <row r="6" ht="15.6" spans="1:5">
      <c r="A6" s="3688"/>
      <c r="B6" s="3692"/>
      <c r="C6" s="3693" t="s">
        <v>98</v>
      </c>
      <c r="D6" s="3694" t="str">
        <f ca="1">NUMBERSTRING(INT(D5*10000),2)&amp;"元整"</f>
        <v>贰亿柒仟叁佰伍拾壹万元整</v>
      </c>
      <c r="E6" s="3688"/>
    </row>
    <row r="7" ht="15.6" spans="1:5">
      <c r="A7" s="3688"/>
      <c r="B7" s="3695"/>
      <c r="C7" s="3696" t="s">
        <v>99</v>
      </c>
      <c r="D7" s="3697">
        <f ca="1">结果表!H102</f>
        <v>27056</v>
      </c>
      <c r="E7" s="3688"/>
    </row>
    <row r="8" ht="15.6" spans="1:5">
      <c r="A8" s="3688"/>
      <c r="B8" s="3698" t="str">
        <f>结果表!E103</f>
        <v>2.估价师知悉的法定优先受偿款</v>
      </c>
      <c r="C8" s="3699" t="s">
        <v>100</v>
      </c>
      <c r="D8" s="3697">
        <f>结果表!H103</f>
        <v>0</v>
      </c>
      <c r="E8" s="3688"/>
    </row>
    <row r="9" ht="15.6" spans="1:5">
      <c r="A9" s="3688"/>
      <c r="B9" s="3700"/>
      <c r="C9" s="3693" t="s">
        <v>98</v>
      </c>
      <c r="D9" s="3694" t="str">
        <f>NUMBERSTRING(INT(D8*10000),2)&amp;"元整"</f>
        <v>零元整</v>
      </c>
      <c r="E9" s="3688"/>
    </row>
    <row r="10" ht="15.6" spans="1:5">
      <c r="A10" s="3688"/>
      <c r="B10" s="3701" t="s">
        <v>101</v>
      </c>
      <c r="C10" s="3702" t="s">
        <v>102</v>
      </c>
      <c r="D10" s="3703">
        <f>结果表!H104</f>
        <v>0</v>
      </c>
      <c r="E10" s="3688"/>
    </row>
    <row r="11" ht="15.6" spans="1:5">
      <c r="A11" s="3688"/>
      <c r="B11" s="3701" t="s">
        <v>103</v>
      </c>
      <c r="C11" s="3702" t="s">
        <v>102</v>
      </c>
      <c r="D11" s="3703">
        <f>结果表!H105</f>
        <v>0</v>
      </c>
      <c r="E11" s="3688"/>
    </row>
    <row r="12" ht="15.6" spans="1:5">
      <c r="A12" s="3688"/>
      <c r="B12" s="3701" t="s">
        <v>104</v>
      </c>
      <c r="C12" s="3702" t="s">
        <v>102</v>
      </c>
      <c r="D12" s="3703">
        <f>结果表!H106</f>
        <v>0</v>
      </c>
      <c r="E12" s="3688"/>
    </row>
    <row r="13" ht="15.6" spans="1:5">
      <c r="A13" s="3688"/>
      <c r="B13" s="3704" t="str">
        <f>结果表!E107</f>
        <v>——</v>
      </c>
      <c r="C13" s="3705" t="s">
        <v>97</v>
      </c>
      <c r="D13" s="3706" t="str">
        <f ca="1">结果表!H107</f>
        <v>——</v>
      </c>
      <c r="E13" s="3688"/>
    </row>
    <row r="14" ht="15.6" spans="1:5">
      <c r="A14" s="3688"/>
      <c r="B14" s="3692"/>
      <c r="C14" s="3693" t="s">
        <v>98</v>
      </c>
      <c r="D14" s="3694" t="e">
        <f ca="1">NUMBERSTRING(INT(D13*10000),2)&amp;"元整"</f>
        <v>#VALUE!</v>
      </c>
      <c r="E14" s="3688"/>
    </row>
    <row r="15" ht="15.6" spans="1:5">
      <c r="A15" s="3688"/>
      <c r="B15" s="3695"/>
      <c r="C15" s="3696" t="s">
        <v>99</v>
      </c>
      <c r="D15" s="3707" t="e">
        <f ca="1">结果表!H108</f>
        <v>#VALUE!</v>
      </c>
      <c r="E15" s="3688"/>
    </row>
    <row r="16" ht="15.6" spans="1:5">
      <c r="A16" s="3688"/>
      <c r="B16" s="3698" t="str">
        <f>结果表!E109</f>
        <v>3.抵押担保权已注销时的房地产抵押价值</v>
      </c>
      <c r="C16" s="3705" t="s">
        <v>97</v>
      </c>
      <c r="D16" s="3708">
        <f ca="1">结果表!H109</f>
        <v>27351</v>
      </c>
      <c r="E16" s="3688"/>
    </row>
    <row r="17" ht="15.6" spans="1:5">
      <c r="A17" s="3688"/>
      <c r="B17" s="3709"/>
      <c r="C17" s="3693" t="s">
        <v>98</v>
      </c>
      <c r="D17" s="3694" t="str">
        <f ca="1">NUMBERSTRING(INT(D16*10000),2)&amp;"元整"</f>
        <v>贰亿柒仟叁佰伍拾壹万元整</v>
      </c>
      <c r="E17" s="3688"/>
    </row>
    <row r="18" ht="15.6" spans="1:5">
      <c r="A18" s="3688"/>
      <c r="B18" s="3700"/>
      <c r="C18" s="3696" t="s">
        <v>99</v>
      </c>
      <c r="D18" s="3707">
        <f ca="1">结果表!H110</f>
        <v>27056</v>
      </c>
      <c r="E18" s="3688"/>
    </row>
    <row r="19" ht="15.6" spans="1:5">
      <c r="A19" s="3688"/>
      <c r="B19" s="3704" t="str">
        <f>结果表!E111</f>
        <v>——</v>
      </c>
      <c r="C19" s="3705" t="s">
        <v>97</v>
      </c>
      <c r="D19" s="3697" t="str">
        <f ca="1">结果表!H111</f>
        <v>——</v>
      </c>
      <c r="E19" s="3688"/>
    </row>
    <row r="20" ht="15.6" spans="1:5">
      <c r="A20" s="3688"/>
      <c r="B20" s="3692"/>
      <c r="C20" s="3693" t="s">
        <v>98</v>
      </c>
      <c r="D20" s="3694" t="e">
        <f ca="1">NUMBERSTRING(INT(D19*10000),2)&amp;"元整"</f>
        <v>#VALUE!</v>
      </c>
      <c r="E20" s="3688"/>
    </row>
    <row r="21" ht="16.35" spans="1:5">
      <c r="A21" s="3688"/>
      <c r="B21" s="3710"/>
      <c r="C21" s="3711" t="s">
        <v>99</v>
      </c>
      <c r="D21" s="3712" t="str">
        <f ca="1">结果表!H112</f>
        <v>——</v>
      </c>
      <c r="E21" s="3688"/>
    </row>
    <row r="22" ht="14.55" spans="1:5">
      <c r="A22" s="3688"/>
      <c r="B22" s="3713" t="s">
        <v>105</v>
      </c>
      <c r="C22" s="3688"/>
      <c r="D22" s="3688"/>
      <c r="E22" s="3688"/>
    </row>
    <row r="23" spans="1:5">
      <c r="A23" s="3688"/>
      <c r="B23" s="3688"/>
      <c r="C23" s="3688"/>
      <c r="D23" s="3688"/>
      <c r="E23" s="3688"/>
    </row>
    <row r="24" ht="17.4" spans="1:5">
      <c r="A24" s="3714"/>
      <c r="B24" s="3715" t="s">
        <v>106</v>
      </c>
      <c r="C24" s="3714"/>
      <c r="D24" s="3714"/>
      <c r="E24" s="3714"/>
    </row>
    <row r="25" spans="1:5">
      <c r="A25" s="3714"/>
      <c r="B25" s="3714"/>
      <c r="C25" s="3714"/>
      <c r="D25" s="3714"/>
      <c r="E25" s="3714"/>
    </row>
    <row r="26" spans="1:5">
      <c r="A26" s="3714"/>
      <c r="B26" s="3714"/>
      <c r="C26" s="3714"/>
      <c r="D26" s="3714"/>
      <c r="E26" s="3714"/>
    </row>
    <row r="27" spans="1:5">
      <c r="A27" s="3714"/>
      <c r="B27" s="3714"/>
      <c r="C27" s="3714"/>
      <c r="D27" s="3714"/>
      <c r="E27" s="3714"/>
    </row>
    <row r="28" spans="1:5">
      <c r="A28" s="3714"/>
      <c r="B28" s="3714"/>
      <c r="C28" s="3714"/>
      <c r="D28" s="3714"/>
      <c r="E28" s="3714"/>
    </row>
    <row r="29" spans="1:5">
      <c r="A29" s="3714"/>
      <c r="B29" s="3714"/>
      <c r="C29" s="3714"/>
      <c r="D29" s="3714"/>
      <c r="E29" s="3714"/>
    </row>
    <row r="30" spans="1:5">
      <c r="A30" s="3714"/>
      <c r="B30" s="3714"/>
      <c r="C30" s="3714"/>
      <c r="D30" s="3714"/>
      <c r="E30" s="3714"/>
    </row>
    <row r="31" spans="1:5">
      <c r="A31" s="3714"/>
      <c r="B31" s="3714"/>
      <c r="C31" s="3714"/>
      <c r="D31" s="3714"/>
      <c r="E31" s="3714"/>
    </row>
    <row r="32" spans="1:5">
      <c r="A32" s="3714"/>
      <c r="B32" s="3714"/>
      <c r="C32" s="3714"/>
      <c r="D32" s="3714"/>
      <c r="E32" s="3714"/>
    </row>
    <row r="33" spans="1:5">
      <c r="A33" s="3714"/>
      <c r="B33" s="3714"/>
      <c r="C33" s="3714"/>
      <c r="D33" s="3714"/>
      <c r="E33" s="3714"/>
    </row>
    <row r="34" spans="1:5">
      <c r="A34" s="3714"/>
      <c r="B34" s="3714"/>
      <c r="C34" s="3714"/>
      <c r="D34" s="3714"/>
      <c r="E34" s="3714"/>
    </row>
    <row r="35" spans="1:5">
      <c r="A35" s="3714"/>
      <c r="B35" s="3714"/>
      <c r="C35" s="3714"/>
      <c r="D35" s="3714"/>
      <c r="E35" s="3714"/>
    </row>
    <row r="36" spans="1:5">
      <c r="A36" s="3714"/>
      <c r="B36" s="3714"/>
      <c r="C36" s="3714"/>
      <c r="D36" s="3714"/>
      <c r="E36" s="3714"/>
    </row>
    <row r="37" spans="1:5">
      <c r="A37" s="3714"/>
      <c r="B37" s="3714"/>
      <c r="C37" s="3714"/>
      <c r="D37" s="3714"/>
      <c r="E37" s="3714"/>
    </row>
    <row r="38" spans="1:5">
      <c r="A38" s="3714"/>
      <c r="B38" s="3714"/>
      <c r="C38" s="3714"/>
      <c r="D38" s="3714"/>
      <c r="E38" s="3714"/>
    </row>
    <row r="39" spans="1:5">
      <c r="A39" s="3714"/>
      <c r="B39" s="3714"/>
      <c r="C39" s="3714"/>
      <c r="D39" s="3714"/>
      <c r="E39" s="3714"/>
    </row>
    <row r="40" spans="1:5">
      <c r="A40" s="3714"/>
      <c r="B40" s="3714"/>
      <c r="C40" s="3714"/>
      <c r="D40" s="3714"/>
      <c r="E40" s="3714"/>
    </row>
    <row r="41" spans="1:5">
      <c r="A41" s="3714"/>
      <c r="B41" s="3714"/>
      <c r="C41" s="3714"/>
      <c r="D41" s="3714"/>
      <c r="E41" s="3714"/>
    </row>
    <row r="42" spans="1:5">
      <c r="A42" s="3714"/>
      <c r="B42" s="3714"/>
      <c r="C42" s="3714"/>
      <c r="D42" s="3714"/>
      <c r="E42" s="371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2432</v>
      </c>
      <c r="B2" s="502">
        <v>3.5</v>
      </c>
      <c r="C2" s="502">
        <v>3.5</v>
      </c>
      <c r="D2" s="503">
        <v>2.5</v>
      </c>
      <c r="E2" s="503">
        <v>2.5</v>
      </c>
      <c r="F2" s="503">
        <v>2.5</v>
      </c>
      <c r="G2" s="503">
        <v>2.5</v>
      </c>
      <c r="H2" s="503">
        <v>2.5</v>
      </c>
      <c r="I2" s="502">
        <v>2</v>
      </c>
      <c r="J2" s="502">
        <v>2</v>
      </c>
      <c r="K2" s="502">
        <v>2</v>
      </c>
      <c r="L2" s="502">
        <v>2</v>
      </c>
      <c r="M2" s="556">
        <v>2</v>
      </c>
    </row>
    <row r="3" customHeight="1" spans="1:13">
      <c r="A3" s="504" t="s">
        <v>549</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2433</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2434</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2435</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2436</v>
      </c>
      <c r="B18" s="518"/>
      <c r="C18" s="519"/>
      <c r="D18" s="519"/>
      <c r="E18" s="518"/>
      <c r="F18" s="519"/>
      <c r="G18" s="519"/>
    </row>
    <row r="19" customHeight="1" spans="1:7">
      <c r="A19" s="517" t="s">
        <v>2437</v>
      </c>
      <c r="B19" s="520" t="s">
        <v>2438</v>
      </c>
      <c r="C19" s="520" t="s">
        <v>2439</v>
      </c>
      <c r="D19" s="521"/>
      <c r="E19" s="517" t="s">
        <v>2440</v>
      </c>
      <c r="F19" s="522"/>
      <c r="G19" s="522"/>
    </row>
    <row r="20" customHeight="1" spans="1:7">
      <c r="A20" s="523" t="s">
        <v>2432</v>
      </c>
      <c r="B20" s="524" t="s">
        <v>2441</v>
      </c>
      <c r="C20" s="525" t="s">
        <v>2442</v>
      </c>
      <c r="D20" s="526"/>
      <c r="E20" s="527">
        <v>1</v>
      </c>
      <c r="F20" s="528" t="s">
        <v>2443</v>
      </c>
      <c r="G20" s="528"/>
    </row>
    <row r="21" customHeight="1" spans="1:7">
      <c r="A21" s="529"/>
      <c r="B21" s="530"/>
      <c r="C21" s="531" t="s">
        <v>2444</v>
      </c>
      <c r="D21" s="532"/>
      <c r="E21" s="533">
        <v>1</v>
      </c>
      <c r="F21" s="528" t="s">
        <v>2445</v>
      </c>
      <c r="G21" s="528"/>
    </row>
    <row r="22" customHeight="1" spans="1:7">
      <c r="A22" s="529"/>
      <c r="B22" s="530"/>
      <c r="C22" s="531" t="s">
        <v>2446</v>
      </c>
      <c r="D22" s="532"/>
      <c r="E22" s="533">
        <v>0.9</v>
      </c>
      <c r="F22" s="528" t="s">
        <v>2447</v>
      </c>
      <c r="G22" s="528"/>
    </row>
    <row r="23" customHeight="1" spans="1:7">
      <c r="A23" s="529"/>
      <c r="B23" s="530"/>
      <c r="C23" s="531" t="s">
        <v>2448</v>
      </c>
      <c r="D23" s="532"/>
      <c r="E23" s="533">
        <v>0.9</v>
      </c>
      <c r="F23" s="528" t="s">
        <v>2449</v>
      </c>
      <c r="G23" s="528"/>
    </row>
    <row r="24" customHeight="1" spans="1:7">
      <c r="A24" s="529"/>
      <c r="B24" s="530"/>
      <c r="C24" s="531" t="s">
        <v>2450</v>
      </c>
      <c r="D24" s="532"/>
      <c r="E24" s="533">
        <v>0.8</v>
      </c>
      <c r="F24" s="528" t="s">
        <v>2451</v>
      </c>
      <c r="G24" s="528"/>
    </row>
    <row r="25" customHeight="1" spans="1:7">
      <c r="A25" s="534"/>
      <c r="B25" s="535"/>
      <c r="C25" s="536" t="s">
        <v>2452</v>
      </c>
      <c r="D25" s="537"/>
      <c r="E25" s="538">
        <v>0.8</v>
      </c>
      <c r="F25" s="528" t="s">
        <v>2453</v>
      </c>
      <c r="G25" s="528"/>
    </row>
    <row r="26" customHeight="1" spans="1:7">
      <c r="A26" s="539" t="s">
        <v>549</v>
      </c>
      <c r="B26" s="540" t="s">
        <v>2441</v>
      </c>
      <c r="C26" s="541" t="s">
        <v>1720</v>
      </c>
      <c r="D26" s="542"/>
      <c r="E26" s="543">
        <v>1</v>
      </c>
      <c r="F26" s="528" t="s">
        <v>2454</v>
      </c>
      <c r="G26" s="528"/>
    </row>
    <row r="27" customHeight="1" spans="1:7">
      <c r="A27" s="544" t="s">
        <v>280</v>
      </c>
      <c r="B27" s="524" t="s">
        <v>280</v>
      </c>
      <c r="C27" s="525" t="s">
        <v>2455</v>
      </c>
      <c r="D27" s="526"/>
      <c r="E27" s="527">
        <v>1</v>
      </c>
      <c r="F27" s="528" t="s">
        <v>2456</v>
      </c>
      <c r="G27" s="528"/>
    </row>
    <row r="28" customHeight="1" spans="1:7">
      <c r="A28" s="545"/>
      <c r="B28" s="530"/>
      <c r="C28" s="531" t="s">
        <v>2457</v>
      </c>
      <c r="D28" s="532"/>
      <c r="E28" s="533">
        <v>1</v>
      </c>
      <c r="F28" s="528" t="s">
        <v>2458</v>
      </c>
      <c r="G28" s="528"/>
    </row>
    <row r="29" customHeight="1" spans="1:7">
      <c r="A29" s="545"/>
      <c r="B29" s="530"/>
      <c r="C29" s="531" t="s">
        <v>2459</v>
      </c>
      <c r="D29" s="532"/>
      <c r="E29" s="533">
        <v>0.8</v>
      </c>
      <c r="F29" s="528" t="s">
        <v>2460</v>
      </c>
      <c r="G29" s="528"/>
    </row>
    <row r="30" customHeight="1" spans="1:7">
      <c r="A30" s="545"/>
      <c r="B30" s="530"/>
      <c r="C30" s="531" t="s">
        <v>2461</v>
      </c>
      <c r="D30" s="532"/>
      <c r="E30" s="533">
        <v>0.8</v>
      </c>
      <c r="F30" s="528" t="s">
        <v>2462</v>
      </c>
      <c r="G30" s="528"/>
    </row>
    <row r="31" customHeight="1" spans="1:7">
      <c r="A31" s="545"/>
      <c r="B31" s="530"/>
      <c r="C31" s="531" t="s">
        <v>2463</v>
      </c>
      <c r="D31" s="532"/>
      <c r="E31" s="533">
        <v>0.8</v>
      </c>
      <c r="F31" s="528" t="s">
        <v>2464</v>
      </c>
      <c r="G31" s="528"/>
    </row>
    <row r="32" customHeight="1" spans="1:7">
      <c r="A32" s="545"/>
      <c r="B32" s="530"/>
      <c r="C32" s="531" t="s">
        <v>2465</v>
      </c>
      <c r="D32" s="532"/>
      <c r="E32" s="533">
        <v>0.7</v>
      </c>
      <c r="F32" s="528" t="s">
        <v>2466</v>
      </c>
      <c r="G32" s="528"/>
    </row>
    <row r="33" customHeight="1" spans="1:7">
      <c r="A33" s="545"/>
      <c r="B33" s="530"/>
      <c r="C33" s="531" t="s">
        <v>2467</v>
      </c>
      <c r="D33" s="532"/>
      <c r="E33" s="533">
        <v>0.8</v>
      </c>
      <c r="F33" s="528" t="s">
        <v>2468</v>
      </c>
      <c r="G33" s="528"/>
    </row>
    <row r="34" customHeight="1" spans="1:7">
      <c r="A34" s="545"/>
      <c r="B34" s="530"/>
      <c r="C34" s="531" t="s">
        <v>2469</v>
      </c>
      <c r="D34" s="532"/>
      <c r="E34" s="533">
        <v>0.6</v>
      </c>
      <c r="F34" s="528" t="s">
        <v>2470</v>
      </c>
      <c r="G34" s="528"/>
    </row>
    <row r="35" customHeight="1" spans="1:7">
      <c r="A35" s="545"/>
      <c r="B35" s="530"/>
      <c r="C35" s="531" t="s">
        <v>2471</v>
      </c>
      <c r="D35" s="532"/>
      <c r="E35" s="533">
        <v>0.2</v>
      </c>
      <c r="F35" s="528" t="s">
        <v>2472</v>
      </c>
      <c r="G35" s="528"/>
    </row>
    <row r="36" customHeight="1" spans="1:7">
      <c r="A36" s="545"/>
      <c r="B36" s="530"/>
      <c r="C36" s="531" t="s">
        <v>2473</v>
      </c>
      <c r="D36" s="532"/>
      <c r="E36" s="533">
        <v>0.2</v>
      </c>
      <c r="F36" s="528" t="s">
        <v>2474</v>
      </c>
      <c r="G36" s="528"/>
    </row>
    <row r="37" customHeight="1" spans="1:7">
      <c r="A37" s="545"/>
      <c r="B37" s="546" t="s">
        <v>2475</v>
      </c>
      <c r="C37" s="531" t="s">
        <v>2476</v>
      </c>
      <c r="D37" s="532"/>
      <c r="E37" s="533">
        <v>0.6</v>
      </c>
      <c r="F37" s="528" t="s">
        <v>2477</v>
      </c>
      <c r="G37" s="528"/>
    </row>
    <row r="38" customHeight="1" spans="1:7">
      <c r="A38" s="545"/>
      <c r="B38" s="530"/>
      <c r="C38" s="531" t="s">
        <v>2478</v>
      </c>
      <c r="D38" s="532"/>
      <c r="E38" s="533">
        <v>0.6</v>
      </c>
      <c r="F38" s="528" t="s">
        <v>2479</v>
      </c>
      <c r="G38" s="528"/>
    </row>
    <row r="39" customHeight="1" spans="1:7">
      <c r="A39" s="547"/>
      <c r="B39" s="535"/>
      <c r="C39" s="536" t="s">
        <v>2480</v>
      </c>
      <c r="D39" s="537"/>
      <c r="E39" s="538">
        <v>0.6</v>
      </c>
      <c r="F39" s="528" t="s">
        <v>2481</v>
      </c>
      <c r="G39" s="528"/>
    </row>
    <row r="40" customHeight="1" spans="1:7">
      <c r="A40" s="539" t="s">
        <v>412</v>
      </c>
      <c r="B40" s="540" t="s">
        <v>412</v>
      </c>
      <c r="C40" s="541" t="s">
        <v>2482</v>
      </c>
      <c r="D40" s="542"/>
      <c r="E40" s="543">
        <v>1</v>
      </c>
      <c r="F40" s="528" t="s">
        <v>2483</v>
      </c>
      <c r="G40" s="528"/>
    </row>
    <row r="41" customHeight="1" spans="1:7">
      <c r="A41" s="523" t="s">
        <v>408</v>
      </c>
      <c r="B41" s="524" t="s">
        <v>2484</v>
      </c>
      <c r="C41" s="525" t="s">
        <v>2485</v>
      </c>
      <c r="D41" s="526"/>
      <c r="E41" s="527">
        <v>1</v>
      </c>
      <c r="F41" s="528" t="s">
        <v>2486</v>
      </c>
      <c r="G41" s="528"/>
    </row>
    <row r="42" customHeight="1" spans="1:7">
      <c r="A42" s="529"/>
      <c r="B42" s="530"/>
      <c r="C42" s="531" t="s">
        <v>2487</v>
      </c>
      <c r="D42" s="532"/>
      <c r="E42" s="533">
        <v>1</v>
      </c>
      <c r="F42" s="528" t="s">
        <v>2488</v>
      </c>
      <c r="G42" s="528"/>
    </row>
    <row r="43" customHeight="1" spans="1:7">
      <c r="A43" s="529"/>
      <c r="B43" s="548"/>
      <c r="C43" s="531" t="s">
        <v>2489</v>
      </c>
      <c r="D43" s="532"/>
      <c r="E43" s="533">
        <v>1.5</v>
      </c>
      <c r="F43" s="528" t="s">
        <v>2490</v>
      </c>
      <c r="G43" s="528"/>
    </row>
    <row r="44" customHeight="1" spans="1:7">
      <c r="A44" s="529"/>
      <c r="B44" s="549" t="s">
        <v>280</v>
      </c>
      <c r="C44" s="531" t="s">
        <v>2433</v>
      </c>
      <c r="D44" s="532"/>
      <c r="E44" s="533">
        <v>2</v>
      </c>
      <c r="F44" s="528" t="s">
        <v>2491</v>
      </c>
      <c r="G44" s="528"/>
    </row>
    <row r="45" customHeight="1" spans="1:7">
      <c r="A45" s="529"/>
      <c r="B45" s="546" t="s">
        <v>2492</v>
      </c>
      <c r="C45" s="531" t="s">
        <v>2493</v>
      </c>
      <c r="D45" s="532"/>
      <c r="E45" s="533">
        <v>1</v>
      </c>
      <c r="F45" s="528" t="s">
        <v>2494</v>
      </c>
      <c r="G45" s="528"/>
    </row>
    <row r="46" customHeight="1" spans="1:7">
      <c r="A46" s="529"/>
      <c r="B46" s="530"/>
      <c r="C46" s="531" t="s">
        <v>2495</v>
      </c>
      <c r="D46" s="532"/>
      <c r="E46" s="533">
        <v>1</v>
      </c>
      <c r="F46" s="528" t="s">
        <v>2496</v>
      </c>
      <c r="G46" s="528"/>
    </row>
    <row r="47" customHeight="1" spans="1:7">
      <c r="A47" s="529"/>
      <c r="B47" s="530"/>
      <c r="C47" s="531" t="s">
        <v>2497</v>
      </c>
      <c r="D47" s="532"/>
      <c r="E47" s="533">
        <v>1</v>
      </c>
      <c r="F47" s="528" t="s">
        <v>2498</v>
      </c>
      <c r="G47" s="528"/>
    </row>
    <row r="48" customHeight="1" spans="1:7">
      <c r="A48" s="529"/>
      <c r="B48" s="530"/>
      <c r="C48" s="531" t="s">
        <v>2499</v>
      </c>
      <c r="D48" s="532"/>
      <c r="E48" s="533">
        <v>1</v>
      </c>
      <c r="F48" s="528" t="s">
        <v>2500</v>
      </c>
      <c r="G48" s="528"/>
    </row>
    <row r="49" customHeight="1" spans="1:7">
      <c r="A49" s="529"/>
      <c r="B49" s="530"/>
      <c r="C49" s="531" t="s">
        <v>2501</v>
      </c>
      <c r="D49" s="532"/>
      <c r="E49" s="533">
        <v>1</v>
      </c>
      <c r="F49" s="528" t="s">
        <v>2502</v>
      </c>
      <c r="G49" s="528"/>
    </row>
    <row r="50" customHeight="1" spans="1:7">
      <c r="A50" s="529"/>
      <c r="B50" s="530"/>
      <c r="C50" s="531" t="s">
        <v>2503</v>
      </c>
      <c r="D50" s="532"/>
      <c r="E50" s="533">
        <v>1</v>
      </c>
      <c r="F50" s="528" t="s">
        <v>2504</v>
      </c>
      <c r="G50" s="528"/>
    </row>
    <row r="51" customHeight="1" spans="1:7">
      <c r="A51" s="534"/>
      <c r="B51" s="535"/>
      <c r="C51" s="536" t="s">
        <v>2505</v>
      </c>
      <c r="D51" s="537"/>
      <c r="E51" s="538">
        <v>1</v>
      </c>
      <c r="F51" s="528" t="s">
        <v>2506</v>
      </c>
      <c r="G51" s="528"/>
    </row>
    <row r="52" customHeight="1" spans="1:7">
      <c r="A52" s="550"/>
      <c r="B52" s="550"/>
      <c r="C52" s="550"/>
      <c r="D52" s="550"/>
      <c r="E52" s="550"/>
      <c r="F52" s="550"/>
      <c r="G52" s="550"/>
    </row>
    <row r="54" customHeight="1" spans="1:7">
      <c r="A54" s="551"/>
      <c r="B54" s="515" t="s">
        <v>2507</v>
      </c>
      <c r="C54" s="515" t="s">
        <v>2507</v>
      </c>
      <c r="D54" s="515" t="s">
        <v>2507</v>
      </c>
      <c r="E54" s="517" t="s">
        <v>2507</v>
      </c>
      <c r="F54" s="517" t="s">
        <v>2508</v>
      </c>
      <c r="G54" s="517" t="s">
        <v>2507</v>
      </c>
    </row>
    <row r="55" customHeight="1" spans="1:7">
      <c r="A55" s="552"/>
      <c r="B55" s="517" t="s">
        <v>2432</v>
      </c>
      <c r="C55" s="517" t="s">
        <v>2432</v>
      </c>
      <c r="D55" s="517" t="s">
        <v>2432</v>
      </c>
      <c r="E55" s="515" t="s">
        <v>549</v>
      </c>
      <c r="F55" s="515" t="s">
        <v>408</v>
      </c>
      <c r="G55" s="515" t="s">
        <v>1615</v>
      </c>
    </row>
    <row r="56" customHeight="1" spans="1:7">
      <c r="A56" s="553"/>
      <c r="B56" s="515">
        <v>1</v>
      </c>
      <c r="C56" s="515">
        <v>2</v>
      </c>
      <c r="D56" s="515">
        <v>3</v>
      </c>
      <c r="E56" s="554" t="s">
        <v>2509</v>
      </c>
      <c r="F56" s="554" t="s">
        <v>2509</v>
      </c>
      <c r="G56" s="554" t="s">
        <v>2509</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2510</v>
      </c>
      <c r="E70" s="566"/>
      <c r="F70" s="566"/>
    </row>
    <row r="71" customHeight="1" spans="1:6">
      <c r="A71" s="549" t="s">
        <v>2188</v>
      </c>
      <c r="B71" s="549" t="s">
        <v>2511</v>
      </c>
      <c r="C71" s="549" t="s">
        <v>2512</v>
      </c>
      <c r="D71" s="549" t="s">
        <v>2513</v>
      </c>
      <c r="E71" s="549" t="s">
        <v>2514</v>
      </c>
      <c r="F71" s="549" t="s">
        <v>2515</v>
      </c>
    </row>
    <row r="72" ht="14.4" spans="1:6">
      <c r="A72" s="549"/>
      <c r="B72" s="549"/>
      <c r="C72" s="549" t="s">
        <v>2516</v>
      </c>
      <c r="D72" s="549"/>
      <c r="E72" s="549" t="s">
        <v>124</v>
      </c>
      <c r="F72" s="549" t="s">
        <v>124</v>
      </c>
    </row>
    <row r="73" ht="14.4" spans="1:6">
      <c r="A73" s="549">
        <v>1</v>
      </c>
      <c r="B73" s="546" t="s">
        <v>2517</v>
      </c>
      <c r="C73" s="515" t="s">
        <v>2518</v>
      </c>
      <c r="D73" s="515" t="s">
        <v>2519</v>
      </c>
      <c r="E73" s="549">
        <v>0.2</v>
      </c>
      <c r="F73" s="549">
        <v>25</v>
      </c>
    </row>
    <row r="74" ht="24" spans="1:6">
      <c r="A74" s="549">
        <v>2</v>
      </c>
      <c r="B74" s="530"/>
      <c r="C74" s="515" t="s">
        <v>2520</v>
      </c>
      <c r="D74" s="515" t="s">
        <v>2521</v>
      </c>
      <c r="E74" s="549">
        <v>0.2</v>
      </c>
      <c r="F74" s="549">
        <v>25</v>
      </c>
    </row>
    <row r="75" ht="24" spans="1:6">
      <c r="A75" s="549">
        <v>3</v>
      </c>
      <c r="B75" s="530"/>
      <c r="C75" s="515" t="s">
        <v>2522</v>
      </c>
      <c r="D75" s="515" t="s">
        <v>2523</v>
      </c>
      <c r="E75" s="549">
        <v>0.2</v>
      </c>
      <c r="F75" s="549">
        <v>25</v>
      </c>
    </row>
    <row r="76" ht="14.4" spans="1:6">
      <c r="A76" s="549">
        <v>4</v>
      </c>
      <c r="B76" s="530"/>
      <c r="C76" s="515" t="s">
        <v>2524</v>
      </c>
      <c r="D76" s="515" t="s">
        <v>2525</v>
      </c>
      <c r="E76" s="549">
        <v>0.15</v>
      </c>
      <c r="F76" s="549">
        <v>20</v>
      </c>
    </row>
    <row r="77" ht="24" spans="1:6">
      <c r="A77" s="549">
        <v>5</v>
      </c>
      <c r="B77" s="530"/>
      <c r="C77" s="515" t="s">
        <v>2526</v>
      </c>
      <c r="D77" s="515" t="s">
        <v>2527</v>
      </c>
      <c r="E77" s="549">
        <v>0.15</v>
      </c>
      <c r="F77" s="549">
        <v>20</v>
      </c>
    </row>
    <row r="78" ht="24" spans="1:6">
      <c r="A78" s="549">
        <v>6</v>
      </c>
      <c r="B78" s="530"/>
      <c r="C78" s="515" t="s">
        <v>2528</v>
      </c>
      <c r="D78" s="515" t="s">
        <v>2529</v>
      </c>
      <c r="E78" s="549">
        <v>0.15</v>
      </c>
      <c r="F78" s="549">
        <v>20</v>
      </c>
    </row>
    <row r="79" ht="24" spans="1:6">
      <c r="A79" s="549">
        <v>7</v>
      </c>
      <c r="B79" s="530"/>
      <c r="C79" s="515" t="s">
        <v>2530</v>
      </c>
      <c r="D79" s="515" t="s">
        <v>2531</v>
      </c>
      <c r="E79" s="549">
        <v>0.15</v>
      </c>
      <c r="F79" s="549">
        <v>20</v>
      </c>
    </row>
    <row r="80" ht="24" spans="1:6">
      <c r="A80" s="549">
        <v>8</v>
      </c>
      <c r="B80" s="530"/>
      <c r="C80" s="515" t="s">
        <v>2532</v>
      </c>
      <c r="D80" s="515" t="s">
        <v>2533</v>
      </c>
      <c r="E80" s="549">
        <v>0.1</v>
      </c>
      <c r="F80" s="549">
        <v>15</v>
      </c>
    </row>
    <row r="81" ht="24" spans="1:6">
      <c r="A81" s="549">
        <v>9</v>
      </c>
      <c r="B81" s="530"/>
      <c r="C81" s="515" t="s">
        <v>2534</v>
      </c>
      <c r="D81" s="515" t="s">
        <v>2535</v>
      </c>
      <c r="E81" s="549">
        <v>0.1</v>
      </c>
      <c r="F81" s="549">
        <v>15</v>
      </c>
    </row>
    <row r="82" ht="24" spans="1:6">
      <c r="A82" s="549">
        <v>10</v>
      </c>
      <c r="B82" s="530"/>
      <c r="C82" s="515" t="s">
        <v>2536</v>
      </c>
      <c r="D82" s="515" t="s">
        <v>2537</v>
      </c>
      <c r="E82" s="549">
        <v>0.1</v>
      </c>
      <c r="F82" s="549">
        <v>15</v>
      </c>
    </row>
    <row r="83" ht="24" spans="1:6">
      <c r="A83" s="549">
        <v>11</v>
      </c>
      <c r="B83" s="530"/>
      <c r="C83" s="515" t="s">
        <v>2538</v>
      </c>
      <c r="D83" s="515" t="s">
        <v>2539</v>
      </c>
      <c r="E83" s="549">
        <v>0.1</v>
      </c>
      <c r="F83" s="549">
        <v>15</v>
      </c>
    </row>
    <row r="84" ht="36" spans="1:6">
      <c r="A84" s="549">
        <v>12</v>
      </c>
      <c r="B84" s="530"/>
      <c r="C84" s="515" t="s">
        <v>2540</v>
      </c>
      <c r="D84" s="515" t="s">
        <v>2541</v>
      </c>
      <c r="E84" s="549">
        <v>0.1</v>
      </c>
      <c r="F84" s="549">
        <v>15</v>
      </c>
    </row>
    <row r="85" ht="24" spans="1:6">
      <c r="A85" s="549">
        <v>13</v>
      </c>
      <c r="B85" s="530"/>
      <c r="C85" s="515" t="s">
        <v>2542</v>
      </c>
      <c r="D85" s="515" t="s">
        <v>2543</v>
      </c>
      <c r="E85" s="549">
        <v>0.1</v>
      </c>
      <c r="F85" s="549">
        <v>15</v>
      </c>
    </row>
    <row r="86" ht="24" spans="1:6">
      <c r="A86" s="549">
        <v>14</v>
      </c>
      <c r="B86" s="530"/>
      <c r="C86" s="515" t="s">
        <v>2544</v>
      </c>
      <c r="D86" s="515" t="s">
        <v>2545</v>
      </c>
      <c r="E86" s="549">
        <v>0.1</v>
      </c>
      <c r="F86" s="549">
        <v>15</v>
      </c>
    </row>
    <row r="87" ht="24" spans="1:6">
      <c r="A87" s="549">
        <v>15</v>
      </c>
      <c r="B87" s="530"/>
      <c r="C87" s="515" t="s">
        <v>2546</v>
      </c>
      <c r="D87" s="515" t="s">
        <v>2547</v>
      </c>
      <c r="E87" s="549">
        <v>0.1</v>
      </c>
      <c r="F87" s="549">
        <v>15</v>
      </c>
    </row>
    <row r="88" ht="24" spans="1:6">
      <c r="A88" s="549">
        <v>16</v>
      </c>
      <c r="B88" s="530"/>
      <c r="C88" s="515" t="s">
        <v>2548</v>
      </c>
      <c r="D88" s="515" t="s">
        <v>2549</v>
      </c>
      <c r="E88" s="549">
        <v>0.1</v>
      </c>
      <c r="F88" s="549">
        <v>15</v>
      </c>
    </row>
    <row r="89" ht="24" spans="1:6">
      <c r="A89" s="549">
        <v>17</v>
      </c>
      <c r="B89" s="548"/>
      <c r="C89" s="515" t="s">
        <v>2550</v>
      </c>
      <c r="D89" s="515" t="s">
        <v>2551</v>
      </c>
      <c r="E89" s="549">
        <v>0.1</v>
      </c>
      <c r="F89" s="549">
        <v>15</v>
      </c>
    </row>
    <row r="90" ht="14.4" spans="1:6">
      <c r="A90" s="549">
        <v>18</v>
      </c>
      <c r="B90" s="546" t="s">
        <v>2552</v>
      </c>
      <c r="C90" s="515" t="s">
        <v>2553</v>
      </c>
      <c r="D90" s="515" t="s">
        <v>2554</v>
      </c>
      <c r="E90" s="549">
        <v>0.2</v>
      </c>
      <c r="F90" s="549">
        <v>25</v>
      </c>
    </row>
    <row r="91" ht="24" spans="1:6">
      <c r="A91" s="549">
        <v>19</v>
      </c>
      <c r="B91" s="530"/>
      <c r="C91" s="515" t="s">
        <v>2555</v>
      </c>
      <c r="D91" s="515" t="s">
        <v>2556</v>
      </c>
      <c r="E91" s="549">
        <v>0.2</v>
      </c>
      <c r="F91" s="549">
        <v>25</v>
      </c>
    </row>
    <row r="92" ht="14.4" spans="1:6">
      <c r="A92" s="549">
        <v>20</v>
      </c>
      <c r="B92" s="530"/>
      <c r="C92" s="515" t="s">
        <v>2557</v>
      </c>
      <c r="D92" s="515" t="s">
        <v>2558</v>
      </c>
      <c r="E92" s="549">
        <v>0.15</v>
      </c>
      <c r="F92" s="549">
        <v>20</v>
      </c>
    </row>
    <row r="93" ht="24" spans="1:6">
      <c r="A93" s="549">
        <v>21</v>
      </c>
      <c r="B93" s="530"/>
      <c r="C93" s="515" t="s">
        <v>2559</v>
      </c>
      <c r="D93" s="515" t="s">
        <v>2560</v>
      </c>
      <c r="E93" s="549">
        <v>0.15</v>
      </c>
      <c r="F93" s="549">
        <v>20</v>
      </c>
    </row>
    <row r="94" ht="24" spans="1:6">
      <c r="A94" s="549">
        <v>22</v>
      </c>
      <c r="B94" s="530"/>
      <c r="C94" s="515" t="s">
        <v>2561</v>
      </c>
      <c r="D94" s="515" t="s">
        <v>2562</v>
      </c>
      <c r="E94" s="549">
        <v>0.15</v>
      </c>
      <c r="F94" s="549">
        <v>20</v>
      </c>
    </row>
    <row r="95" ht="36" spans="1:6">
      <c r="A95" s="549">
        <v>23</v>
      </c>
      <c r="B95" s="530"/>
      <c r="C95" s="515" t="s">
        <v>2563</v>
      </c>
      <c r="D95" s="515" t="s">
        <v>2564</v>
      </c>
      <c r="E95" s="549">
        <v>0.15</v>
      </c>
      <c r="F95" s="549">
        <v>20</v>
      </c>
    </row>
    <row r="96" ht="24" spans="1:6">
      <c r="A96" s="549">
        <v>24</v>
      </c>
      <c r="B96" s="530"/>
      <c r="C96" s="515" t="s">
        <v>2565</v>
      </c>
      <c r="D96" s="515" t="s">
        <v>2566</v>
      </c>
      <c r="E96" s="549">
        <v>0.1</v>
      </c>
      <c r="F96" s="549">
        <v>15</v>
      </c>
    </row>
    <row r="97" ht="24" spans="1:6">
      <c r="A97" s="549">
        <v>25</v>
      </c>
      <c r="B97" s="530"/>
      <c r="C97" s="515" t="s">
        <v>2567</v>
      </c>
      <c r="D97" s="515" t="s">
        <v>2568</v>
      </c>
      <c r="E97" s="549">
        <v>0.1</v>
      </c>
      <c r="F97" s="549">
        <v>15</v>
      </c>
    </row>
    <row r="98" ht="36" spans="1:6">
      <c r="A98" s="549">
        <v>26</v>
      </c>
      <c r="B98" s="530"/>
      <c r="C98" s="515" t="s">
        <v>2569</v>
      </c>
      <c r="D98" s="515" t="s">
        <v>2570</v>
      </c>
      <c r="E98" s="549">
        <v>0.1</v>
      </c>
      <c r="F98" s="549">
        <v>15</v>
      </c>
    </row>
    <row r="99" ht="24" spans="1:6">
      <c r="A99" s="549">
        <v>27</v>
      </c>
      <c r="B99" s="530"/>
      <c r="C99" s="515" t="s">
        <v>2571</v>
      </c>
      <c r="D99" s="515" t="s">
        <v>2572</v>
      </c>
      <c r="E99" s="549">
        <v>0.1</v>
      </c>
      <c r="F99" s="549">
        <v>15</v>
      </c>
    </row>
    <row r="100" ht="24" spans="1:6">
      <c r="A100" s="549">
        <v>28</v>
      </c>
      <c r="B100" s="530"/>
      <c r="C100" s="515" t="s">
        <v>2573</v>
      </c>
      <c r="D100" s="515" t="s">
        <v>2574</v>
      </c>
      <c r="E100" s="549">
        <v>0.1</v>
      </c>
      <c r="F100" s="549">
        <v>15</v>
      </c>
    </row>
    <row r="101" ht="24" spans="1:6">
      <c r="A101" s="549">
        <v>29</v>
      </c>
      <c r="B101" s="530"/>
      <c r="C101" s="515" t="s">
        <v>2575</v>
      </c>
      <c r="D101" s="515" t="s">
        <v>2576</v>
      </c>
      <c r="E101" s="549">
        <v>0.1</v>
      </c>
      <c r="F101" s="549">
        <v>15</v>
      </c>
    </row>
    <row r="102" ht="24" spans="1:6">
      <c r="A102" s="549">
        <v>30</v>
      </c>
      <c r="B102" s="530"/>
      <c r="C102" s="515" t="s">
        <v>2577</v>
      </c>
      <c r="D102" s="515" t="s">
        <v>2578</v>
      </c>
      <c r="E102" s="549">
        <v>0.1</v>
      </c>
      <c r="F102" s="549">
        <v>15</v>
      </c>
    </row>
    <row r="103" ht="24" spans="1:6">
      <c r="A103" s="549">
        <v>31</v>
      </c>
      <c r="B103" s="530"/>
      <c r="C103" s="515" t="s">
        <v>2579</v>
      </c>
      <c r="D103" s="515" t="s">
        <v>2580</v>
      </c>
      <c r="E103" s="549">
        <v>0.1</v>
      </c>
      <c r="F103" s="549">
        <v>15</v>
      </c>
    </row>
    <row r="104" ht="24" spans="1:6">
      <c r="A104" s="549">
        <v>32</v>
      </c>
      <c r="B104" s="530"/>
      <c r="C104" s="515" t="s">
        <v>2581</v>
      </c>
      <c r="D104" s="515" t="s">
        <v>2582</v>
      </c>
      <c r="E104" s="549">
        <v>0.1</v>
      </c>
      <c r="F104" s="549">
        <v>15</v>
      </c>
    </row>
    <row r="105" ht="36" spans="1:6">
      <c r="A105" s="549">
        <v>33</v>
      </c>
      <c r="B105" s="530"/>
      <c r="C105" s="515" t="s">
        <v>2583</v>
      </c>
      <c r="D105" s="515" t="s">
        <v>2584</v>
      </c>
      <c r="E105" s="549">
        <v>0.1</v>
      </c>
      <c r="F105" s="549">
        <v>15</v>
      </c>
    </row>
    <row r="106" ht="24" spans="1:6">
      <c r="A106" s="549">
        <v>34</v>
      </c>
      <c r="B106" s="548"/>
      <c r="C106" s="515" t="s">
        <v>2585</v>
      </c>
      <c r="D106" s="515" t="s">
        <v>2586</v>
      </c>
      <c r="E106" s="549">
        <v>0.1</v>
      </c>
      <c r="F106" s="549">
        <v>15</v>
      </c>
    </row>
    <row r="107" ht="36" spans="1:6">
      <c r="A107" s="549">
        <v>35</v>
      </c>
      <c r="B107" s="546" t="s">
        <v>2587</v>
      </c>
      <c r="C107" s="549" t="s">
        <v>2588</v>
      </c>
      <c r="D107" s="515" t="s">
        <v>2589</v>
      </c>
      <c r="E107" s="549">
        <v>0.15</v>
      </c>
      <c r="F107" s="549">
        <v>20</v>
      </c>
    </row>
    <row r="108" ht="24" spans="1:6">
      <c r="A108" s="549">
        <v>36</v>
      </c>
      <c r="B108" s="530"/>
      <c r="C108" s="549" t="s">
        <v>2590</v>
      </c>
      <c r="D108" s="515" t="s">
        <v>2591</v>
      </c>
      <c r="E108" s="549">
        <v>0.15</v>
      </c>
      <c r="F108" s="549">
        <v>20</v>
      </c>
    </row>
    <row r="109" ht="24" spans="1:6">
      <c r="A109" s="549">
        <v>37</v>
      </c>
      <c r="B109" s="530"/>
      <c r="C109" s="549" t="s">
        <v>2592</v>
      </c>
      <c r="D109" s="515" t="s">
        <v>2593</v>
      </c>
      <c r="E109" s="549">
        <v>0.15</v>
      </c>
      <c r="F109" s="549">
        <v>20</v>
      </c>
    </row>
    <row r="110" ht="24" spans="1:6">
      <c r="A110" s="549">
        <v>38</v>
      </c>
      <c r="B110" s="530"/>
      <c r="C110" s="549" t="s">
        <v>2594</v>
      </c>
      <c r="D110" s="515" t="s">
        <v>2595</v>
      </c>
      <c r="E110" s="549">
        <v>0.1</v>
      </c>
      <c r="F110" s="549">
        <v>15</v>
      </c>
    </row>
    <row r="111" ht="24" spans="1:6">
      <c r="A111" s="549">
        <v>39</v>
      </c>
      <c r="B111" s="530"/>
      <c r="C111" s="549" t="s">
        <v>2596</v>
      </c>
      <c r="D111" s="515" t="s">
        <v>2597</v>
      </c>
      <c r="E111" s="549">
        <v>0.1</v>
      </c>
      <c r="F111" s="549">
        <v>15</v>
      </c>
    </row>
    <row r="112" ht="24" spans="1:6">
      <c r="A112" s="549">
        <v>40</v>
      </c>
      <c r="B112" s="548"/>
      <c r="C112" s="549" t="s">
        <v>2598</v>
      </c>
      <c r="D112" s="515" t="s">
        <v>2599</v>
      </c>
      <c r="E112" s="549">
        <v>0.1</v>
      </c>
      <c r="F112" s="549">
        <v>15</v>
      </c>
    </row>
    <row r="113" ht="24" spans="1:6">
      <c r="A113" s="549">
        <v>41</v>
      </c>
      <c r="B113" s="549" t="s">
        <v>2600</v>
      </c>
      <c r="C113" s="549" t="s">
        <v>2601</v>
      </c>
      <c r="D113" s="515" t="s">
        <v>2602</v>
      </c>
      <c r="E113" s="549">
        <v>0.1</v>
      </c>
      <c r="F113" s="549">
        <v>15</v>
      </c>
    </row>
    <row r="114" ht="24" spans="1:6">
      <c r="A114" s="549">
        <v>42</v>
      </c>
      <c r="B114" s="549"/>
      <c r="C114" s="549" t="s">
        <v>2603</v>
      </c>
      <c r="D114" s="515" t="s">
        <v>2604</v>
      </c>
      <c r="E114" s="549">
        <v>0.1</v>
      </c>
      <c r="F114" s="549">
        <v>15</v>
      </c>
    </row>
    <row r="115" ht="24" spans="1:6">
      <c r="A115" s="549">
        <v>43</v>
      </c>
      <c r="B115" s="549"/>
      <c r="C115" s="549" t="s">
        <v>2605</v>
      </c>
      <c r="D115" s="515" t="s">
        <v>2606</v>
      </c>
      <c r="E115" s="549">
        <v>0.1</v>
      </c>
      <c r="F115" s="549">
        <v>15</v>
      </c>
    </row>
    <row r="116" ht="24" spans="1:6">
      <c r="A116" s="549">
        <v>44</v>
      </c>
      <c r="B116" s="546" t="s">
        <v>2244</v>
      </c>
      <c r="C116" s="549" t="s">
        <v>2607</v>
      </c>
      <c r="D116" s="515" t="s">
        <v>2608</v>
      </c>
      <c r="E116" s="549">
        <v>0.1</v>
      </c>
      <c r="F116" s="549">
        <v>15</v>
      </c>
    </row>
    <row r="117" ht="24" spans="1:6">
      <c r="A117" s="549">
        <v>45</v>
      </c>
      <c r="B117" s="548"/>
      <c r="C117" s="515" t="s">
        <v>2609</v>
      </c>
      <c r="D117" s="515" t="s">
        <v>2610</v>
      </c>
      <c r="E117" s="549">
        <v>0.1</v>
      </c>
      <c r="F117" s="549">
        <v>15</v>
      </c>
    </row>
    <row r="118" ht="24" spans="1:6">
      <c r="A118" s="549">
        <v>46</v>
      </c>
      <c r="B118" s="546" t="s">
        <v>2611</v>
      </c>
      <c r="C118" s="549" t="s">
        <v>2612</v>
      </c>
      <c r="D118" s="515" t="s">
        <v>2613</v>
      </c>
      <c r="E118" s="549">
        <v>0.1</v>
      </c>
      <c r="F118" s="549">
        <v>15</v>
      </c>
    </row>
    <row r="119" ht="24" spans="1:6">
      <c r="A119" s="549">
        <v>47</v>
      </c>
      <c r="B119" s="548"/>
      <c r="C119" s="549" t="s">
        <v>2614</v>
      </c>
      <c r="D119" s="515" t="s">
        <v>2615</v>
      </c>
      <c r="E119" s="549">
        <v>0.1</v>
      </c>
      <c r="F119" s="549">
        <v>15</v>
      </c>
    </row>
    <row r="120" ht="24" spans="1:6">
      <c r="A120" s="549">
        <v>48</v>
      </c>
      <c r="B120" s="546" t="s">
        <v>2616</v>
      </c>
      <c r="C120" s="549" t="s">
        <v>2617</v>
      </c>
      <c r="D120" s="515" t="s">
        <v>2618</v>
      </c>
      <c r="E120" s="549">
        <v>0.1</v>
      </c>
      <c r="F120" s="549">
        <v>15</v>
      </c>
    </row>
    <row r="121" ht="24" spans="1:6">
      <c r="A121" s="549">
        <v>49</v>
      </c>
      <c r="B121" s="548"/>
      <c r="C121" s="549" t="s">
        <v>2619</v>
      </c>
      <c r="D121" s="515" t="s">
        <v>2620</v>
      </c>
      <c r="E121" s="549">
        <v>0.1</v>
      </c>
      <c r="F121" s="549">
        <v>15</v>
      </c>
    </row>
    <row r="122" ht="24" spans="1:6">
      <c r="A122" s="549">
        <v>50</v>
      </c>
      <c r="B122" s="549" t="s">
        <v>2621</v>
      </c>
      <c r="C122" s="549" t="s">
        <v>2622</v>
      </c>
      <c r="D122" s="515" t="s">
        <v>2623</v>
      </c>
      <c r="E122" s="549">
        <v>0.1</v>
      </c>
      <c r="F122" s="549">
        <v>15</v>
      </c>
    </row>
    <row r="123" ht="24" spans="1:6">
      <c r="A123" s="549">
        <v>51</v>
      </c>
      <c r="B123" s="549"/>
      <c r="C123" s="549" t="s">
        <v>2624</v>
      </c>
      <c r="D123" s="515" t="s">
        <v>2625</v>
      </c>
      <c r="E123" s="549">
        <v>0.1</v>
      </c>
      <c r="F123" s="549">
        <v>15</v>
      </c>
    </row>
    <row r="124" ht="24" spans="1:6">
      <c r="A124" s="549">
        <v>52</v>
      </c>
      <c r="B124" s="549" t="s">
        <v>2626</v>
      </c>
      <c r="C124" s="549" t="s">
        <v>2627</v>
      </c>
      <c r="D124" s="515" t="s">
        <v>2628</v>
      </c>
      <c r="E124" s="549">
        <v>0.1</v>
      </c>
      <c r="F124" s="549">
        <v>15</v>
      </c>
    </row>
    <row r="125" ht="24" spans="1:6">
      <c r="A125" s="549">
        <v>53</v>
      </c>
      <c r="B125" s="549"/>
      <c r="C125" s="549" t="s">
        <v>2629</v>
      </c>
      <c r="D125" s="515" t="s">
        <v>2630</v>
      </c>
      <c r="E125" s="549">
        <v>0.1</v>
      </c>
      <c r="F125" s="549">
        <v>15</v>
      </c>
    </row>
    <row r="126" ht="24" spans="1:6">
      <c r="A126" s="549">
        <v>54</v>
      </c>
      <c r="B126" s="549" t="s">
        <v>2631</v>
      </c>
      <c r="C126" s="549" t="s">
        <v>2632</v>
      </c>
      <c r="D126" s="515" t="s">
        <v>2633</v>
      </c>
      <c r="E126" s="549">
        <v>0.1</v>
      </c>
      <c r="F126" s="549">
        <v>15</v>
      </c>
    </row>
    <row r="127" ht="24" spans="1:6">
      <c r="A127" s="549">
        <v>55</v>
      </c>
      <c r="B127" s="549" t="s">
        <v>2634</v>
      </c>
      <c r="C127" s="549" t="s">
        <v>2635</v>
      </c>
      <c r="D127" s="515" t="s">
        <v>2636</v>
      </c>
      <c r="E127" s="549">
        <v>0.1</v>
      </c>
      <c r="F127" s="549">
        <v>15</v>
      </c>
    </row>
    <row r="128" ht="24" spans="1:6">
      <c r="A128" s="549">
        <v>56</v>
      </c>
      <c r="B128" s="549"/>
      <c r="C128" s="549" t="s">
        <v>2637</v>
      </c>
      <c r="D128" s="515" t="s">
        <v>2638</v>
      </c>
      <c r="E128" s="549">
        <v>0.1</v>
      </c>
      <c r="F128" s="549">
        <v>15</v>
      </c>
    </row>
    <row r="129" ht="24" spans="1:6">
      <c r="A129" s="549">
        <v>57</v>
      </c>
      <c r="B129" s="549"/>
      <c r="C129" s="549" t="s">
        <v>2639</v>
      </c>
      <c r="D129" s="515" t="s">
        <v>2640</v>
      </c>
      <c r="E129" s="549">
        <v>0.1</v>
      </c>
      <c r="F129" s="549">
        <v>15</v>
      </c>
    </row>
    <row r="130" ht="24" spans="1:6">
      <c r="A130" s="549">
        <v>58</v>
      </c>
      <c r="B130" s="549" t="s">
        <v>2641</v>
      </c>
      <c r="C130" s="549" t="s">
        <v>2642</v>
      </c>
      <c r="D130" s="515" t="s">
        <v>2643</v>
      </c>
      <c r="E130" s="549">
        <v>0.1</v>
      </c>
      <c r="F130" s="549">
        <v>15</v>
      </c>
    </row>
    <row r="131" ht="24" spans="1:6">
      <c r="A131" s="549">
        <v>59</v>
      </c>
      <c r="B131" s="549"/>
      <c r="C131" s="549" t="s">
        <v>2644</v>
      </c>
      <c r="D131" s="515" t="s">
        <v>2645</v>
      </c>
      <c r="E131" s="549">
        <v>0.1</v>
      </c>
      <c r="F131" s="549">
        <v>15</v>
      </c>
    </row>
    <row r="132" ht="24" spans="1:6">
      <c r="A132" s="549">
        <v>60</v>
      </c>
      <c r="B132" s="546" t="s">
        <v>2646</v>
      </c>
      <c r="C132" s="549" t="s">
        <v>2647</v>
      </c>
      <c r="D132" s="515" t="s">
        <v>2648</v>
      </c>
      <c r="E132" s="549">
        <v>0.1</v>
      </c>
      <c r="F132" s="549">
        <v>15</v>
      </c>
    </row>
    <row r="133" ht="24" spans="1:6">
      <c r="A133" s="549">
        <v>61</v>
      </c>
      <c r="B133" s="548"/>
      <c r="C133" s="549" t="s">
        <v>2649</v>
      </c>
      <c r="D133" s="515" t="s">
        <v>2650</v>
      </c>
      <c r="E133" s="549">
        <v>0.1</v>
      </c>
      <c r="F133" s="549">
        <v>15</v>
      </c>
    </row>
    <row r="134" ht="24" spans="1:6">
      <c r="A134" s="549">
        <v>62</v>
      </c>
      <c r="B134" s="549" t="s">
        <v>2651</v>
      </c>
      <c r="C134" s="549" t="s">
        <v>2652</v>
      </c>
      <c r="D134" s="515" t="s">
        <v>2653</v>
      </c>
      <c r="E134" s="549">
        <v>0.1</v>
      </c>
      <c r="F134" s="549">
        <v>15</v>
      </c>
    </row>
    <row r="135" ht="24" spans="1:6">
      <c r="A135" s="549">
        <v>63</v>
      </c>
      <c r="B135" s="549" t="s">
        <v>2654</v>
      </c>
      <c r="C135" s="549" t="s">
        <v>2655</v>
      </c>
      <c r="D135" s="515" t="s">
        <v>2656</v>
      </c>
      <c r="E135" s="549">
        <v>0.1</v>
      </c>
      <c r="F135" s="549">
        <v>15</v>
      </c>
    </row>
    <row r="136" ht="24" spans="1:6">
      <c r="A136" s="549">
        <v>64</v>
      </c>
      <c r="B136" s="549"/>
      <c r="C136" s="549" t="s">
        <v>2657</v>
      </c>
      <c r="D136" s="515" t="s">
        <v>2658</v>
      </c>
      <c r="E136" s="549">
        <v>0.1</v>
      </c>
      <c r="F136" s="549">
        <v>15</v>
      </c>
    </row>
    <row r="137" ht="24" spans="1:6">
      <c r="A137" s="549">
        <v>65</v>
      </c>
      <c r="B137" s="549" t="s">
        <v>2659</v>
      </c>
      <c r="C137" s="549" t="s">
        <v>2660</v>
      </c>
      <c r="D137" s="515" t="s">
        <v>2661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2662</v>
      </c>
      <c r="B1" s="480"/>
      <c r="C1" s="480"/>
      <c r="D1" s="480"/>
      <c r="E1" s="480"/>
      <c r="F1" s="480"/>
      <c r="G1" s="480"/>
      <c r="H1" s="480"/>
      <c r="I1" s="480"/>
      <c r="J1" s="480"/>
      <c r="K1" s="480"/>
      <c r="L1" s="480"/>
      <c r="M1" s="480"/>
      <c r="N1" s="487"/>
    </row>
    <row r="2" spans="1:20">
      <c r="A2" s="481" t="s">
        <v>1915</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2663</v>
      </c>
      <c r="R2" s="492" t="s">
        <v>2664</v>
      </c>
      <c r="S2" s="492" t="s">
        <v>2665</v>
      </c>
      <c r="T2" s="492" t="s">
        <v>2666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2667</v>
      </c>
      <c r="B93" s="480"/>
      <c r="C93" s="480"/>
      <c r="D93" s="480"/>
      <c r="E93" s="480"/>
      <c r="F93" s="480"/>
      <c r="G93" s="480"/>
      <c r="H93" s="480"/>
      <c r="I93" s="480"/>
      <c r="J93" s="480"/>
      <c r="K93" s="480"/>
      <c r="L93" s="480"/>
      <c r="M93" s="480"/>
    </row>
    <row r="94" spans="1:20">
      <c r="A94" s="481" t="s">
        <v>1915</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0.9571</v>
      </c>
      <c r="Q94" s="492" t="s">
        <v>2663</v>
      </c>
      <c r="R94" s="492" t="s">
        <v>2664</v>
      </c>
      <c r="S94" s="492" t="s">
        <v>2665</v>
      </c>
      <c r="T94" s="492" t="s">
        <v>2666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2668</v>
      </c>
      <c r="B185" s="480"/>
      <c r="C185" s="480"/>
      <c r="D185" s="480"/>
      <c r="E185" s="480"/>
      <c r="F185" s="480"/>
      <c r="G185" s="480"/>
      <c r="H185" s="480"/>
      <c r="I185" s="480"/>
      <c r="J185" s="480"/>
      <c r="K185" s="480"/>
      <c r="L185" s="480"/>
      <c r="M185" s="480"/>
    </row>
    <row r="186" spans="1:20">
      <c r="A186" s="481" t="s">
        <v>1915</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2663</v>
      </c>
      <c r="R186" s="492" t="s">
        <v>2664</v>
      </c>
      <c r="S186" s="492" t="s">
        <v>2665</v>
      </c>
      <c r="T186" s="492" t="s">
        <v>2666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2669</v>
      </c>
      <c r="B277" s="480"/>
      <c r="C277" s="480"/>
      <c r="D277" s="480"/>
      <c r="E277" s="480"/>
      <c r="F277" s="480"/>
      <c r="G277" s="480"/>
      <c r="H277" s="480"/>
      <c r="I277" s="480"/>
      <c r="J277" s="480"/>
      <c r="K277" s="480"/>
      <c r="L277" s="480"/>
      <c r="M277" s="480"/>
    </row>
    <row r="278" spans="1:21">
      <c r="A278" s="481" t="s">
        <v>1915</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2663</v>
      </c>
      <c r="R278" s="492" t="s">
        <v>2664</v>
      </c>
      <c r="S278" s="492" t="s">
        <v>2670</v>
      </c>
      <c r="T278" s="492" t="s">
        <v>2671</v>
      </c>
      <c r="U278" s="492" t="s">
        <v>2666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2672</v>
      </c>
      <c r="B369" s="496"/>
      <c r="C369" s="496"/>
      <c r="D369" s="496"/>
      <c r="E369" s="496"/>
      <c r="F369" s="496"/>
      <c r="G369" s="496"/>
      <c r="H369" s="496"/>
      <c r="I369" s="496"/>
      <c r="J369" s="496"/>
      <c r="K369" s="496"/>
      <c r="L369" s="496"/>
      <c r="M369" s="496"/>
    </row>
    <row r="370" spans="1:20">
      <c r="A370" s="481" t="s">
        <v>1915</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0.9104</v>
      </c>
      <c r="Q370" s="492" t="s">
        <v>2663</v>
      </c>
      <c r="R370" s="492" t="s">
        <v>2664</v>
      </c>
      <c r="S370" s="492" t="s">
        <v>2665</v>
      </c>
      <c r="T370" s="492" t="s">
        <v>2666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2673</v>
      </c>
      <c r="B1" s="391"/>
      <c r="C1" s="392"/>
      <c r="D1" s="392"/>
      <c r="E1" s="392"/>
      <c r="F1" s="392"/>
      <c r="G1" s="393"/>
    </row>
    <row r="2" s="382" customFormat="1" ht="18" customHeight="1" spans="1:7">
      <c r="A2" s="394" t="s">
        <v>2674</v>
      </c>
      <c r="B2" s="395">
        <f ca="1">C52</f>
        <v>35036</v>
      </c>
      <c r="C2" s="396" t="s">
        <v>1343</v>
      </c>
      <c r="D2" s="393"/>
      <c r="E2" s="393"/>
      <c r="F2" s="393"/>
      <c r="G2" s="393"/>
    </row>
    <row r="3" s="382" customFormat="1" ht="18" customHeight="1" spans="1:7">
      <c r="A3" s="397" t="s">
        <v>2675</v>
      </c>
      <c r="B3" s="398">
        <f ca="1">ROUND(B2*10000/'数据-汇总表'!E3,0)</f>
        <v>34658</v>
      </c>
      <c r="C3" s="396" t="s">
        <v>1625</v>
      </c>
      <c r="D3" s="393"/>
      <c r="E3" s="393"/>
      <c r="F3" s="393"/>
      <c r="G3" s="393"/>
    </row>
    <row r="4" s="383" customFormat="1" ht="15.6" spans="1:7">
      <c r="A4" s="399" t="s">
        <v>2676</v>
      </c>
      <c r="B4" s="400"/>
      <c r="C4" s="400"/>
      <c r="D4" s="400"/>
      <c r="E4" s="400"/>
      <c r="F4" s="400"/>
      <c r="G4" s="401"/>
    </row>
    <row r="5" s="384" customFormat="1" ht="13.5" customHeight="1" spans="1:7">
      <c r="A5" s="402" t="s">
        <v>994</v>
      </c>
      <c r="B5" s="403" t="s">
        <v>2677</v>
      </c>
      <c r="C5" s="404">
        <f ca="1">C6+C7+C8</f>
        <v>20610</v>
      </c>
      <c r="D5" s="404" t="s">
        <v>2678</v>
      </c>
      <c r="E5" s="405" t="s">
        <v>2679</v>
      </c>
      <c r="F5" s="405" t="s">
        <v>2680</v>
      </c>
      <c r="G5" s="406"/>
    </row>
    <row r="6" s="384" customFormat="1" ht="13.5" customHeight="1" spans="1:7">
      <c r="A6" s="407" t="s">
        <v>998</v>
      </c>
      <c r="B6" s="408" t="s">
        <v>2681</v>
      </c>
      <c r="C6" s="409">
        <v>20000</v>
      </c>
      <c r="D6" s="410"/>
      <c r="E6" s="411"/>
      <c r="F6" s="411"/>
      <c r="G6" s="412"/>
    </row>
    <row r="7" s="384" customFormat="1" ht="13.5" customHeight="1" spans="1:7">
      <c r="A7" s="407" t="s">
        <v>1000</v>
      </c>
      <c r="B7" s="408" t="s">
        <v>2682</v>
      </c>
      <c r="C7" s="413">
        <f>ROUND(C6*F7,0)</f>
        <v>610</v>
      </c>
      <c r="D7" s="413"/>
      <c r="E7" s="411"/>
      <c r="F7" s="414">
        <f>'数据-取费表'!B48+'数据-取费表'!B49</f>
        <v>0.0305</v>
      </c>
      <c r="G7" s="412"/>
    </row>
    <row r="8" s="385" customFormat="1" spans="1:7">
      <c r="A8" s="407" t="s">
        <v>1002</v>
      </c>
      <c r="B8" s="408" t="s">
        <v>2683</v>
      </c>
      <c r="C8" s="413" t="str">
        <f ca="1">IF(G8="已包含在土地购买价格中","0",'数据-取费表'!B29)</f>
        <v>0</v>
      </c>
      <c r="D8" s="415"/>
      <c r="E8" s="413"/>
      <c r="F8" s="414"/>
      <c r="G8" s="416" t="s">
        <v>2684</v>
      </c>
    </row>
    <row r="9" s="384" customFormat="1" ht="13.5" customHeight="1" spans="1:7">
      <c r="A9" s="417" t="s">
        <v>1005</v>
      </c>
      <c r="B9" s="418" t="s">
        <v>2685</v>
      </c>
      <c r="C9" s="419">
        <f>ROUND(D9*E9/10000,0)</f>
        <v>0</v>
      </c>
      <c r="D9" s="420">
        <f>'数据-汇总表'!E5</f>
        <v>0</v>
      </c>
      <c r="E9" s="419">
        <f>'数据-取费表'!B27</f>
        <v>0</v>
      </c>
      <c r="F9" s="414"/>
      <c r="G9" s="421"/>
    </row>
    <row r="10" s="384" customFormat="1" ht="13.5" customHeight="1" spans="1:7">
      <c r="A10" s="417" t="s">
        <v>1008</v>
      </c>
      <c r="B10" s="418" t="s">
        <v>2686</v>
      </c>
      <c r="C10" s="419">
        <f>ROUND(D10*E10/10000,0)</f>
        <v>202</v>
      </c>
      <c r="D10" s="420">
        <f>'数据-汇总表'!E6</f>
        <v>10109.15</v>
      </c>
      <c r="E10" s="419">
        <f>'数据-取费表'!B28</f>
        <v>200</v>
      </c>
      <c r="F10" s="414"/>
      <c r="G10" s="421"/>
    </row>
    <row r="11" s="384" customFormat="1" ht="13.5" hidden="1" customHeight="1" spans="1:7">
      <c r="A11" s="422" t="s">
        <v>1010</v>
      </c>
      <c r="B11" s="408" t="s">
        <v>2687</v>
      </c>
      <c r="C11" s="404"/>
      <c r="D11" s="423"/>
      <c r="E11" s="411"/>
      <c r="F11" s="411"/>
      <c r="G11" s="412"/>
    </row>
    <row r="12" s="384" customFormat="1" ht="13.5" hidden="1" customHeight="1" spans="1:7">
      <c r="A12" s="422" t="s">
        <v>1012</v>
      </c>
      <c r="B12" s="408" t="s">
        <v>2688</v>
      </c>
      <c r="C12" s="404">
        <v>0</v>
      </c>
      <c r="D12" s="423"/>
      <c r="E12" s="424"/>
      <c r="F12" s="414">
        <v>0.0305</v>
      </c>
      <c r="G12" s="412"/>
    </row>
    <row r="13" s="384" customFormat="1" ht="13.5" hidden="1" customHeight="1" spans="1:7">
      <c r="A13" s="422" t="s">
        <v>1013</v>
      </c>
      <c r="B13" s="408" t="s">
        <v>2689</v>
      </c>
      <c r="C13" s="404"/>
      <c r="D13" s="423"/>
      <c r="E13" s="411"/>
      <c r="F13" s="411"/>
      <c r="G13" s="412"/>
    </row>
    <row r="14" s="384" customFormat="1" ht="13.5" hidden="1" customHeight="1" spans="1:7">
      <c r="A14" s="422" t="s">
        <v>1015</v>
      </c>
      <c r="B14" s="408" t="s">
        <v>2683</v>
      </c>
      <c r="C14" s="404"/>
      <c r="D14" s="423"/>
      <c r="E14" s="411"/>
      <c r="F14" s="411"/>
      <c r="G14" s="412" t="s">
        <v>2690</v>
      </c>
    </row>
    <row r="15" s="384" customFormat="1" ht="13.5" hidden="1" customHeight="1" spans="1:7">
      <c r="A15" s="422" t="s">
        <v>1017</v>
      </c>
      <c r="B15" s="408" t="s">
        <v>2691</v>
      </c>
      <c r="C15" s="413"/>
      <c r="D15" s="423"/>
      <c r="E15" s="411"/>
      <c r="F15" s="411"/>
      <c r="G15" s="412" t="s">
        <v>2692</v>
      </c>
    </row>
    <row r="16" s="384" customFormat="1" ht="13.5" hidden="1" customHeight="1" spans="1:7">
      <c r="A16" s="422" t="s">
        <v>1020</v>
      </c>
      <c r="B16" s="408" t="s">
        <v>2683</v>
      </c>
      <c r="C16" s="413"/>
      <c r="D16" s="423"/>
      <c r="E16" s="411"/>
      <c r="F16" s="411"/>
      <c r="G16" s="412"/>
    </row>
    <row r="17" s="384" customFormat="1" ht="13.5" hidden="1" customHeight="1" spans="1:7">
      <c r="A17" s="422" t="s">
        <v>1021</v>
      </c>
      <c r="B17" s="408" t="s">
        <v>2693</v>
      </c>
      <c r="C17" s="425"/>
      <c r="D17" s="426"/>
      <c r="E17" s="425"/>
      <c r="F17" s="425"/>
      <c r="G17" s="412" t="s">
        <v>2692</v>
      </c>
    </row>
    <row r="18" s="384" customFormat="1" ht="13.5" hidden="1" customHeight="1" spans="1:7">
      <c r="A18" s="422" t="s">
        <v>1023</v>
      </c>
      <c r="B18" s="408" t="s">
        <v>2694</v>
      </c>
      <c r="C18" s="413">
        <v>0</v>
      </c>
      <c r="D18" s="423"/>
      <c r="E18" s="411"/>
      <c r="F18" s="414">
        <v>0.0305</v>
      </c>
      <c r="G18" s="412" t="s">
        <v>2695</v>
      </c>
    </row>
    <row r="19" s="385" customFormat="1" ht="13.5" customHeight="1" spans="1:7">
      <c r="A19" s="427" t="s">
        <v>1730</v>
      </c>
      <c r="B19" s="403" t="s">
        <v>2696</v>
      </c>
      <c r="C19" s="404">
        <f>IF(G19="已包含在土地取得成本中","0",ROUND(D19*E19/10000,0))</f>
        <v>202</v>
      </c>
      <c r="D19" s="428">
        <f>'数据-汇总表'!E3</f>
        <v>10109.15</v>
      </c>
      <c r="E19" s="404">
        <f>'数据-取费表'!B31</f>
        <v>200</v>
      </c>
      <c r="F19" s="429"/>
      <c r="G19" s="416" t="s">
        <v>2697</v>
      </c>
    </row>
    <row r="20" s="384" customFormat="1" ht="13.5" customHeight="1" spans="1:7">
      <c r="A20" s="427" t="s">
        <v>1766</v>
      </c>
      <c r="B20" s="403" t="s">
        <v>2698</v>
      </c>
      <c r="C20" s="430">
        <f ca="1">ROUND((C5+C19)*F20,0)</f>
        <v>416</v>
      </c>
      <c r="D20" s="430"/>
      <c r="E20" s="430"/>
      <c r="F20" s="431">
        <f>'数据-取费表'!B37</f>
        <v>0.02</v>
      </c>
      <c r="G20" s="432" t="s">
        <v>2699</v>
      </c>
    </row>
    <row r="21" s="384" customFormat="1" ht="13.5" customHeight="1" spans="1:7">
      <c r="A21" s="427" t="s">
        <v>1771</v>
      </c>
      <c r="B21" s="403" t="s">
        <v>2700</v>
      </c>
      <c r="C21" s="433">
        <f>F21</f>
        <v>0.02</v>
      </c>
      <c r="D21" s="434" t="s">
        <v>2701</v>
      </c>
      <c r="E21" s="430"/>
      <c r="F21" s="431">
        <f>'数据-取费表'!B38</f>
        <v>0.02</v>
      </c>
      <c r="G21" s="435" t="s">
        <v>2702</v>
      </c>
    </row>
    <row r="22" s="384" customFormat="1" ht="13.5" customHeight="1" spans="1:7">
      <c r="A22" s="427" t="s">
        <v>1780</v>
      </c>
      <c r="B22" s="403" t="s">
        <v>2703</v>
      </c>
      <c r="C22" s="436">
        <f ca="1">ROUND(SUM(C23:C25),0)</f>
        <v>1322</v>
      </c>
      <c r="D22" s="433">
        <f ca="1">C26</f>
        <v>0.0006</v>
      </c>
      <c r="E22" s="434" t="s">
        <v>2701</v>
      </c>
      <c r="F22" s="437">
        <f ca="1">'数据-取费表'!B40</f>
        <v>0.0415</v>
      </c>
      <c r="G22" s="432" t="str">
        <f>IF('数据-取费表'!B22&lt;=1,"单利计息","复利计息")</f>
        <v>复利计息</v>
      </c>
    </row>
    <row r="23" s="384" customFormat="1" ht="13.5" customHeight="1" spans="1:7">
      <c r="A23" s="438" t="s">
        <v>998</v>
      </c>
      <c r="B23" s="408" t="s">
        <v>2704</v>
      </c>
      <c r="C23" s="439">
        <f ca="1">ROUND(IF('数据-取费表'!B22&lt;=1,C5*F22*'数据-取费表'!B23,C5*(POWER((1+F22),'数据-取费表'!B23)-1)),0)</f>
        <v>1296</v>
      </c>
      <c r="D23" s="440"/>
      <c r="E23" s="440"/>
      <c r="F23" s="441"/>
      <c r="G23" s="442" t="s">
        <v>2705</v>
      </c>
    </row>
    <row r="24" s="384" customFormat="1" ht="13.5" customHeight="1" spans="1:7">
      <c r="A24" s="438" t="s">
        <v>1000</v>
      </c>
      <c r="B24" s="408" t="s">
        <v>2706</v>
      </c>
      <c r="C24" s="439">
        <f ca="1">ROUND(IF('数据-取费表'!B22&lt;=1,C19*F22*('数据-取费表'!B19/2+'数据-取费表'!B21),C19*(POWER((1+F22),('数据-取费表'!B19/2+'数据-取费表'!B21))-1)),0)</f>
        <v>13</v>
      </c>
      <c r="D24" s="440"/>
      <c r="E24" s="440"/>
      <c r="F24" s="441"/>
      <c r="G24" s="442" t="s">
        <v>2707</v>
      </c>
    </row>
    <row r="25" s="384" customFormat="1" ht="24" spans="1:7">
      <c r="A25" s="438" t="s">
        <v>1002</v>
      </c>
      <c r="B25" s="408" t="s">
        <v>2708</v>
      </c>
      <c r="C25" s="439">
        <f ca="1">ROUND(IF('数据-取费表'!B22&lt;=1,C20*F22*'数据-取费表'!B23/2,C20*(POWER((1+F22),'数据-取费表'!B23/2)-1)),0)</f>
        <v>13</v>
      </c>
      <c r="D25" s="440"/>
      <c r="E25" s="443"/>
      <c r="F25" s="441"/>
      <c r="G25" s="444" t="s">
        <v>2709</v>
      </c>
    </row>
    <row r="26" s="384" customFormat="1" spans="1:7">
      <c r="A26" s="438" t="s">
        <v>1044</v>
      </c>
      <c r="B26" s="408" t="s">
        <v>2710</v>
      </c>
      <c r="C26" s="440">
        <f ca="1">ROUND(IF('数据-取费表'!B22&lt;=1,F21*F22*'数据-取费表'!B23/2,F21*(POWER((1+F22),'数据-取费表'!B23/2)-1)),4)</f>
        <v>0.0006</v>
      </c>
      <c r="D26" s="440"/>
      <c r="E26" s="443"/>
      <c r="F26" s="441"/>
      <c r="G26" s="445"/>
    </row>
    <row r="27" s="384" customFormat="1" ht="26.4" spans="1:7">
      <c r="A27" s="427" t="s">
        <v>1789</v>
      </c>
      <c r="B27" s="446" t="s">
        <v>2711</v>
      </c>
      <c r="C27" s="447">
        <f ca="1">C28</f>
        <v>4246</v>
      </c>
      <c r="D27" s="433">
        <f>C29</f>
        <v>0.004</v>
      </c>
      <c r="E27" s="434" t="s">
        <v>2701</v>
      </c>
      <c r="F27" s="448">
        <f>'数据-取费表'!Q16</f>
        <v>0.2</v>
      </c>
      <c r="G27" s="449" t="s">
        <v>2712</v>
      </c>
    </row>
    <row r="28" s="384" customFormat="1" ht="13.5" customHeight="1" spans="1:7">
      <c r="A28" s="438" t="s">
        <v>998</v>
      </c>
      <c r="B28" s="450" t="s">
        <v>2713</v>
      </c>
      <c r="C28" s="451">
        <f ca="1">ROUND((C5+C19+C20)*F27*'数据-取费表'!B21/'数据-取费表'!B20,0)</f>
        <v>4246</v>
      </c>
      <c r="D28" s="433"/>
      <c r="E28" s="434"/>
      <c r="F28" s="448"/>
      <c r="G28" s="449"/>
    </row>
    <row r="29" s="384" customFormat="1" ht="13.5" customHeight="1" spans="1:7">
      <c r="A29" s="438" t="s">
        <v>1000</v>
      </c>
      <c r="B29" s="450" t="s">
        <v>2714</v>
      </c>
      <c r="C29" s="440">
        <f>ROUND(C21*F27*'数据-取费表'!B21/'数据-取费表'!B20,4)</f>
        <v>0.004</v>
      </c>
      <c r="D29" s="433"/>
      <c r="E29" s="434"/>
      <c r="F29" s="448"/>
      <c r="G29" s="449"/>
    </row>
    <row r="30" s="384" customFormat="1" ht="13.5" customHeight="1" spans="1:7">
      <c r="A30" s="427" t="s">
        <v>2715</v>
      </c>
      <c r="B30" s="403" t="s">
        <v>2716</v>
      </c>
      <c r="C30" s="433">
        <f>F30</f>
        <v>0.056</v>
      </c>
      <c r="D30" s="434" t="s">
        <v>2717</v>
      </c>
      <c r="E30" s="443"/>
      <c r="F30" s="437">
        <f>'数据-取费表'!B41</f>
        <v>0.056</v>
      </c>
      <c r="G30" s="435" t="s">
        <v>2718</v>
      </c>
    </row>
    <row r="31" ht="16.5" customHeight="1" spans="1:7">
      <c r="A31" s="452">
        <v>1</v>
      </c>
      <c r="B31" s="403" t="s">
        <v>2719</v>
      </c>
      <c r="C31" s="404">
        <f ca="1">ROUND((C5+C19+C20+C22+C27)/(1-C21-D22-D27-C30/(1+'数据-取费表'!B42)),0)</f>
        <v>29061</v>
      </c>
      <c r="D31" s="453"/>
      <c r="E31" s="404"/>
      <c r="F31" s="454"/>
      <c r="G31" s="435" t="s">
        <v>2720</v>
      </c>
    </row>
    <row r="32" s="383" customFormat="1" ht="15.6" spans="1:7">
      <c r="A32" s="455" t="s">
        <v>2721</v>
      </c>
      <c r="B32" s="456"/>
      <c r="C32" s="456"/>
      <c r="D32" s="456"/>
      <c r="E32" s="456"/>
      <c r="F32" s="456"/>
      <c r="G32" s="457"/>
    </row>
    <row r="33" s="384" customFormat="1" ht="13.5" customHeight="1" spans="1:7">
      <c r="A33" s="402" t="s">
        <v>994</v>
      </c>
      <c r="B33" s="403" t="s">
        <v>2722</v>
      </c>
      <c r="C33" s="458">
        <f>SUM(C34:C38)</f>
        <v>5485</v>
      </c>
      <c r="D33" s="430"/>
      <c r="E33" s="405"/>
      <c r="F33" s="443"/>
      <c r="G33" s="435"/>
    </row>
    <row r="34" s="386" customFormat="1" ht="13.5" customHeight="1" spans="1:7">
      <c r="A34" s="438" t="s">
        <v>998</v>
      </c>
      <c r="B34" s="408" t="s">
        <v>2723</v>
      </c>
      <c r="C34" s="413">
        <f>IF(F34=100%,'数据-取费表'!M16-SUMIF('数据-取费表'!C:C,"公共配套",'数据-取费表'!M:M),'数据-取费表'!O16-SUMIF('数据-取费表'!C:C,"公共配套",'数据-取费表'!O:O))</f>
        <v>5055</v>
      </c>
      <c r="D34" s="410"/>
      <c r="E34" s="413"/>
      <c r="F34" s="459">
        <f>IF('数据-取费表'!B24=0,1,'数据-取费表'!N16)</f>
        <v>1</v>
      </c>
      <c r="G34" s="412" t="s">
        <v>2724</v>
      </c>
    </row>
    <row r="35" ht="13.5" customHeight="1" spans="1:7">
      <c r="A35" s="438" t="s">
        <v>1000</v>
      </c>
      <c r="B35" s="408" t="s">
        <v>2725</v>
      </c>
      <c r="C35" s="413">
        <f>ROUND(C34*F35,0)</f>
        <v>152</v>
      </c>
      <c r="D35" s="413"/>
      <c r="E35" s="413"/>
      <c r="F35" s="460">
        <f>'数据-取费表'!B33</f>
        <v>0.03</v>
      </c>
      <c r="G35" s="412" t="s">
        <v>2726</v>
      </c>
    </row>
    <row r="36" ht="24" spans="1:7">
      <c r="A36" s="438" t="s">
        <v>1002</v>
      </c>
      <c r="B36" s="408" t="s">
        <v>2727</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2728</v>
      </c>
    </row>
    <row r="37" s="386" customFormat="1" ht="13.5" customHeight="1" spans="1:7">
      <c r="A37" s="438" t="s">
        <v>1044</v>
      </c>
      <c r="B37" s="408" t="s">
        <v>2729</v>
      </c>
      <c r="C37" s="451">
        <f>ROUND(E37*D37*F34/10000,0)</f>
        <v>202</v>
      </c>
      <c r="D37" s="410">
        <f>'数据-汇总表'!E3</f>
        <v>10109.15</v>
      </c>
      <c r="E37" s="451">
        <f>'数据-取费表'!B35</f>
        <v>200</v>
      </c>
      <c r="F37" s="460"/>
      <c r="G37" s="462" t="s">
        <v>2730</v>
      </c>
    </row>
    <row r="38" ht="13.5" customHeight="1" spans="1:7">
      <c r="A38" s="438" t="s">
        <v>1066</v>
      </c>
      <c r="B38" s="408" t="s">
        <v>2688</v>
      </c>
      <c r="C38" s="413">
        <f>ROUND(C34*F38,0)</f>
        <v>76</v>
      </c>
      <c r="D38" s="413"/>
      <c r="E38" s="413"/>
      <c r="F38" s="460">
        <f>'数据-取费表'!B36</f>
        <v>0.015</v>
      </c>
      <c r="G38" s="412" t="s">
        <v>2726</v>
      </c>
    </row>
    <row r="39" s="384" customFormat="1" ht="13.5" customHeight="1" spans="1:7">
      <c r="A39" s="427" t="s">
        <v>1730</v>
      </c>
      <c r="B39" s="403" t="s">
        <v>2698</v>
      </c>
      <c r="C39" s="430">
        <f>ROUND(C33*F20,0)</f>
        <v>110</v>
      </c>
      <c r="D39" s="430"/>
      <c r="E39" s="430"/>
      <c r="F39" s="431"/>
      <c r="G39" s="432" t="s">
        <v>2731</v>
      </c>
    </row>
    <row r="40" s="384" customFormat="1" ht="13.5" customHeight="1" spans="1:7">
      <c r="A40" s="427" t="s">
        <v>1766</v>
      </c>
      <c r="B40" s="403" t="s">
        <v>2700</v>
      </c>
      <c r="C40" s="463">
        <f>F21</f>
        <v>0.02</v>
      </c>
      <c r="D40" s="434" t="s">
        <v>2732</v>
      </c>
      <c r="E40" s="430"/>
      <c r="F40" s="431"/>
      <c r="G40" s="435" t="s">
        <v>2733</v>
      </c>
    </row>
    <row r="41" s="384" customFormat="1" ht="13.5" customHeight="1" spans="1:7">
      <c r="A41" s="427" t="s">
        <v>1771</v>
      </c>
      <c r="B41" s="403" t="s">
        <v>2703</v>
      </c>
      <c r="C41" s="430">
        <f ca="1">ROUND(SUM(C42:C43),0)</f>
        <v>173</v>
      </c>
      <c r="D41" s="433">
        <f ca="1">C44</f>
        <v>0.0006</v>
      </c>
      <c r="E41" s="434" t="s">
        <v>2732</v>
      </c>
      <c r="F41" s="437"/>
      <c r="G41" s="432" t="str">
        <f>IF('数据-取费表'!B22&lt;=1,"单利计息","复利计息")</f>
        <v>复利计息</v>
      </c>
    </row>
    <row r="42" ht="13.5" customHeight="1" spans="1:7">
      <c r="A42" s="438" t="s">
        <v>998</v>
      </c>
      <c r="B42" s="408" t="s">
        <v>2704</v>
      </c>
      <c r="C42" s="440">
        <f ca="1">ROUND(IF('数据-取费表'!B22&lt;=1,C33*F22*'数据-取费表'!B21/2,C33*(POWER((1+F22),'数据-取费表'!B21/2)-1)),0)</f>
        <v>170</v>
      </c>
      <c r="D42" s="440"/>
      <c r="E42" s="440"/>
      <c r="F42" s="441"/>
      <c r="G42" s="464" t="s">
        <v>2734</v>
      </c>
    </row>
    <row r="43" ht="13.5" customHeight="1" spans="1:7">
      <c r="A43" s="438" t="s">
        <v>1000</v>
      </c>
      <c r="B43" s="408" t="s">
        <v>2706</v>
      </c>
      <c r="C43" s="440">
        <f ca="1">ROUND(IF('数据-取费表'!B22&lt;=1,C39*F22*'数据-取费表'!B21/2,C39*(POWER((1+F22),'数据-取费表'!B21/2)-1)),0)</f>
        <v>3</v>
      </c>
      <c r="D43" s="440"/>
      <c r="E43" s="440"/>
      <c r="F43" s="441"/>
      <c r="G43" s="465"/>
    </row>
    <row r="44" ht="13.5" customHeight="1" spans="1:7">
      <c r="A44" s="438" t="s">
        <v>1002</v>
      </c>
      <c r="B44" s="408" t="s">
        <v>2708</v>
      </c>
      <c r="C44" s="440">
        <f ca="1">ROUND(IF('数据-取费表'!B22&lt;=1,C40*F22*'数据-取费表'!B21/2,C40*(POWER((1+F22),'数据-取费表'!B21/2)-1)),4)</f>
        <v>0.0006</v>
      </c>
      <c r="D44" s="440"/>
      <c r="E44" s="440"/>
      <c r="F44" s="441"/>
      <c r="G44" s="466"/>
    </row>
    <row r="45" s="384" customFormat="1" ht="13.5" customHeight="1" spans="1:7">
      <c r="A45" s="427" t="s">
        <v>1780</v>
      </c>
      <c r="B45" s="446" t="s">
        <v>2711</v>
      </c>
      <c r="C45" s="447">
        <f>C46</f>
        <v>1119</v>
      </c>
      <c r="D45" s="433">
        <f>C47</f>
        <v>0.004</v>
      </c>
      <c r="E45" s="434" t="s">
        <v>2732</v>
      </c>
      <c r="F45" s="448"/>
      <c r="G45" s="449" t="s">
        <v>2735</v>
      </c>
    </row>
    <row r="46" s="384" customFormat="1" ht="13.5" customHeight="1" spans="1:7">
      <c r="A46" s="438" t="s">
        <v>998</v>
      </c>
      <c r="B46" s="450" t="s">
        <v>2736</v>
      </c>
      <c r="C46" s="451">
        <f>ROUND((C33+C39)*F27,0)</f>
        <v>1119</v>
      </c>
      <c r="D46" s="467"/>
      <c r="E46" s="434"/>
      <c r="F46" s="448"/>
      <c r="G46" s="449"/>
    </row>
    <row r="47" s="384" customFormat="1" ht="13.5" customHeight="1" spans="1:7">
      <c r="A47" s="438" t="s">
        <v>1000</v>
      </c>
      <c r="B47" s="450" t="s">
        <v>2737</v>
      </c>
      <c r="C47" s="440">
        <f>ROUND(C40*F27,4)</f>
        <v>0.004</v>
      </c>
      <c r="D47" s="467"/>
      <c r="E47" s="434"/>
      <c r="F47" s="448"/>
      <c r="G47" s="449"/>
    </row>
    <row r="48" s="384" customFormat="1" ht="13.5" customHeight="1" spans="1:7">
      <c r="A48" s="427" t="s">
        <v>1789</v>
      </c>
      <c r="B48" s="403" t="s">
        <v>2716</v>
      </c>
      <c r="C48" s="463">
        <f>F30</f>
        <v>0.056</v>
      </c>
      <c r="D48" s="434" t="s">
        <v>2738</v>
      </c>
      <c r="E48" s="430"/>
      <c r="F48" s="437"/>
      <c r="G48" s="435" t="s">
        <v>2739</v>
      </c>
    </row>
    <row r="49" ht="16.5" customHeight="1" spans="1:7">
      <c r="A49" s="427" t="s">
        <v>2715</v>
      </c>
      <c r="B49" s="403" t="s">
        <v>2740</v>
      </c>
      <c r="C49" s="430">
        <f ca="1">ROUND((C33+C39+C41+C45)/(1-C40-D41-D45-C48/(1+'数据-取费表'!B42)),0)</f>
        <v>7469</v>
      </c>
      <c r="D49" s="430"/>
      <c r="E49" s="430"/>
      <c r="F49" s="468"/>
      <c r="G49" s="435" t="s">
        <v>2741</v>
      </c>
    </row>
    <row r="50" s="386" customFormat="1" ht="24" spans="1:7">
      <c r="A50" s="427" t="s">
        <v>2742</v>
      </c>
      <c r="B50" s="403" t="s">
        <v>2743</v>
      </c>
      <c r="C50" s="430"/>
      <c r="D50" s="430"/>
      <c r="E50" s="430"/>
      <c r="F50" s="468">
        <f>IF('数据-取费表'!B24=0,'数据-取费表'!N16,1)</f>
        <v>0.8</v>
      </c>
      <c r="G50" s="449" t="s">
        <v>2744</v>
      </c>
    </row>
    <row r="51" ht="16.5" customHeight="1" spans="1:7">
      <c r="A51" s="427" t="s">
        <v>2745</v>
      </c>
      <c r="B51" s="403" t="s">
        <v>2746</v>
      </c>
      <c r="C51" s="430">
        <f ca="1">ROUND(C49*F50,0)</f>
        <v>5975</v>
      </c>
      <c r="D51" s="430"/>
      <c r="E51" s="430"/>
      <c r="F51" s="468"/>
      <c r="G51" s="435" t="s">
        <v>2747</v>
      </c>
    </row>
    <row r="52" s="383" customFormat="1" ht="16.35" spans="1:7">
      <c r="A52" s="469" t="s">
        <v>2748</v>
      </c>
      <c r="B52" s="470"/>
      <c r="C52" s="471">
        <f ca="1">C31+C51</f>
        <v>35036</v>
      </c>
      <c r="D52" s="470"/>
      <c r="E52" s="470"/>
      <c r="F52" s="470"/>
      <c r="G52" s="472"/>
    </row>
    <row r="55" ht="15" spans="2:3">
      <c r="B55" s="473" t="s">
        <v>2749</v>
      </c>
      <c r="C55" s="474"/>
    </row>
    <row r="56" spans="2:3">
      <c r="B56" s="475" t="s">
        <v>2750</v>
      </c>
      <c r="C56" s="476">
        <f ca="1">ROUND(C51/C52,3)</f>
        <v>0.171</v>
      </c>
    </row>
    <row r="57" spans="2:3">
      <c r="B57" s="475" t="s">
        <v>2751</v>
      </c>
      <c r="C57" s="477">
        <f ca="1">1-C56</f>
        <v>0.829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2752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2753</v>
      </c>
      <c r="B2" s="352"/>
      <c r="C2" s="352"/>
      <c r="D2" s="352"/>
      <c r="E2" s="352"/>
      <c r="F2" s="352"/>
      <c r="G2" s="353" t="s">
        <v>2754</v>
      </c>
      <c r="I2" s="362" t="s">
        <v>2755</v>
      </c>
      <c r="J2" s="362" t="s">
        <v>2756</v>
      </c>
      <c r="K2" s="362" t="s">
        <v>2757</v>
      </c>
      <c r="L2" s="362" t="s">
        <v>2758</v>
      </c>
      <c r="M2" s="362" t="s">
        <v>2759</v>
      </c>
      <c r="N2" s="362" t="s">
        <v>2760</v>
      </c>
      <c r="O2" s="362" t="s">
        <v>2761</v>
      </c>
      <c r="P2" s="362" t="s">
        <v>2762</v>
      </c>
      <c r="Q2" s="362" t="s">
        <v>2763</v>
      </c>
      <c r="R2" s="362" t="s">
        <v>2764</v>
      </c>
      <c r="S2" s="362" t="s">
        <v>2765</v>
      </c>
      <c r="T2" s="362" t="s">
        <v>2766</v>
      </c>
    </row>
    <row r="3" s="347" customFormat="1" spans="1:20">
      <c r="A3" s="354" t="s">
        <v>2767</v>
      </c>
      <c r="B3" s="355"/>
      <c r="C3" s="356" t="s">
        <v>2432</v>
      </c>
      <c r="D3" s="356" t="s">
        <v>549</v>
      </c>
      <c r="E3" s="356" t="s">
        <v>412</v>
      </c>
      <c r="F3" s="356" t="s">
        <v>408</v>
      </c>
      <c r="G3" s="356" t="s">
        <v>280</v>
      </c>
      <c r="H3" s="357"/>
      <c r="I3" s="363" t="s">
        <v>2768</v>
      </c>
      <c r="J3" s="364" t="s">
        <v>2769</v>
      </c>
      <c r="K3" s="364" t="s">
        <v>2770</v>
      </c>
      <c r="L3" s="363" t="s">
        <v>2771</v>
      </c>
      <c r="M3" s="363" t="s">
        <v>2772</v>
      </c>
      <c r="N3" s="363" t="s">
        <v>2773</v>
      </c>
      <c r="O3" s="363" t="s">
        <v>2774</v>
      </c>
      <c r="P3" s="363" t="s">
        <v>2775</v>
      </c>
      <c r="Q3" s="363" t="s">
        <v>2776</v>
      </c>
      <c r="R3" s="363" t="s">
        <v>2777</v>
      </c>
      <c r="S3" s="363" t="s">
        <v>2778</v>
      </c>
      <c r="T3" s="363" t="s">
        <v>2779</v>
      </c>
    </row>
    <row r="4" s="347" customFormat="1" ht="11.55" spans="1:20">
      <c r="A4" s="358"/>
      <c r="B4" s="359" t="s">
        <v>2780</v>
      </c>
      <c r="C4" s="359" t="s">
        <v>2781</v>
      </c>
      <c r="D4" s="359" t="s">
        <v>2781</v>
      </c>
      <c r="E4" s="359" t="s">
        <v>2781</v>
      </c>
      <c r="F4" s="360" t="s">
        <v>2781</v>
      </c>
      <c r="G4" s="360" t="s">
        <v>2781</v>
      </c>
      <c r="H4" s="357"/>
      <c r="I4" s="364" t="s">
        <v>2782</v>
      </c>
      <c r="J4" s="364" t="s">
        <v>2783</v>
      </c>
      <c r="K4" s="364" t="s">
        <v>2784</v>
      </c>
      <c r="L4" s="363" t="s">
        <v>2785</v>
      </c>
      <c r="M4" s="363" t="s">
        <v>2786</v>
      </c>
      <c r="N4" s="363" t="s">
        <v>2787</v>
      </c>
      <c r="O4" s="363" t="s">
        <v>2788</v>
      </c>
      <c r="P4" s="363" t="s">
        <v>2789</v>
      </c>
      <c r="Q4" s="363" t="s">
        <v>2790</v>
      </c>
      <c r="R4" s="363" t="s">
        <v>2791</v>
      </c>
      <c r="S4" s="363" t="s">
        <v>2792</v>
      </c>
      <c r="T4" s="363" t="s">
        <v>2793</v>
      </c>
    </row>
    <row r="5" spans="1:20">
      <c r="A5" s="361" t="s">
        <v>230</v>
      </c>
      <c r="B5" s="362" t="s">
        <v>2755</v>
      </c>
      <c r="C5" s="362">
        <v>34550</v>
      </c>
      <c r="D5" s="362">
        <v>34470</v>
      </c>
      <c r="E5" s="362">
        <v>34330</v>
      </c>
      <c r="F5" s="362">
        <v>13400</v>
      </c>
      <c r="G5" s="362">
        <v>25450</v>
      </c>
      <c r="H5" s="357"/>
      <c r="I5" s="363" t="s">
        <v>2794</v>
      </c>
      <c r="J5" s="364" t="s">
        <v>2795</v>
      </c>
      <c r="K5" s="364" t="s">
        <v>2796</v>
      </c>
      <c r="L5" s="363" t="s">
        <v>2797</v>
      </c>
      <c r="M5" s="363" t="s">
        <v>2798</v>
      </c>
      <c r="N5" s="363" t="s">
        <v>2799</v>
      </c>
      <c r="O5" s="363" t="s">
        <v>2800</v>
      </c>
      <c r="P5" s="363" t="s">
        <v>2801</v>
      </c>
      <c r="Q5" s="363" t="s">
        <v>2802</v>
      </c>
      <c r="R5" s="363" t="s">
        <v>2803</v>
      </c>
      <c r="S5" s="363" t="s">
        <v>2804</v>
      </c>
      <c r="T5" s="363" t="s">
        <v>2805</v>
      </c>
    </row>
    <row r="6" ht="11.55" spans="1:20">
      <c r="A6" s="363" t="s">
        <v>230</v>
      </c>
      <c r="B6" s="363" t="s">
        <v>2768</v>
      </c>
      <c r="C6" s="363">
        <v>36990</v>
      </c>
      <c r="D6" s="363">
        <v>36850</v>
      </c>
      <c r="E6" s="363">
        <v>36700</v>
      </c>
      <c r="F6" s="363">
        <v>14590</v>
      </c>
      <c r="G6" s="363">
        <v>27450</v>
      </c>
      <c r="H6" s="357"/>
      <c r="I6" s="366" t="s">
        <v>2806</v>
      </c>
      <c r="J6" s="364" t="s">
        <v>2807</v>
      </c>
      <c r="K6" s="364" t="s">
        <v>2808</v>
      </c>
      <c r="L6" s="363" t="s">
        <v>2809</v>
      </c>
      <c r="M6" s="363" t="s">
        <v>2810</v>
      </c>
      <c r="N6" s="363" t="s">
        <v>2811</v>
      </c>
      <c r="O6" s="363" t="s">
        <v>2812</v>
      </c>
      <c r="P6" s="363" t="s">
        <v>2813</v>
      </c>
      <c r="Q6" s="363" t="s">
        <v>2814</v>
      </c>
      <c r="R6" s="363" t="s">
        <v>2815</v>
      </c>
      <c r="S6" s="363" t="s">
        <v>2816</v>
      </c>
      <c r="T6" s="363" t="s">
        <v>2817</v>
      </c>
    </row>
    <row r="7" spans="1:20">
      <c r="A7" s="363" t="s">
        <v>230</v>
      </c>
      <c r="B7" s="364" t="s">
        <v>2782</v>
      </c>
      <c r="C7" s="363">
        <v>34850</v>
      </c>
      <c r="D7" s="363">
        <v>34690</v>
      </c>
      <c r="E7" s="363">
        <v>34550</v>
      </c>
      <c r="F7" s="363">
        <v>14360</v>
      </c>
      <c r="G7" s="363">
        <v>25620</v>
      </c>
      <c r="H7" s="357"/>
      <c r="J7" s="364" t="s">
        <v>2818</v>
      </c>
      <c r="K7" s="364" t="s">
        <v>2819</v>
      </c>
      <c r="L7" s="363" t="s">
        <v>2820</v>
      </c>
      <c r="M7" s="363" t="s">
        <v>2821</v>
      </c>
      <c r="N7" s="363" t="s">
        <v>2822</v>
      </c>
      <c r="O7" s="363" t="s">
        <v>2823</v>
      </c>
      <c r="P7" s="363" t="s">
        <v>2824</v>
      </c>
      <c r="Q7" s="363" t="s">
        <v>2825</v>
      </c>
      <c r="R7" s="363" t="s">
        <v>2826</v>
      </c>
      <c r="S7" s="363" t="s">
        <v>2827</v>
      </c>
      <c r="T7" s="363" t="s">
        <v>2828</v>
      </c>
    </row>
    <row r="8" ht="11.55" spans="1:20">
      <c r="A8" s="363" t="s">
        <v>230</v>
      </c>
      <c r="B8" s="363" t="s">
        <v>2794</v>
      </c>
      <c r="C8" s="363">
        <v>32630</v>
      </c>
      <c r="D8" s="363">
        <v>32510</v>
      </c>
      <c r="E8" s="363">
        <v>32420</v>
      </c>
      <c r="F8" s="363">
        <v>13300</v>
      </c>
      <c r="G8" s="363">
        <v>24010</v>
      </c>
      <c r="H8" s="357"/>
      <c r="J8" s="364" t="s">
        <v>2829</v>
      </c>
      <c r="K8" s="364" t="s">
        <v>2830</v>
      </c>
      <c r="L8" s="363" t="s">
        <v>2831</v>
      </c>
      <c r="M8" s="363" t="s">
        <v>2832</v>
      </c>
      <c r="N8" s="363" t="s">
        <v>2833</v>
      </c>
      <c r="O8" s="363" t="s">
        <v>2834</v>
      </c>
      <c r="P8" s="363" t="s">
        <v>2835</v>
      </c>
      <c r="Q8" s="363" t="s">
        <v>2836</v>
      </c>
      <c r="R8" s="363" t="s">
        <v>2837</v>
      </c>
      <c r="S8" s="363" t="s">
        <v>2838</v>
      </c>
      <c r="T8" s="367" t="s">
        <v>2839</v>
      </c>
    </row>
    <row r="9" ht="11.55" spans="1:19">
      <c r="A9" s="365" t="s">
        <v>230</v>
      </c>
      <c r="B9" s="366" t="s">
        <v>2806</v>
      </c>
      <c r="C9" s="367">
        <v>36370</v>
      </c>
      <c r="D9" s="367">
        <v>36210</v>
      </c>
      <c r="E9" s="367">
        <v>36050</v>
      </c>
      <c r="F9" s="367"/>
      <c r="G9" s="367">
        <v>26740</v>
      </c>
      <c r="H9" s="357"/>
      <c r="J9" s="364" t="s">
        <v>2840</v>
      </c>
      <c r="K9" s="364" t="s">
        <v>2841</v>
      </c>
      <c r="L9" s="363" t="s">
        <v>2842</v>
      </c>
      <c r="M9" s="363" t="s">
        <v>2843</v>
      </c>
      <c r="N9" s="363" t="s">
        <v>2844</v>
      </c>
      <c r="O9" s="363" t="s">
        <v>2845</v>
      </c>
      <c r="P9" s="363" t="s">
        <v>2846</v>
      </c>
      <c r="Q9" s="363" t="s">
        <v>2847</v>
      </c>
      <c r="R9" s="363" t="s">
        <v>2848</v>
      </c>
      <c r="S9" s="363" t="s">
        <v>2849</v>
      </c>
    </row>
    <row r="10" spans="1:19">
      <c r="A10" s="361" t="s">
        <v>241</v>
      </c>
      <c r="B10" s="362" t="s">
        <v>2756</v>
      </c>
      <c r="C10" s="363">
        <v>32350</v>
      </c>
      <c r="D10" s="363">
        <v>31430</v>
      </c>
      <c r="E10" s="363">
        <v>31320</v>
      </c>
      <c r="F10" s="363">
        <v>10850</v>
      </c>
      <c r="G10" s="363">
        <v>22860</v>
      </c>
      <c r="H10" s="357"/>
      <c r="J10" s="364" t="s">
        <v>2850</v>
      </c>
      <c r="K10" s="364" t="s">
        <v>2851</v>
      </c>
      <c r="L10" s="363" t="s">
        <v>2852</v>
      </c>
      <c r="M10" s="363" t="s">
        <v>2853</v>
      </c>
      <c r="N10" s="363" t="s">
        <v>2854</v>
      </c>
      <c r="O10" s="363" t="s">
        <v>2855</v>
      </c>
      <c r="P10" s="363" t="s">
        <v>2856</v>
      </c>
      <c r="Q10" s="363" t="s">
        <v>2857</v>
      </c>
      <c r="R10" s="363" t="s">
        <v>2858</v>
      </c>
      <c r="S10" s="363" t="s">
        <v>2859</v>
      </c>
    </row>
    <row r="11" spans="1:19">
      <c r="A11" s="363" t="s">
        <v>241</v>
      </c>
      <c r="B11" s="364" t="s">
        <v>2769</v>
      </c>
      <c r="C11" s="363">
        <v>31590</v>
      </c>
      <c r="D11" s="363">
        <v>29490</v>
      </c>
      <c r="E11" s="363">
        <v>28700</v>
      </c>
      <c r="F11" s="363">
        <v>10410</v>
      </c>
      <c r="G11" s="363">
        <v>21460</v>
      </c>
      <c r="H11" s="357"/>
      <c r="J11" s="364" t="s">
        <v>2860</v>
      </c>
      <c r="K11" s="364" t="s">
        <v>2861</v>
      </c>
      <c r="L11" s="363" t="s">
        <v>2862</v>
      </c>
      <c r="M11" s="363" t="s">
        <v>2863</v>
      </c>
      <c r="N11" s="363" t="s">
        <v>2864</v>
      </c>
      <c r="O11" s="363" t="s">
        <v>2865</v>
      </c>
      <c r="P11" s="363" t="s">
        <v>2866</v>
      </c>
      <c r="Q11" s="363" t="s">
        <v>2867</v>
      </c>
      <c r="R11" s="363" t="s">
        <v>2868</v>
      </c>
      <c r="S11" s="363" t="s">
        <v>2869</v>
      </c>
    </row>
    <row r="12" spans="1:19">
      <c r="A12" s="363" t="s">
        <v>241</v>
      </c>
      <c r="B12" s="364" t="s">
        <v>2783</v>
      </c>
      <c r="C12" s="363">
        <v>29640</v>
      </c>
      <c r="D12" s="363">
        <v>27550</v>
      </c>
      <c r="E12" s="363">
        <v>28010</v>
      </c>
      <c r="F12" s="363">
        <v>8730</v>
      </c>
      <c r="G12" s="363">
        <v>20050</v>
      </c>
      <c r="H12" s="357"/>
      <c r="J12" s="364" t="s">
        <v>2870</v>
      </c>
      <c r="K12" s="364" t="s">
        <v>2871</v>
      </c>
      <c r="L12" s="363" t="s">
        <v>2872</v>
      </c>
      <c r="M12" s="363" t="s">
        <v>2873</v>
      </c>
      <c r="N12" s="363" t="s">
        <v>2874</v>
      </c>
      <c r="O12" s="363" t="s">
        <v>2875</v>
      </c>
      <c r="P12" s="363" t="s">
        <v>2876</v>
      </c>
      <c r="Q12" s="363" t="s">
        <v>2877</v>
      </c>
      <c r="R12" s="363" t="s">
        <v>2878</v>
      </c>
      <c r="S12" s="363" t="s">
        <v>2879</v>
      </c>
    </row>
    <row r="13" spans="1:19">
      <c r="A13" s="363" t="s">
        <v>241</v>
      </c>
      <c r="B13" s="364" t="s">
        <v>2795</v>
      </c>
      <c r="C13" s="363">
        <v>29680</v>
      </c>
      <c r="D13" s="363">
        <v>27660</v>
      </c>
      <c r="E13" s="363">
        <v>28210</v>
      </c>
      <c r="F13" s="363">
        <v>9590</v>
      </c>
      <c r="G13" s="363">
        <v>20120</v>
      </c>
      <c r="H13" s="357"/>
      <c r="J13" s="364" t="s">
        <v>2880</v>
      </c>
      <c r="K13" s="364" t="s">
        <v>2881</v>
      </c>
      <c r="L13" s="363" t="s">
        <v>2882</v>
      </c>
      <c r="M13" s="363" t="s">
        <v>2883</v>
      </c>
      <c r="N13" s="363" t="s">
        <v>2884</v>
      </c>
      <c r="O13" s="363" t="s">
        <v>2885</v>
      </c>
      <c r="P13" s="363" t="s">
        <v>2886</v>
      </c>
      <c r="Q13" s="363" t="s">
        <v>2887</v>
      </c>
      <c r="R13" s="363" t="s">
        <v>2888</v>
      </c>
      <c r="S13" s="363" t="s">
        <v>2889</v>
      </c>
    </row>
    <row r="14" spans="1:19">
      <c r="A14" s="363" t="s">
        <v>241</v>
      </c>
      <c r="B14" s="364" t="s">
        <v>2807</v>
      </c>
      <c r="C14" s="363">
        <v>30520</v>
      </c>
      <c r="D14" s="363">
        <v>29510</v>
      </c>
      <c r="E14" s="363">
        <v>29400</v>
      </c>
      <c r="F14" s="363">
        <v>9630</v>
      </c>
      <c r="G14" s="363">
        <v>21480</v>
      </c>
      <c r="H14" s="357"/>
      <c r="J14" s="364" t="s">
        <v>2890</v>
      </c>
      <c r="K14" s="364" t="s">
        <v>2891</v>
      </c>
      <c r="L14" s="363" t="s">
        <v>2892</v>
      </c>
      <c r="M14" s="363" t="s">
        <v>2893</v>
      </c>
      <c r="N14" s="363" t="s">
        <v>2894</v>
      </c>
      <c r="O14" s="363" t="s">
        <v>2895</v>
      </c>
      <c r="P14" s="363" t="s">
        <v>2896</v>
      </c>
      <c r="Q14" s="363" t="s">
        <v>2897</v>
      </c>
      <c r="R14" s="363" t="s">
        <v>2898</v>
      </c>
      <c r="S14" s="363" t="s">
        <v>2899</v>
      </c>
    </row>
    <row r="15" spans="1:19">
      <c r="A15" s="363" t="s">
        <v>241</v>
      </c>
      <c r="B15" s="364" t="s">
        <v>2818</v>
      </c>
      <c r="C15" s="363">
        <v>29090</v>
      </c>
      <c r="D15" s="363">
        <v>27590</v>
      </c>
      <c r="E15" s="363">
        <v>28120</v>
      </c>
      <c r="F15" s="363">
        <v>9110</v>
      </c>
      <c r="G15" s="363">
        <v>20070</v>
      </c>
      <c r="H15" s="357"/>
      <c r="J15" s="364" t="s">
        <v>2900</v>
      </c>
      <c r="K15" s="364" t="s">
        <v>2901</v>
      </c>
      <c r="L15" s="363" t="s">
        <v>2902</v>
      </c>
      <c r="M15" s="363" t="s">
        <v>2903</v>
      </c>
      <c r="N15" s="363" t="s">
        <v>2904</v>
      </c>
      <c r="O15" s="363" t="s">
        <v>2905</v>
      </c>
      <c r="P15" s="363" t="s">
        <v>2906</v>
      </c>
      <c r="Q15" s="363" t="s">
        <v>2907</v>
      </c>
      <c r="R15" s="363" t="s">
        <v>2908</v>
      </c>
      <c r="S15" s="363" t="s">
        <v>2909</v>
      </c>
    </row>
    <row r="16" spans="1:19">
      <c r="A16" s="363" t="s">
        <v>241</v>
      </c>
      <c r="B16" s="364" t="s">
        <v>2829</v>
      </c>
      <c r="C16" s="363">
        <v>26790</v>
      </c>
      <c r="D16" s="363">
        <v>30370</v>
      </c>
      <c r="E16" s="363">
        <v>30240</v>
      </c>
      <c r="F16" s="363">
        <v>11590</v>
      </c>
      <c r="G16" s="363">
        <v>22090</v>
      </c>
      <c r="H16" s="357"/>
      <c r="J16" s="364" t="s">
        <v>2910</v>
      </c>
      <c r="K16" s="364" t="s">
        <v>2911</v>
      </c>
      <c r="L16" s="363" t="s">
        <v>2912</v>
      </c>
      <c r="M16" s="363" t="s">
        <v>2913</v>
      </c>
      <c r="N16" s="363" t="s">
        <v>2914</v>
      </c>
      <c r="O16" s="363" t="s">
        <v>2915</v>
      </c>
      <c r="P16" s="363" t="s">
        <v>2916</v>
      </c>
      <c r="Q16" s="363" t="s">
        <v>2917</v>
      </c>
      <c r="R16" s="363" t="s">
        <v>2918</v>
      </c>
      <c r="S16" s="363" t="s">
        <v>2919</v>
      </c>
    </row>
    <row r="17" ht="14.25" customHeight="1" spans="1:19">
      <c r="A17" s="363" t="s">
        <v>241</v>
      </c>
      <c r="B17" s="364" t="s">
        <v>2840</v>
      </c>
      <c r="C17" s="363">
        <v>29180</v>
      </c>
      <c r="D17" s="363">
        <v>27620</v>
      </c>
      <c r="E17" s="363">
        <v>28180</v>
      </c>
      <c r="F17" s="363">
        <v>10790</v>
      </c>
      <c r="G17" s="363">
        <v>20090</v>
      </c>
      <c r="H17" s="357"/>
      <c r="J17" s="364" t="s">
        <v>2920</v>
      </c>
      <c r="K17" s="364" t="s">
        <v>2921</v>
      </c>
      <c r="L17" s="363" t="s">
        <v>2922</v>
      </c>
      <c r="M17" s="363" t="s">
        <v>2923</v>
      </c>
      <c r="N17" s="363" t="s">
        <v>2924</v>
      </c>
      <c r="O17" s="363" t="s">
        <v>2925</v>
      </c>
      <c r="P17" s="363" t="s">
        <v>2926</v>
      </c>
      <c r="Q17" s="363" t="s">
        <v>2927</v>
      </c>
      <c r="R17" s="363" t="s">
        <v>2928</v>
      </c>
      <c r="S17" s="363" t="s">
        <v>2929</v>
      </c>
    </row>
    <row r="18" ht="14.25" customHeight="1" spans="1:19">
      <c r="A18" s="363" t="s">
        <v>241</v>
      </c>
      <c r="B18" s="364" t="s">
        <v>2850</v>
      </c>
      <c r="C18" s="363">
        <v>26840</v>
      </c>
      <c r="D18" s="363">
        <v>28930</v>
      </c>
      <c r="E18" s="363">
        <v>28820</v>
      </c>
      <c r="F18" s="363"/>
      <c r="G18" s="363">
        <v>21050</v>
      </c>
      <c r="H18" s="357"/>
      <c r="J18" s="364" t="s">
        <v>2930</v>
      </c>
      <c r="K18" s="364" t="s">
        <v>2931</v>
      </c>
      <c r="L18" s="363" t="s">
        <v>2932</v>
      </c>
      <c r="M18" s="363" t="s">
        <v>2933</v>
      </c>
      <c r="N18" s="363" t="s">
        <v>2934</v>
      </c>
      <c r="O18" s="363" t="s">
        <v>2935</v>
      </c>
      <c r="P18" s="363" t="s">
        <v>2936</v>
      </c>
      <c r="Q18" s="363" t="s">
        <v>2937</v>
      </c>
      <c r="R18" s="363" t="s">
        <v>2938</v>
      </c>
      <c r="S18" s="363" t="s">
        <v>2939</v>
      </c>
    </row>
    <row r="19" ht="14.25" customHeight="1" spans="1:19">
      <c r="A19" s="363" t="s">
        <v>241</v>
      </c>
      <c r="B19" s="364" t="s">
        <v>2860</v>
      </c>
      <c r="C19" s="363">
        <v>27750</v>
      </c>
      <c r="D19" s="363">
        <v>26680</v>
      </c>
      <c r="E19" s="363">
        <v>26590</v>
      </c>
      <c r="F19" s="363"/>
      <c r="G19" s="363">
        <v>19420</v>
      </c>
      <c r="H19" s="357"/>
      <c r="J19" s="364" t="s">
        <v>2940</v>
      </c>
      <c r="K19" s="364" t="s">
        <v>2941</v>
      </c>
      <c r="L19" s="363" t="s">
        <v>2942</v>
      </c>
      <c r="M19" s="363" t="s">
        <v>2943</v>
      </c>
      <c r="N19" s="363" t="s">
        <v>2944</v>
      </c>
      <c r="O19" s="363" t="s">
        <v>2945</v>
      </c>
      <c r="P19" s="363" t="s">
        <v>2946</v>
      </c>
      <c r="Q19" s="363" t="s">
        <v>2947</v>
      </c>
      <c r="R19" s="363" t="s">
        <v>2948</v>
      </c>
      <c r="S19" s="363" t="s">
        <v>2949</v>
      </c>
    </row>
    <row r="20" ht="14.25" customHeight="1" spans="1:19">
      <c r="A20" s="363" t="s">
        <v>241</v>
      </c>
      <c r="B20" s="364" t="s">
        <v>2870</v>
      </c>
      <c r="C20" s="363">
        <v>27050</v>
      </c>
      <c r="D20" s="363">
        <v>29010</v>
      </c>
      <c r="E20" s="363">
        <v>28910</v>
      </c>
      <c r="F20" s="363"/>
      <c r="G20" s="363">
        <v>21110</v>
      </c>
      <c r="J20" s="364" t="s">
        <v>2950</v>
      </c>
      <c r="K20" s="364" t="s">
        <v>2951</v>
      </c>
      <c r="L20" s="363" t="s">
        <v>2952</v>
      </c>
      <c r="M20" s="363" t="s">
        <v>2953</v>
      </c>
      <c r="N20" s="363" t="s">
        <v>2954</v>
      </c>
      <c r="O20" s="363" t="s">
        <v>2955</v>
      </c>
      <c r="P20" s="363" t="s">
        <v>2956</v>
      </c>
      <c r="Q20" s="363" t="s">
        <v>2957</v>
      </c>
      <c r="R20" s="363" t="s">
        <v>2958</v>
      </c>
      <c r="S20" s="363" t="s">
        <v>2959</v>
      </c>
    </row>
    <row r="21" ht="14.25" customHeight="1" spans="1:19">
      <c r="A21" s="363" t="s">
        <v>241</v>
      </c>
      <c r="B21" s="364" t="s">
        <v>2880</v>
      </c>
      <c r="C21" s="363">
        <v>32370</v>
      </c>
      <c r="D21" s="363">
        <v>26730</v>
      </c>
      <c r="E21" s="363">
        <v>26640</v>
      </c>
      <c r="F21" s="363"/>
      <c r="G21" s="363">
        <v>19440</v>
      </c>
      <c r="J21" s="367" t="s">
        <v>2960</v>
      </c>
      <c r="K21" s="364" t="s">
        <v>2961</v>
      </c>
      <c r="L21" s="363" t="s">
        <v>2962</v>
      </c>
      <c r="M21" s="363" t="s">
        <v>500</v>
      </c>
      <c r="N21" s="363" t="s">
        <v>2963</v>
      </c>
      <c r="O21" s="363" t="s">
        <v>2964</v>
      </c>
      <c r="P21" s="363" t="s">
        <v>2965</v>
      </c>
      <c r="Q21" s="363" t="s">
        <v>2966</v>
      </c>
      <c r="R21" s="363" t="s">
        <v>2967</v>
      </c>
      <c r="S21" s="367" t="s">
        <v>2968</v>
      </c>
    </row>
    <row r="22" ht="14.25" customHeight="1" spans="1:18">
      <c r="A22" s="363" t="s">
        <v>241</v>
      </c>
      <c r="B22" s="364" t="s">
        <v>2890</v>
      </c>
      <c r="C22" s="363">
        <v>29830</v>
      </c>
      <c r="D22" s="363">
        <v>27600</v>
      </c>
      <c r="E22" s="363">
        <v>28150</v>
      </c>
      <c r="F22" s="363"/>
      <c r="G22" s="363">
        <v>20080</v>
      </c>
      <c r="K22" s="364" t="s">
        <v>2969</v>
      </c>
      <c r="L22" s="363" t="s">
        <v>2970</v>
      </c>
      <c r="M22" s="363" t="s">
        <v>2971</v>
      </c>
      <c r="N22" s="363" t="s">
        <v>2972</v>
      </c>
      <c r="O22" s="363" t="s">
        <v>2973</v>
      </c>
      <c r="P22" s="363" t="s">
        <v>2974</v>
      </c>
      <c r="Q22" s="363" t="s">
        <v>2975</v>
      </c>
      <c r="R22" s="363" t="s">
        <v>2976</v>
      </c>
    </row>
    <row r="23" ht="14.25" customHeight="1" spans="1:18">
      <c r="A23" s="363" t="s">
        <v>241</v>
      </c>
      <c r="B23" s="364" t="s">
        <v>2900</v>
      </c>
      <c r="C23" s="363">
        <v>27800</v>
      </c>
      <c r="D23" s="363">
        <v>26900</v>
      </c>
      <c r="E23" s="363">
        <v>27170</v>
      </c>
      <c r="F23" s="363"/>
      <c r="G23" s="363">
        <v>19570</v>
      </c>
      <c r="K23" s="364" t="s">
        <v>2977</v>
      </c>
      <c r="L23" s="363" t="s">
        <v>2978</v>
      </c>
      <c r="M23" s="363" t="s">
        <v>2979</v>
      </c>
      <c r="N23" s="363" t="s">
        <v>2980</v>
      </c>
      <c r="O23" s="363" t="s">
        <v>2981</v>
      </c>
      <c r="P23" s="363" t="s">
        <v>2982</v>
      </c>
      <c r="Q23" s="363" t="s">
        <v>2983</v>
      </c>
      <c r="R23" s="363" t="s">
        <v>2984</v>
      </c>
    </row>
    <row r="24" ht="14.25" customHeight="1" spans="1:18">
      <c r="A24" s="363" t="s">
        <v>241</v>
      </c>
      <c r="B24" s="364" t="s">
        <v>2910</v>
      </c>
      <c r="C24" s="363">
        <v>27930</v>
      </c>
      <c r="D24" s="363">
        <v>32260</v>
      </c>
      <c r="E24" s="363">
        <v>32120</v>
      </c>
      <c r="F24" s="363"/>
      <c r="G24" s="363">
        <v>23470</v>
      </c>
      <c r="K24" s="364" t="s">
        <v>2985</v>
      </c>
      <c r="L24" s="363" t="s">
        <v>2986</v>
      </c>
      <c r="M24" s="363" t="s">
        <v>2987</v>
      </c>
      <c r="N24" s="363" t="s">
        <v>2988</v>
      </c>
      <c r="O24" s="363" t="s">
        <v>2989</v>
      </c>
      <c r="P24" s="363" t="s">
        <v>2990</v>
      </c>
      <c r="Q24" s="377" t="s">
        <v>2991</v>
      </c>
      <c r="R24" s="363" t="s">
        <v>2992</v>
      </c>
    </row>
    <row r="25" ht="14.25" customHeight="1" spans="1:18">
      <c r="A25" s="363" t="s">
        <v>241</v>
      </c>
      <c r="B25" s="364" t="s">
        <v>2920</v>
      </c>
      <c r="C25" s="363">
        <v>32230</v>
      </c>
      <c r="D25" s="363">
        <v>29640</v>
      </c>
      <c r="E25" s="363">
        <v>29510</v>
      </c>
      <c r="F25" s="363"/>
      <c r="G25" s="363">
        <v>21560</v>
      </c>
      <c r="K25" s="364" t="s">
        <v>2993</v>
      </c>
      <c r="L25" s="363" t="s">
        <v>2994</v>
      </c>
      <c r="M25" s="363" t="s">
        <v>2995</v>
      </c>
      <c r="N25" s="363" t="s">
        <v>2996</v>
      </c>
      <c r="O25" s="363" t="s">
        <v>2997</v>
      </c>
      <c r="P25" s="363" t="s">
        <v>2998</v>
      </c>
      <c r="Q25" s="377" t="s">
        <v>2999</v>
      </c>
      <c r="R25" s="363" t="s">
        <v>3000</v>
      </c>
    </row>
    <row r="26" ht="14.25" customHeight="1" spans="1:18">
      <c r="A26" s="363" t="s">
        <v>241</v>
      </c>
      <c r="B26" s="364" t="s">
        <v>2930</v>
      </c>
      <c r="C26" s="363">
        <v>31690</v>
      </c>
      <c r="D26" s="363">
        <v>27650</v>
      </c>
      <c r="E26" s="363">
        <v>28200</v>
      </c>
      <c r="F26" s="363"/>
      <c r="G26" s="363">
        <v>20110</v>
      </c>
      <c r="K26" s="366" t="s">
        <v>3001</v>
      </c>
      <c r="L26" s="363" t="s">
        <v>3002</v>
      </c>
      <c r="M26" s="363" t="s">
        <v>3003</v>
      </c>
      <c r="N26" s="363" t="s">
        <v>3004</v>
      </c>
      <c r="O26" s="363" t="s">
        <v>3005</v>
      </c>
      <c r="P26" s="363" t="s">
        <v>3006</v>
      </c>
      <c r="Q26" s="377" t="s">
        <v>3007</v>
      </c>
      <c r="R26" s="363" t="s">
        <v>3008</v>
      </c>
    </row>
    <row r="27" ht="14.25" customHeight="1" spans="1:18">
      <c r="A27" s="363" t="s">
        <v>241</v>
      </c>
      <c r="B27" s="364" t="s">
        <v>2940</v>
      </c>
      <c r="C27" s="363">
        <v>29610</v>
      </c>
      <c r="D27" s="363">
        <v>27770</v>
      </c>
      <c r="E27" s="363">
        <v>28300</v>
      </c>
      <c r="F27" s="363"/>
      <c r="G27" s="363">
        <v>20210</v>
      </c>
      <c r="L27" s="363" t="s">
        <v>3009</v>
      </c>
      <c r="M27" s="363" t="s">
        <v>3010</v>
      </c>
      <c r="N27" s="363" t="s">
        <v>3011</v>
      </c>
      <c r="O27" s="363" t="s">
        <v>3012</v>
      </c>
      <c r="P27" s="363" t="s">
        <v>3013</v>
      </c>
      <c r="Q27" s="363" t="s">
        <v>3014</v>
      </c>
      <c r="R27" s="363" t="s">
        <v>3015</v>
      </c>
    </row>
    <row r="28" ht="14.25" customHeight="1" spans="1:18">
      <c r="A28" s="363" t="s">
        <v>241</v>
      </c>
      <c r="B28" s="364" t="s">
        <v>2950</v>
      </c>
      <c r="C28" s="363"/>
      <c r="D28" s="363">
        <v>31520</v>
      </c>
      <c r="E28" s="363">
        <v>31410</v>
      </c>
      <c r="F28" s="363"/>
      <c r="G28" s="363">
        <v>22940</v>
      </c>
      <c r="L28" s="363" t="s">
        <v>3016</v>
      </c>
      <c r="M28" s="363" t="s">
        <v>3017</v>
      </c>
      <c r="N28" s="363" t="s">
        <v>3018</v>
      </c>
      <c r="O28" s="363" t="s">
        <v>3019</v>
      </c>
      <c r="P28" s="363" t="s">
        <v>3020</v>
      </c>
      <c r="Q28" s="363" t="s">
        <v>3021</v>
      </c>
      <c r="R28" s="363" t="s">
        <v>3022</v>
      </c>
    </row>
    <row r="29" ht="14.25" customHeight="1" spans="1:18">
      <c r="A29" s="365" t="s">
        <v>241</v>
      </c>
      <c r="B29" s="368" t="s">
        <v>2960</v>
      </c>
      <c r="C29" s="369"/>
      <c r="D29" s="369">
        <v>29460</v>
      </c>
      <c r="E29" s="369">
        <v>28640</v>
      </c>
      <c r="F29" s="369"/>
      <c r="G29" s="369">
        <v>21430</v>
      </c>
      <c r="L29" s="363" t="s">
        <v>3023</v>
      </c>
      <c r="M29" s="363" t="s">
        <v>3024</v>
      </c>
      <c r="N29" s="363" t="s">
        <v>3025</v>
      </c>
      <c r="O29" s="363" t="s">
        <v>3026</v>
      </c>
      <c r="P29" s="363" t="s">
        <v>3027</v>
      </c>
      <c r="Q29" s="363" t="s">
        <v>3028</v>
      </c>
      <c r="R29" s="363" t="s">
        <v>3029</v>
      </c>
    </row>
    <row r="30" ht="14.25" customHeight="1" spans="1:18">
      <c r="A30" s="361" t="s">
        <v>251</v>
      </c>
      <c r="B30" s="362" t="s">
        <v>2757</v>
      </c>
      <c r="C30" s="362">
        <v>26890</v>
      </c>
      <c r="D30" s="362">
        <v>26770</v>
      </c>
      <c r="E30" s="362">
        <v>25700</v>
      </c>
      <c r="F30" s="362">
        <v>8180</v>
      </c>
      <c r="G30" s="370">
        <v>18740</v>
      </c>
      <c r="L30" s="363" t="s">
        <v>3030</v>
      </c>
      <c r="M30" s="363" t="s">
        <v>3031</v>
      </c>
      <c r="N30" s="363" t="s">
        <v>3032</v>
      </c>
      <c r="O30" s="363" t="s">
        <v>3033</v>
      </c>
      <c r="P30" s="363" t="s">
        <v>3034</v>
      </c>
      <c r="Q30" s="363" t="s">
        <v>3035</v>
      </c>
      <c r="R30" s="363" t="s">
        <v>3036</v>
      </c>
    </row>
    <row r="31" ht="14.25" customHeight="1" spans="1:18">
      <c r="A31" s="363" t="s">
        <v>251</v>
      </c>
      <c r="B31" s="364" t="s">
        <v>2770</v>
      </c>
      <c r="C31" s="363">
        <v>24550</v>
      </c>
      <c r="D31" s="363">
        <v>23990</v>
      </c>
      <c r="E31" s="363">
        <v>22930</v>
      </c>
      <c r="F31" s="363">
        <v>7470</v>
      </c>
      <c r="G31" s="371">
        <v>16790</v>
      </c>
      <c r="L31" s="363" t="s">
        <v>3037</v>
      </c>
      <c r="M31" s="363" t="s">
        <v>3038</v>
      </c>
      <c r="N31" s="363" t="s">
        <v>3039</v>
      </c>
      <c r="O31" s="363" t="s">
        <v>3040</v>
      </c>
      <c r="P31" s="363" t="s">
        <v>3041</v>
      </c>
      <c r="Q31" s="363" t="s">
        <v>3042</v>
      </c>
      <c r="R31" s="363" t="s">
        <v>3043</v>
      </c>
    </row>
    <row r="32" ht="14.25" customHeight="1" spans="1:18">
      <c r="A32" s="363" t="s">
        <v>251</v>
      </c>
      <c r="B32" s="364" t="s">
        <v>2784</v>
      </c>
      <c r="C32" s="363">
        <v>27210</v>
      </c>
      <c r="D32" s="363">
        <v>23240</v>
      </c>
      <c r="E32" s="363">
        <v>23260</v>
      </c>
      <c r="F32" s="363">
        <v>7130</v>
      </c>
      <c r="G32" s="371">
        <v>16270</v>
      </c>
      <c r="L32" s="363" t="s">
        <v>3044</v>
      </c>
      <c r="M32" s="363" t="s">
        <v>3045</v>
      </c>
      <c r="N32" s="363" t="s">
        <v>3046</v>
      </c>
      <c r="O32" s="363" t="s">
        <v>3047</v>
      </c>
      <c r="P32" s="363" t="s">
        <v>3048</v>
      </c>
      <c r="Q32" s="363" t="s">
        <v>3049</v>
      </c>
      <c r="R32" s="367" t="s">
        <v>3050</v>
      </c>
    </row>
    <row r="33" ht="14.25" customHeight="1" spans="1:17">
      <c r="A33" s="363" t="s">
        <v>251</v>
      </c>
      <c r="B33" s="364" t="s">
        <v>2796</v>
      </c>
      <c r="C33" s="363">
        <v>27300</v>
      </c>
      <c r="D33" s="363">
        <v>22980</v>
      </c>
      <c r="E33" s="363">
        <v>24260</v>
      </c>
      <c r="F33" s="363">
        <v>5860</v>
      </c>
      <c r="G33" s="371">
        <v>16090</v>
      </c>
      <c r="L33" s="367" t="s">
        <v>3051</v>
      </c>
      <c r="M33" s="363" t="s">
        <v>3052</v>
      </c>
      <c r="N33" s="363" t="s">
        <v>3053</v>
      </c>
      <c r="O33" s="363" t="s">
        <v>3054</v>
      </c>
      <c r="P33" s="363" t="s">
        <v>3055</v>
      </c>
      <c r="Q33" s="363" t="s">
        <v>3056</v>
      </c>
    </row>
    <row r="34" ht="14.25" customHeight="1" spans="1:17">
      <c r="A34" s="363" t="s">
        <v>251</v>
      </c>
      <c r="B34" s="364" t="s">
        <v>2808</v>
      </c>
      <c r="C34" s="363">
        <v>23090</v>
      </c>
      <c r="D34" s="363">
        <v>23390</v>
      </c>
      <c r="E34" s="363">
        <v>23510</v>
      </c>
      <c r="F34" s="363">
        <v>6700</v>
      </c>
      <c r="G34" s="371">
        <v>16370</v>
      </c>
      <c r="M34" s="363" t="s">
        <v>3057</v>
      </c>
      <c r="N34" s="363" t="s">
        <v>3058</v>
      </c>
      <c r="O34" s="363" t="s">
        <v>3059</v>
      </c>
      <c r="P34" s="363" t="s">
        <v>3060</v>
      </c>
      <c r="Q34" s="363" t="s">
        <v>3061</v>
      </c>
    </row>
    <row r="35" ht="14.25" customHeight="1" spans="1:17">
      <c r="A35" s="363" t="s">
        <v>251</v>
      </c>
      <c r="B35" s="364" t="s">
        <v>2819</v>
      </c>
      <c r="C35" s="363">
        <v>27270</v>
      </c>
      <c r="D35" s="363">
        <v>24270</v>
      </c>
      <c r="E35" s="363">
        <v>24950</v>
      </c>
      <c r="F35" s="363">
        <v>6600</v>
      </c>
      <c r="G35" s="371">
        <v>16990</v>
      </c>
      <c r="M35" s="363" t="s">
        <v>3062</v>
      </c>
      <c r="N35" s="363" t="s">
        <v>3063</v>
      </c>
      <c r="O35" s="363" t="s">
        <v>3064</v>
      </c>
      <c r="P35" s="363" t="s">
        <v>3065</v>
      </c>
      <c r="Q35" s="363" t="s">
        <v>3066</v>
      </c>
    </row>
    <row r="36" ht="14.25" customHeight="1" spans="1:17">
      <c r="A36" s="363" t="s">
        <v>251</v>
      </c>
      <c r="B36" s="364" t="s">
        <v>2830</v>
      </c>
      <c r="C36" s="363">
        <v>23490</v>
      </c>
      <c r="D36" s="363">
        <v>23020</v>
      </c>
      <c r="E36" s="363">
        <v>25230</v>
      </c>
      <c r="F36" s="363">
        <v>6780</v>
      </c>
      <c r="G36" s="371">
        <v>16120</v>
      </c>
      <c r="M36" s="363" t="s">
        <v>3067</v>
      </c>
      <c r="N36" s="363" t="s">
        <v>3068</v>
      </c>
      <c r="O36" s="363" t="s">
        <v>3069</v>
      </c>
      <c r="P36" s="363" t="s">
        <v>3070</v>
      </c>
      <c r="Q36" s="363" t="s">
        <v>3071</v>
      </c>
    </row>
    <row r="37" ht="14.25" customHeight="1" spans="1:17">
      <c r="A37" s="363" t="s">
        <v>251</v>
      </c>
      <c r="B37" s="364" t="s">
        <v>2841</v>
      </c>
      <c r="C37" s="363">
        <v>24380</v>
      </c>
      <c r="D37" s="363">
        <v>22240</v>
      </c>
      <c r="E37" s="363">
        <v>25980</v>
      </c>
      <c r="F37" s="363">
        <v>8160</v>
      </c>
      <c r="G37" s="371">
        <v>15570</v>
      </c>
      <c r="M37" s="363" t="s">
        <v>3072</v>
      </c>
      <c r="N37" s="363" t="s">
        <v>3073</v>
      </c>
      <c r="O37" s="363" t="s">
        <v>3074</v>
      </c>
      <c r="P37" s="363" t="s">
        <v>3075</v>
      </c>
      <c r="Q37" s="363" t="s">
        <v>3076</v>
      </c>
    </row>
    <row r="38" ht="14.25" customHeight="1" spans="1:17">
      <c r="A38" s="363" t="s">
        <v>251</v>
      </c>
      <c r="B38" s="364" t="s">
        <v>2851</v>
      </c>
      <c r="C38" s="363">
        <v>23120</v>
      </c>
      <c r="D38" s="363">
        <v>24630</v>
      </c>
      <c r="E38" s="363">
        <v>25030</v>
      </c>
      <c r="F38" s="363">
        <v>7710</v>
      </c>
      <c r="G38" s="371">
        <v>17240</v>
      </c>
      <c r="M38" s="363" t="s">
        <v>3077</v>
      </c>
      <c r="N38" s="363" t="s">
        <v>3078</v>
      </c>
      <c r="O38" s="363" t="s">
        <v>3079</v>
      </c>
      <c r="P38" s="363" t="s">
        <v>3080</v>
      </c>
      <c r="Q38" s="363" t="s">
        <v>3081</v>
      </c>
    </row>
    <row r="39" ht="14.25" customHeight="1" spans="1:17">
      <c r="A39" s="363" t="s">
        <v>251</v>
      </c>
      <c r="B39" s="364" t="s">
        <v>2861</v>
      </c>
      <c r="C39" s="363">
        <v>22330</v>
      </c>
      <c r="D39" s="363">
        <v>21140</v>
      </c>
      <c r="E39" s="363">
        <v>23970</v>
      </c>
      <c r="F39" s="363">
        <v>7940</v>
      </c>
      <c r="G39" s="371">
        <v>14790</v>
      </c>
      <c r="M39" s="363" t="s">
        <v>3082</v>
      </c>
      <c r="N39" s="363" t="s">
        <v>3083</v>
      </c>
      <c r="O39" s="363" t="s">
        <v>3084</v>
      </c>
      <c r="P39" s="363" t="s">
        <v>3085</v>
      </c>
      <c r="Q39" s="363" t="s">
        <v>3086</v>
      </c>
    </row>
    <row r="40" ht="14.25" customHeight="1" spans="1:17">
      <c r="A40" s="363" t="s">
        <v>251</v>
      </c>
      <c r="B40" s="364" t="s">
        <v>2871</v>
      </c>
      <c r="C40" s="363">
        <v>24740</v>
      </c>
      <c r="D40" s="363">
        <v>24690</v>
      </c>
      <c r="E40" s="363">
        <v>22610</v>
      </c>
      <c r="F40" s="363"/>
      <c r="G40" s="371">
        <v>17280</v>
      </c>
      <c r="M40" s="363" t="s">
        <v>3087</v>
      </c>
      <c r="N40" s="363" t="s">
        <v>3088</v>
      </c>
      <c r="O40" s="363" t="s">
        <v>3089</v>
      </c>
      <c r="P40" s="363" t="s">
        <v>3090</v>
      </c>
      <c r="Q40" s="363" t="s">
        <v>3091</v>
      </c>
    </row>
    <row r="41" ht="14.25" customHeight="1" spans="1:17">
      <c r="A41" s="363" t="s">
        <v>251</v>
      </c>
      <c r="B41" s="364" t="s">
        <v>2881</v>
      </c>
      <c r="C41" s="363">
        <v>21220</v>
      </c>
      <c r="D41" s="363">
        <v>21120</v>
      </c>
      <c r="E41" s="363">
        <v>22590</v>
      </c>
      <c r="F41" s="363"/>
      <c r="G41" s="371">
        <v>14780</v>
      </c>
      <c r="M41" s="367" t="s">
        <v>3092</v>
      </c>
      <c r="N41" s="363" t="s">
        <v>3093</v>
      </c>
      <c r="O41" s="363" t="s">
        <v>3094</v>
      </c>
      <c r="P41" s="363" t="s">
        <v>3095</v>
      </c>
      <c r="Q41" s="363" t="s">
        <v>3096</v>
      </c>
    </row>
    <row r="42" ht="14.25" customHeight="1" spans="1:17">
      <c r="A42" s="363" t="s">
        <v>251</v>
      </c>
      <c r="B42" s="364" t="s">
        <v>2891</v>
      </c>
      <c r="C42" s="363">
        <v>24800</v>
      </c>
      <c r="D42" s="363">
        <v>22280</v>
      </c>
      <c r="E42" s="363">
        <v>24350</v>
      </c>
      <c r="F42" s="363"/>
      <c r="G42" s="371">
        <v>15590</v>
      </c>
      <c r="N42" s="363" t="s">
        <v>3097</v>
      </c>
      <c r="O42" s="363" t="s">
        <v>3098</v>
      </c>
      <c r="P42" s="363" t="s">
        <v>3099</v>
      </c>
      <c r="Q42" s="363" t="s">
        <v>3100</v>
      </c>
    </row>
    <row r="43" ht="14.25" customHeight="1" spans="1:17">
      <c r="A43" s="363" t="s">
        <v>251</v>
      </c>
      <c r="B43" s="364" t="s">
        <v>2901</v>
      </c>
      <c r="C43" s="363">
        <v>21210</v>
      </c>
      <c r="D43" s="363">
        <v>21160</v>
      </c>
      <c r="E43" s="363">
        <v>22650</v>
      </c>
      <c r="F43" s="363"/>
      <c r="G43" s="371">
        <v>14800</v>
      </c>
      <c r="N43" s="363" t="s">
        <v>3101</v>
      </c>
      <c r="O43" s="363" t="s">
        <v>3102</v>
      </c>
      <c r="P43" s="363" t="s">
        <v>3103</v>
      </c>
      <c r="Q43" s="363" t="s">
        <v>3104</v>
      </c>
    </row>
    <row r="44" ht="14.25" customHeight="1" spans="1:17">
      <c r="A44" s="363" t="s">
        <v>251</v>
      </c>
      <c r="B44" s="364" t="s">
        <v>2911</v>
      </c>
      <c r="C44" s="363">
        <v>22370</v>
      </c>
      <c r="D44" s="363">
        <v>23140</v>
      </c>
      <c r="E44" s="363">
        <v>25090</v>
      </c>
      <c r="F44" s="363"/>
      <c r="G44" s="371">
        <v>16190</v>
      </c>
      <c r="N44" s="363" t="s">
        <v>3105</v>
      </c>
      <c r="O44" s="363" t="s">
        <v>3106</v>
      </c>
      <c r="P44" s="367" t="s">
        <v>3107</v>
      </c>
      <c r="Q44" s="363" t="s">
        <v>3108</v>
      </c>
    </row>
    <row r="45" ht="14.25" customHeight="1" spans="1:17">
      <c r="A45" s="363" t="s">
        <v>251</v>
      </c>
      <c r="B45" s="364" t="s">
        <v>2921</v>
      </c>
      <c r="C45" s="363">
        <v>21240</v>
      </c>
      <c r="D45" s="363">
        <v>27050</v>
      </c>
      <c r="E45" s="363">
        <v>28000</v>
      </c>
      <c r="F45" s="363"/>
      <c r="G45" s="371">
        <v>18940</v>
      </c>
      <c r="N45" s="363" t="s">
        <v>3109</v>
      </c>
      <c r="O45" s="367" t="s">
        <v>3110</v>
      </c>
      <c r="Q45" s="363" t="s">
        <v>3111</v>
      </c>
    </row>
    <row r="46" ht="14.25" customHeight="1" spans="1:17">
      <c r="A46" s="363" t="s">
        <v>251</v>
      </c>
      <c r="B46" s="364" t="s">
        <v>2931</v>
      </c>
      <c r="C46" s="363">
        <v>23240</v>
      </c>
      <c r="D46" s="363">
        <v>23000</v>
      </c>
      <c r="E46" s="363">
        <v>24980</v>
      </c>
      <c r="F46" s="363"/>
      <c r="G46" s="371">
        <v>16100</v>
      </c>
      <c r="N46" s="363" t="s">
        <v>3112</v>
      </c>
      <c r="Q46" s="363" t="s">
        <v>3113</v>
      </c>
    </row>
    <row r="47" ht="14.25" customHeight="1" spans="1:17">
      <c r="A47" s="363" t="s">
        <v>251</v>
      </c>
      <c r="B47" s="364" t="s">
        <v>2941</v>
      </c>
      <c r="C47" s="363">
        <v>27150</v>
      </c>
      <c r="D47" s="363">
        <v>23310</v>
      </c>
      <c r="E47" s="363">
        <v>25150</v>
      </c>
      <c r="F47" s="363"/>
      <c r="G47" s="371">
        <v>16310</v>
      </c>
      <c r="N47" s="363" t="s">
        <v>3114</v>
      </c>
      <c r="Q47" s="363" t="s">
        <v>3115</v>
      </c>
    </row>
    <row r="48" ht="14.25" customHeight="1" spans="1:17">
      <c r="A48" s="363" t="s">
        <v>251</v>
      </c>
      <c r="B48" s="364" t="s">
        <v>2951</v>
      </c>
      <c r="C48" s="363">
        <v>23100</v>
      </c>
      <c r="D48" s="363">
        <v>21110</v>
      </c>
      <c r="E48" s="363">
        <v>23080</v>
      </c>
      <c r="F48" s="363"/>
      <c r="G48" s="371">
        <v>14780</v>
      </c>
      <c r="N48" s="363" t="s">
        <v>3116</v>
      </c>
      <c r="Q48" s="363" t="s">
        <v>3117</v>
      </c>
    </row>
    <row r="49" ht="14.25" customHeight="1" spans="1:17">
      <c r="A49" s="363" t="s">
        <v>251</v>
      </c>
      <c r="B49" s="364" t="s">
        <v>2961</v>
      </c>
      <c r="C49" s="363">
        <v>23400</v>
      </c>
      <c r="D49" s="363">
        <v>22920</v>
      </c>
      <c r="E49" s="363">
        <v>24900</v>
      </c>
      <c r="F49" s="363"/>
      <c r="G49" s="371">
        <v>16040</v>
      </c>
      <c r="N49" s="363" t="s">
        <v>3118</v>
      </c>
      <c r="Q49" s="363" t="s">
        <v>3119</v>
      </c>
    </row>
    <row r="50" ht="14.25" customHeight="1" spans="1:17">
      <c r="A50" s="363" t="s">
        <v>251</v>
      </c>
      <c r="B50" s="364" t="s">
        <v>2969</v>
      </c>
      <c r="C50" s="363">
        <v>21200</v>
      </c>
      <c r="D50" s="363">
        <v>26540</v>
      </c>
      <c r="E50" s="363">
        <v>23200</v>
      </c>
      <c r="F50" s="363"/>
      <c r="G50" s="371">
        <v>18580</v>
      </c>
      <c r="N50" s="363" t="s">
        <v>3120</v>
      </c>
      <c r="Q50" s="364" t="s">
        <v>3121</v>
      </c>
    </row>
    <row r="51" ht="14.25" customHeight="1" spans="1:17">
      <c r="A51" s="363" t="s">
        <v>251</v>
      </c>
      <c r="B51" s="364" t="s">
        <v>2977</v>
      </c>
      <c r="C51" s="363">
        <v>23000</v>
      </c>
      <c r="D51" s="363">
        <v>23460</v>
      </c>
      <c r="E51" s="363">
        <v>25290</v>
      </c>
      <c r="F51" s="363"/>
      <c r="G51" s="371">
        <v>16420</v>
      </c>
      <c r="N51" s="363" t="s">
        <v>3122</v>
      </c>
      <c r="Q51" s="367" t="s">
        <v>3123</v>
      </c>
    </row>
    <row r="52" ht="14.25" customHeight="1" spans="1:14">
      <c r="A52" s="363" t="s">
        <v>251</v>
      </c>
      <c r="B52" s="364" t="s">
        <v>2985</v>
      </c>
      <c r="C52" s="363">
        <v>26660</v>
      </c>
      <c r="D52" s="363">
        <v>22350</v>
      </c>
      <c r="E52" s="363">
        <v>22920</v>
      </c>
      <c r="F52" s="363"/>
      <c r="G52" s="371">
        <v>15640</v>
      </c>
      <c r="N52" s="363" t="s">
        <v>3124</v>
      </c>
    </row>
    <row r="53" ht="14.25" customHeight="1" spans="1:14">
      <c r="A53" s="363" t="s">
        <v>251</v>
      </c>
      <c r="B53" s="364" t="s">
        <v>2993</v>
      </c>
      <c r="C53" s="363">
        <v>23580</v>
      </c>
      <c r="D53" s="363"/>
      <c r="E53" s="363">
        <v>24280</v>
      </c>
      <c r="F53" s="363"/>
      <c r="G53" s="371"/>
      <c r="N53" s="363" t="s">
        <v>3125</v>
      </c>
    </row>
    <row r="54" ht="14.25" customHeight="1" spans="1:14">
      <c r="A54" s="372" t="s">
        <v>251</v>
      </c>
      <c r="B54" s="366" t="s">
        <v>3001</v>
      </c>
      <c r="C54" s="367">
        <v>22460</v>
      </c>
      <c r="D54" s="367"/>
      <c r="E54" s="367"/>
      <c r="F54" s="367"/>
      <c r="G54" s="373"/>
      <c r="N54" s="363" t="s">
        <v>3126</v>
      </c>
    </row>
    <row r="55" ht="14.25" customHeight="1" spans="1:14">
      <c r="A55" s="361" t="s">
        <v>259</v>
      </c>
      <c r="B55" s="362" t="s">
        <v>2758</v>
      </c>
      <c r="C55" s="363">
        <v>21970</v>
      </c>
      <c r="D55" s="363">
        <v>20370</v>
      </c>
      <c r="E55" s="363">
        <v>20180</v>
      </c>
      <c r="F55" s="363">
        <v>5730</v>
      </c>
      <c r="G55" s="363">
        <v>13820</v>
      </c>
      <c r="N55" s="363" t="s">
        <v>3127</v>
      </c>
    </row>
    <row r="56" ht="14.25" customHeight="1" spans="1:14">
      <c r="A56" s="363" t="s">
        <v>259</v>
      </c>
      <c r="B56" s="363" t="s">
        <v>2771</v>
      </c>
      <c r="C56" s="363">
        <v>20470</v>
      </c>
      <c r="D56" s="363">
        <v>20700</v>
      </c>
      <c r="E56" s="363">
        <v>20380</v>
      </c>
      <c r="F56" s="363">
        <v>4760</v>
      </c>
      <c r="G56" s="363">
        <v>14050</v>
      </c>
      <c r="N56" s="363" t="s">
        <v>3128</v>
      </c>
    </row>
    <row r="57" ht="14.25" customHeight="1" spans="1:14">
      <c r="A57" s="363" t="s">
        <v>259</v>
      </c>
      <c r="B57" s="363" t="s">
        <v>2785</v>
      </c>
      <c r="C57" s="363">
        <v>20790</v>
      </c>
      <c r="D57" s="363">
        <v>21370</v>
      </c>
      <c r="E57" s="363">
        <v>20890</v>
      </c>
      <c r="F57" s="363">
        <v>4910</v>
      </c>
      <c r="G57" s="363">
        <v>14510</v>
      </c>
      <c r="N57" s="363" t="s">
        <v>3129</v>
      </c>
    </row>
    <row r="58" ht="14.25" customHeight="1" spans="1:14">
      <c r="A58" s="363" t="s">
        <v>259</v>
      </c>
      <c r="B58" s="363" t="s">
        <v>2797</v>
      </c>
      <c r="C58" s="363">
        <v>21460</v>
      </c>
      <c r="D58" s="363">
        <v>20920</v>
      </c>
      <c r="E58" s="363">
        <v>23410</v>
      </c>
      <c r="F58" s="363">
        <v>5100</v>
      </c>
      <c r="G58" s="363">
        <v>14200</v>
      </c>
      <c r="N58" s="363" t="s">
        <v>3130</v>
      </c>
    </row>
    <row r="59" ht="14.25" customHeight="1" spans="1:14">
      <c r="A59" s="363" t="s">
        <v>259</v>
      </c>
      <c r="B59" s="363" t="s">
        <v>2809</v>
      </c>
      <c r="C59" s="363">
        <v>21000</v>
      </c>
      <c r="D59" s="363">
        <v>21550</v>
      </c>
      <c r="E59" s="363">
        <v>21150</v>
      </c>
      <c r="F59" s="363">
        <v>5250</v>
      </c>
      <c r="G59" s="363">
        <v>14630</v>
      </c>
      <c r="N59" s="363" t="s">
        <v>3131</v>
      </c>
    </row>
    <row r="60" ht="14.25" customHeight="1" spans="1:14">
      <c r="A60" s="363" t="s">
        <v>259</v>
      </c>
      <c r="B60" s="363" t="s">
        <v>2820</v>
      </c>
      <c r="C60" s="363">
        <v>21640</v>
      </c>
      <c r="D60" s="363">
        <v>21260</v>
      </c>
      <c r="E60" s="363">
        <v>24040</v>
      </c>
      <c r="F60" s="363">
        <v>4470</v>
      </c>
      <c r="G60" s="363">
        <v>14430</v>
      </c>
      <c r="N60" s="363" t="s">
        <v>3132</v>
      </c>
    </row>
    <row r="61" ht="14.25" customHeight="1" spans="1:14">
      <c r="A61" s="363" t="s">
        <v>259</v>
      </c>
      <c r="B61" s="363" t="s">
        <v>2831</v>
      </c>
      <c r="C61" s="363">
        <v>21330</v>
      </c>
      <c r="D61" s="363">
        <v>18640</v>
      </c>
      <c r="E61" s="363">
        <v>21190</v>
      </c>
      <c r="F61" s="363">
        <v>4180</v>
      </c>
      <c r="G61" s="363">
        <v>12650</v>
      </c>
      <c r="N61" s="363" t="s">
        <v>3133</v>
      </c>
    </row>
    <row r="62" ht="14.25" customHeight="1" spans="1:14">
      <c r="A62" s="363" t="s">
        <v>259</v>
      </c>
      <c r="B62" s="363" t="s">
        <v>2842</v>
      </c>
      <c r="C62" s="363">
        <v>18710</v>
      </c>
      <c r="D62" s="363">
        <v>19400</v>
      </c>
      <c r="E62" s="363">
        <v>23750</v>
      </c>
      <c r="F62" s="363">
        <v>4860</v>
      </c>
      <c r="G62" s="363">
        <v>13170</v>
      </c>
      <c r="N62" s="363" t="s">
        <v>3134</v>
      </c>
    </row>
    <row r="63" ht="14.25" customHeight="1" spans="1:14">
      <c r="A63" s="363" t="s">
        <v>259</v>
      </c>
      <c r="B63" s="363" t="s">
        <v>2852</v>
      </c>
      <c r="C63" s="363">
        <v>19480</v>
      </c>
      <c r="D63" s="363">
        <v>16830</v>
      </c>
      <c r="E63" s="363">
        <v>21590</v>
      </c>
      <c r="F63" s="363">
        <v>4560</v>
      </c>
      <c r="G63" s="363">
        <v>11420</v>
      </c>
      <c r="N63" s="363" t="s">
        <v>3135</v>
      </c>
    </row>
    <row r="64" ht="14.25" customHeight="1" spans="1:14">
      <c r="A64" s="363" t="s">
        <v>259</v>
      </c>
      <c r="B64" s="363" t="s">
        <v>2862</v>
      </c>
      <c r="C64" s="363">
        <v>16920</v>
      </c>
      <c r="D64" s="363">
        <v>19190</v>
      </c>
      <c r="E64" s="363">
        <v>22200</v>
      </c>
      <c r="F64" s="363">
        <v>4390</v>
      </c>
      <c r="G64" s="363">
        <v>13030</v>
      </c>
      <c r="N64" s="367" t="s">
        <v>3136</v>
      </c>
    </row>
    <row r="65" s="348" customFormat="1" ht="14.25" customHeight="1" spans="1:7">
      <c r="A65" s="363" t="s">
        <v>259</v>
      </c>
      <c r="B65" s="363" t="s">
        <v>2872</v>
      </c>
      <c r="C65" s="363">
        <v>19290</v>
      </c>
      <c r="D65" s="363">
        <v>17020</v>
      </c>
      <c r="E65" s="363">
        <v>19880</v>
      </c>
      <c r="F65" s="363">
        <v>4070</v>
      </c>
      <c r="G65" s="363">
        <v>11550</v>
      </c>
    </row>
    <row r="66" s="348" customFormat="1" ht="14.25" customHeight="1" spans="1:7">
      <c r="A66" s="363" t="s">
        <v>259</v>
      </c>
      <c r="B66" s="363" t="s">
        <v>2882</v>
      </c>
      <c r="C66" s="363">
        <v>17090</v>
      </c>
      <c r="D66" s="363">
        <v>18340</v>
      </c>
      <c r="E66" s="363">
        <v>21830</v>
      </c>
      <c r="F66" s="363">
        <v>4690</v>
      </c>
      <c r="G66" s="363">
        <v>12450</v>
      </c>
    </row>
    <row r="67" s="348" customFormat="1" ht="14.25" customHeight="1" spans="1:7">
      <c r="A67" s="363" t="s">
        <v>259</v>
      </c>
      <c r="B67" s="363" t="s">
        <v>2892</v>
      </c>
      <c r="C67" s="363">
        <v>18420</v>
      </c>
      <c r="D67" s="363">
        <v>16360</v>
      </c>
      <c r="E67" s="363">
        <v>20020</v>
      </c>
      <c r="F67" s="363">
        <v>5150</v>
      </c>
      <c r="G67" s="363">
        <v>11110</v>
      </c>
    </row>
    <row r="68" s="348" customFormat="1" ht="14.25" customHeight="1" spans="1:7">
      <c r="A68" s="363" t="s">
        <v>259</v>
      </c>
      <c r="B68" s="363" t="s">
        <v>2902</v>
      </c>
      <c r="C68" s="363">
        <v>16450</v>
      </c>
      <c r="D68" s="363">
        <v>18430</v>
      </c>
      <c r="E68" s="363">
        <v>21010</v>
      </c>
      <c r="F68" s="363">
        <v>4720</v>
      </c>
      <c r="G68" s="363">
        <v>12510</v>
      </c>
    </row>
    <row r="69" s="348" customFormat="1" ht="14.25" customHeight="1" spans="1:7">
      <c r="A69" s="363" t="s">
        <v>259</v>
      </c>
      <c r="B69" s="363" t="s">
        <v>2912</v>
      </c>
      <c r="C69" s="363">
        <v>18510</v>
      </c>
      <c r="D69" s="363">
        <v>16300</v>
      </c>
      <c r="E69" s="363">
        <v>18830</v>
      </c>
      <c r="F69" s="363">
        <v>5400</v>
      </c>
      <c r="G69" s="363">
        <v>11070</v>
      </c>
    </row>
    <row r="70" s="348" customFormat="1" ht="14.25" customHeight="1" spans="1:7">
      <c r="A70" s="363" t="s">
        <v>259</v>
      </c>
      <c r="B70" s="363" t="s">
        <v>2922</v>
      </c>
      <c r="C70" s="363">
        <v>16370</v>
      </c>
      <c r="D70" s="363">
        <v>18620</v>
      </c>
      <c r="E70" s="363">
        <v>21100</v>
      </c>
      <c r="F70" s="363">
        <v>5700</v>
      </c>
      <c r="G70" s="363">
        <v>12640</v>
      </c>
    </row>
    <row r="71" s="348" customFormat="1" ht="14.25" customHeight="1" spans="1:7">
      <c r="A71" s="363" t="s">
        <v>259</v>
      </c>
      <c r="B71" s="363" t="s">
        <v>2932</v>
      </c>
      <c r="C71" s="363">
        <v>18700</v>
      </c>
      <c r="D71" s="363">
        <v>16290</v>
      </c>
      <c r="E71" s="363">
        <v>18760</v>
      </c>
      <c r="F71" s="363">
        <v>4780</v>
      </c>
      <c r="G71" s="363">
        <v>11050</v>
      </c>
    </row>
    <row r="72" s="348" customFormat="1" ht="14.25" customHeight="1" spans="1:7">
      <c r="A72" s="363" t="s">
        <v>259</v>
      </c>
      <c r="B72" s="363" t="s">
        <v>2942</v>
      </c>
      <c r="C72" s="363">
        <v>16340</v>
      </c>
      <c r="D72" s="363">
        <v>17520</v>
      </c>
      <c r="E72" s="363">
        <v>21170</v>
      </c>
      <c r="F72" s="363"/>
      <c r="G72" s="363">
        <v>11900</v>
      </c>
    </row>
    <row r="73" s="348" customFormat="1" ht="14.25" customHeight="1" spans="1:7">
      <c r="A73" s="363" t="s">
        <v>259</v>
      </c>
      <c r="B73" s="363" t="s">
        <v>2952</v>
      </c>
      <c r="C73" s="363">
        <v>17610</v>
      </c>
      <c r="D73" s="363">
        <v>18520</v>
      </c>
      <c r="E73" s="363">
        <v>18720</v>
      </c>
      <c r="F73" s="363"/>
      <c r="G73" s="363">
        <v>12570</v>
      </c>
    </row>
    <row r="74" s="348" customFormat="1" ht="14.25" customHeight="1" spans="1:7">
      <c r="A74" s="363" t="s">
        <v>259</v>
      </c>
      <c r="B74" s="363" t="s">
        <v>2962</v>
      </c>
      <c r="C74" s="363">
        <v>18600</v>
      </c>
      <c r="D74" s="363">
        <v>16480</v>
      </c>
      <c r="E74" s="363">
        <v>20100</v>
      </c>
      <c r="F74" s="363"/>
      <c r="G74" s="363">
        <v>11190</v>
      </c>
    </row>
    <row r="75" s="348" customFormat="1" ht="14.25" customHeight="1" spans="1:7">
      <c r="A75" s="363" t="s">
        <v>259</v>
      </c>
      <c r="B75" s="363" t="s">
        <v>2970</v>
      </c>
      <c r="C75" s="363">
        <v>16570</v>
      </c>
      <c r="D75" s="363">
        <v>17530</v>
      </c>
      <c r="E75" s="363">
        <v>21030</v>
      </c>
      <c r="F75" s="363"/>
      <c r="G75" s="363">
        <v>11900</v>
      </c>
    </row>
    <row r="76" s="348" customFormat="1" ht="14.25" customHeight="1" spans="1:7">
      <c r="A76" s="363" t="s">
        <v>259</v>
      </c>
      <c r="B76" s="363" t="s">
        <v>2978</v>
      </c>
      <c r="C76" s="363">
        <v>17610</v>
      </c>
      <c r="D76" s="363">
        <v>20800</v>
      </c>
      <c r="E76" s="363">
        <v>18920</v>
      </c>
      <c r="F76" s="363"/>
      <c r="G76" s="363">
        <v>14120</v>
      </c>
    </row>
    <row r="77" s="348" customFormat="1" ht="14.25" customHeight="1" spans="1:7">
      <c r="A77" s="363" t="s">
        <v>259</v>
      </c>
      <c r="B77" s="363" t="s">
        <v>2986</v>
      </c>
      <c r="C77" s="363">
        <v>20890</v>
      </c>
      <c r="D77" s="363">
        <v>19740</v>
      </c>
      <c r="E77" s="363">
        <v>20110</v>
      </c>
      <c r="F77" s="363"/>
      <c r="G77" s="363">
        <v>13400</v>
      </c>
    </row>
    <row r="78" s="348" customFormat="1" ht="14.25" customHeight="1" spans="1:7">
      <c r="A78" s="363" t="s">
        <v>259</v>
      </c>
      <c r="B78" s="363" t="s">
        <v>2994</v>
      </c>
      <c r="C78" s="363">
        <v>19820</v>
      </c>
      <c r="D78" s="363">
        <v>19780</v>
      </c>
      <c r="E78" s="363">
        <v>18560</v>
      </c>
      <c r="F78" s="363"/>
      <c r="G78" s="363">
        <v>13430</v>
      </c>
    </row>
    <row r="79" s="348" customFormat="1" ht="14.25" customHeight="1" spans="1:7">
      <c r="A79" s="363" t="s">
        <v>259</v>
      </c>
      <c r="B79" s="363" t="s">
        <v>3002</v>
      </c>
      <c r="C79" s="363">
        <v>21660</v>
      </c>
      <c r="D79" s="363">
        <v>18000</v>
      </c>
      <c r="E79" s="363">
        <v>22570</v>
      </c>
      <c r="F79" s="363"/>
      <c r="G79" s="363">
        <v>12220</v>
      </c>
    </row>
    <row r="80" s="348" customFormat="1" ht="14.25" customHeight="1" spans="1:7">
      <c r="A80" s="363" t="s">
        <v>259</v>
      </c>
      <c r="B80" s="363" t="s">
        <v>3009</v>
      </c>
      <c r="C80" s="363">
        <v>19850</v>
      </c>
      <c r="D80" s="363"/>
      <c r="E80" s="363">
        <v>21700</v>
      </c>
      <c r="F80" s="363"/>
      <c r="G80" s="363"/>
    </row>
    <row r="81" s="348" customFormat="1" ht="14.25" customHeight="1" spans="1:7">
      <c r="A81" s="363" t="s">
        <v>259</v>
      </c>
      <c r="B81" s="363" t="s">
        <v>3016</v>
      </c>
      <c r="C81" s="363">
        <v>18080</v>
      </c>
      <c r="D81" s="363"/>
      <c r="E81" s="363">
        <v>20900</v>
      </c>
      <c r="F81" s="363"/>
      <c r="G81" s="363"/>
    </row>
    <row r="82" s="348" customFormat="1" ht="14.25" customHeight="1" spans="1:7">
      <c r="A82" s="363" t="s">
        <v>259</v>
      </c>
      <c r="B82" s="363" t="s">
        <v>3023</v>
      </c>
      <c r="C82" s="363"/>
      <c r="D82" s="363"/>
      <c r="E82" s="363">
        <v>20840</v>
      </c>
      <c r="F82" s="363"/>
      <c r="G82" s="363"/>
    </row>
    <row r="83" s="348" customFormat="1" ht="14.25" customHeight="1" spans="1:7">
      <c r="A83" s="363" t="s">
        <v>259</v>
      </c>
      <c r="B83" s="363" t="s">
        <v>3030</v>
      </c>
      <c r="C83" s="363"/>
      <c r="D83" s="363"/>
      <c r="E83" s="363"/>
      <c r="F83" s="363">
        <v>4770</v>
      </c>
      <c r="G83" s="363"/>
    </row>
    <row r="84" s="348" customFormat="1" ht="14.25" customHeight="1" spans="1:7">
      <c r="A84" s="363" t="s">
        <v>259</v>
      </c>
      <c r="B84" s="363" t="s">
        <v>3037</v>
      </c>
      <c r="C84" s="363"/>
      <c r="D84" s="363"/>
      <c r="E84" s="363"/>
      <c r="F84" s="363">
        <v>4600</v>
      </c>
      <c r="G84" s="363"/>
    </row>
    <row r="85" s="348" customFormat="1" ht="14.25" customHeight="1" spans="1:7">
      <c r="A85" s="363" t="s">
        <v>259</v>
      </c>
      <c r="B85" s="363" t="s">
        <v>3044</v>
      </c>
      <c r="C85" s="363"/>
      <c r="D85" s="363"/>
      <c r="E85" s="363"/>
      <c r="F85" s="363">
        <v>4680</v>
      </c>
      <c r="G85" s="363"/>
    </row>
    <row r="86" s="348" customFormat="1" ht="14.25" customHeight="1" spans="1:7">
      <c r="A86" s="365" t="s">
        <v>259</v>
      </c>
      <c r="B86" s="368" t="s">
        <v>3051</v>
      </c>
      <c r="C86" s="369">
        <v>16610</v>
      </c>
      <c r="D86" s="369">
        <v>16540</v>
      </c>
      <c r="E86" s="369">
        <v>18850</v>
      </c>
      <c r="F86" s="369"/>
      <c r="G86" s="369">
        <v>11220</v>
      </c>
    </row>
    <row r="87" s="348" customFormat="1" ht="14.25" customHeight="1" spans="1:7">
      <c r="A87" s="361" t="s">
        <v>267</v>
      </c>
      <c r="B87" s="362" t="s">
        <v>2759</v>
      </c>
      <c r="C87" s="362">
        <v>15240</v>
      </c>
      <c r="D87" s="362">
        <v>15170</v>
      </c>
      <c r="E87" s="362">
        <v>18260</v>
      </c>
      <c r="F87" s="362">
        <v>3830</v>
      </c>
      <c r="G87" s="370">
        <v>10020</v>
      </c>
    </row>
    <row r="88" s="348" customFormat="1" ht="14.25" customHeight="1" spans="1:7">
      <c r="A88" s="363" t="s">
        <v>267</v>
      </c>
      <c r="B88" s="363" t="s">
        <v>2772</v>
      </c>
      <c r="C88" s="363">
        <v>17310</v>
      </c>
      <c r="D88" s="363">
        <v>17220</v>
      </c>
      <c r="E88" s="363">
        <v>18610</v>
      </c>
      <c r="F88" s="363">
        <v>3990</v>
      </c>
      <c r="G88" s="371">
        <v>11380</v>
      </c>
    </row>
    <row r="89" s="348" customFormat="1" ht="14.25" customHeight="1" spans="1:7">
      <c r="A89" s="363" t="s">
        <v>267</v>
      </c>
      <c r="B89" s="363" t="s">
        <v>2786</v>
      </c>
      <c r="C89" s="363">
        <v>15600</v>
      </c>
      <c r="D89" s="363">
        <v>15550</v>
      </c>
      <c r="E89" s="363">
        <v>19200</v>
      </c>
      <c r="F89" s="363">
        <v>4110</v>
      </c>
      <c r="G89" s="371">
        <v>10270</v>
      </c>
    </row>
    <row r="90" s="348" customFormat="1" ht="14.25" customHeight="1" spans="1:7">
      <c r="A90" s="363" t="s">
        <v>267</v>
      </c>
      <c r="B90" s="363" t="s">
        <v>2798</v>
      </c>
      <c r="C90" s="363">
        <v>17330</v>
      </c>
      <c r="D90" s="363">
        <v>17240</v>
      </c>
      <c r="E90" s="363">
        <v>18570</v>
      </c>
      <c r="F90" s="363">
        <v>4070</v>
      </c>
      <c r="G90" s="371">
        <v>11390</v>
      </c>
    </row>
    <row r="91" s="348" customFormat="1" ht="14.25" customHeight="1" spans="1:7">
      <c r="A91" s="363" t="s">
        <v>267</v>
      </c>
      <c r="B91" s="363" t="s">
        <v>2810</v>
      </c>
      <c r="C91" s="363">
        <v>16330</v>
      </c>
      <c r="D91" s="363">
        <v>16260</v>
      </c>
      <c r="E91" s="363">
        <v>16800</v>
      </c>
      <c r="F91" s="363">
        <v>3410</v>
      </c>
      <c r="G91" s="371">
        <v>10740</v>
      </c>
    </row>
    <row r="92" s="348" customFormat="1" ht="14.25" customHeight="1" spans="1:7">
      <c r="A92" s="363" t="s">
        <v>267</v>
      </c>
      <c r="B92" s="363" t="s">
        <v>2821</v>
      </c>
      <c r="C92" s="363">
        <v>15570</v>
      </c>
      <c r="D92" s="363">
        <v>15500</v>
      </c>
      <c r="E92" s="363">
        <v>17360</v>
      </c>
      <c r="F92" s="363">
        <v>3510</v>
      </c>
      <c r="G92" s="371">
        <v>10240</v>
      </c>
    </row>
    <row r="93" s="348" customFormat="1" ht="14.25" customHeight="1" spans="1:7">
      <c r="A93" s="363" t="s">
        <v>267</v>
      </c>
      <c r="B93" s="363" t="s">
        <v>2832</v>
      </c>
      <c r="C93" s="363">
        <v>14000</v>
      </c>
      <c r="D93" s="363">
        <v>13930</v>
      </c>
      <c r="E93" s="363">
        <v>18200</v>
      </c>
      <c r="F93" s="363">
        <v>3640</v>
      </c>
      <c r="G93" s="371">
        <v>9210</v>
      </c>
    </row>
    <row r="94" s="348" customFormat="1" ht="14.25" customHeight="1" spans="1:7">
      <c r="A94" s="363" t="s">
        <v>267</v>
      </c>
      <c r="B94" s="363" t="s">
        <v>2843</v>
      </c>
      <c r="C94" s="363">
        <v>14530</v>
      </c>
      <c r="D94" s="363">
        <v>14470</v>
      </c>
      <c r="E94" s="363">
        <v>18240</v>
      </c>
      <c r="F94" s="363">
        <v>3180</v>
      </c>
      <c r="G94" s="371">
        <v>9560</v>
      </c>
    </row>
    <row r="95" s="348" customFormat="1" ht="14.25" customHeight="1" spans="1:7">
      <c r="A95" s="363" t="s">
        <v>267</v>
      </c>
      <c r="B95" s="363" t="s">
        <v>2853</v>
      </c>
      <c r="C95" s="363">
        <v>17330</v>
      </c>
      <c r="D95" s="363">
        <v>17260</v>
      </c>
      <c r="E95" s="363">
        <v>18420</v>
      </c>
      <c r="F95" s="363">
        <v>3060</v>
      </c>
      <c r="G95" s="371">
        <v>11410</v>
      </c>
    </row>
    <row r="96" s="348" customFormat="1" ht="14.25" customHeight="1" spans="1:7">
      <c r="A96" s="363" t="s">
        <v>267</v>
      </c>
      <c r="B96" s="363" t="s">
        <v>2863</v>
      </c>
      <c r="C96" s="363">
        <v>15030</v>
      </c>
      <c r="D96" s="363">
        <v>14970</v>
      </c>
      <c r="E96" s="363">
        <v>17580</v>
      </c>
      <c r="F96" s="363">
        <v>2970</v>
      </c>
      <c r="G96" s="371">
        <v>9890</v>
      </c>
    </row>
    <row r="97" s="348" customFormat="1" ht="14.25" customHeight="1" spans="1:7">
      <c r="A97" s="363" t="s">
        <v>267</v>
      </c>
      <c r="B97" s="363" t="s">
        <v>2873</v>
      </c>
      <c r="C97" s="363">
        <v>17400</v>
      </c>
      <c r="D97" s="363">
        <v>17330</v>
      </c>
      <c r="E97" s="363">
        <v>16430</v>
      </c>
      <c r="F97" s="363">
        <v>2950</v>
      </c>
      <c r="G97" s="371">
        <v>11450</v>
      </c>
    </row>
    <row r="98" s="348" customFormat="1" ht="14.25" customHeight="1" spans="1:7">
      <c r="A98" s="363" t="s">
        <v>267</v>
      </c>
      <c r="B98" s="363" t="s">
        <v>2883</v>
      </c>
      <c r="C98" s="363">
        <v>15200</v>
      </c>
      <c r="D98" s="363">
        <v>15120</v>
      </c>
      <c r="E98" s="363">
        <v>17550</v>
      </c>
      <c r="F98" s="363">
        <v>3080</v>
      </c>
      <c r="G98" s="371">
        <v>9990</v>
      </c>
    </row>
    <row r="99" s="348" customFormat="1" ht="14.25" customHeight="1" spans="1:7">
      <c r="A99" s="363" t="s">
        <v>267</v>
      </c>
      <c r="B99" s="363" t="s">
        <v>2893</v>
      </c>
      <c r="C99" s="363">
        <v>17520</v>
      </c>
      <c r="D99" s="363">
        <v>17430</v>
      </c>
      <c r="E99" s="363">
        <v>16350</v>
      </c>
      <c r="F99" s="363">
        <v>3260</v>
      </c>
      <c r="G99" s="371">
        <v>11510</v>
      </c>
    </row>
    <row r="100" s="348" customFormat="1" ht="14.25" customHeight="1" spans="1:7">
      <c r="A100" s="363" t="s">
        <v>267</v>
      </c>
      <c r="B100" s="363" t="s">
        <v>2903</v>
      </c>
      <c r="C100" s="363">
        <v>15340</v>
      </c>
      <c r="D100" s="363">
        <v>15260</v>
      </c>
      <c r="E100" s="363">
        <v>15930</v>
      </c>
      <c r="F100" s="363">
        <v>2740</v>
      </c>
      <c r="G100" s="371">
        <v>10080</v>
      </c>
    </row>
    <row r="101" s="348" customFormat="1" ht="14.25" customHeight="1" spans="1:7">
      <c r="A101" s="363" t="s">
        <v>267</v>
      </c>
      <c r="B101" s="363" t="s">
        <v>2913</v>
      </c>
      <c r="C101" s="363">
        <v>14620</v>
      </c>
      <c r="D101" s="363">
        <v>14560</v>
      </c>
      <c r="E101" s="363">
        <v>15570</v>
      </c>
      <c r="F101" s="363">
        <v>3500</v>
      </c>
      <c r="G101" s="371">
        <v>9630</v>
      </c>
    </row>
    <row r="102" s="348" customFormat="1" ht="14.25" customHeight="1" spans="1:7">
      <c r="A102" s="363" t="s">
        <v>267</v>
      </c>
      <c r="B102" s="363" t="s">
        <v>2923</v>
      </c>
      <c r="C102" s="363">
        <v>13680</v>
      </c>
      <c r="D102" s="363">
        <v>13610</v>
      </c>
      <c r="E102" s="363">
        <v>15690</v>
      </c>
      <c r="F102" s="363">
        <v>2870</v>
      </c>
      <c r="G102" s="371">
        <v>8990</v>
      </c>
    </row>
    <row r="103" s="348" customFormat="1" ht="14.25" customHeight="1" spans="1:7">
      <c r="A103" s="363" t="s">
        <v>267</v>
      </c>
      <c r="B103" s="363" t="s">
        <v>2933</v>
      </c>
      <c r="C103" s="363">
        <v>14620</v>
      </c>
      <c r="D103" s="363">
        <v>14540</v>
      </c>
      <c r="E103" s="363">
        <v>15240</v>
      </c>
      <c r="F103" s="363">
        <v>2840</v>
      </c>
      <c r="G103" s="371">
        <v>9610</v>
      </c>
    </row>
    <row r="104" s="348" customFormat="1" ht="14.25" customHeight="1" spans="1:7">
      <c r="A104" s="363" t="s">
        <v>267</v>
      </c>
      <c r="B104" s="363" t="s">
        <v>2943</v>
      </c>
      <c r="C104" s="363">
        <v>13610</v>
      </c>
      <c r="D104" s="363">
        <v>13540</v>
      </c>
      <c r="E104" s="363">
        <v>15750</v>
      </c>
      <c r="F104" s="363">
        <v>2770</v>
      </c>
      <c r="G104" s="371">
        <v>8940</v>
      </c>
    </row>
    <row r="105" s="348" customFormat="1" ht="14.25" customHeight="1" spans="1:7">
      <c r="A105" s="363" t="s">
        <v>267</v>
      </c>
      <c r="B105" s="363" t="s">
        <v>2953</v>
      </c>
      <c r="C105" s="363">
        <v>13310</v>
      </c>
      <c r="D105" s="363">
        <v>13240</v>
      </c>
      <c r="E105" s="363">
        <v>16280</v>
      </c>
      <c r="F105" s="363">
        <v>3210</v>
      </c>
      <c r="G105" s="371">
        <v>8750</v>
      </c>
    </row>
    <row r="106" s="348" customFormat="1" ht="14.25" customHeight="1" spans="1:7">
      <c r="A106" s="363" t="s">
        <v>267</v>
      </c>
      <c r="B106" s="363" t="s">
        <v>500</v>
      </c>
      <c r="C106" s="363">
        <v>13010</v>
      </c>
      <c r="D106" s="363">
        <v>12930</v>
      </c>
      <c r="E106" s="363">
        <v>14960</v>
      </c>
      <c r="F106" s="363">
        <v>3530</v>
      </c>
      <c r="G106" s="371">
        <v>8550</v>
      </c>
    </row>
    <row r="107" s="348" customFormat="1" ht="14.25" customHeight="1" spans="1:7">
      <c r="A107" s="363" t="s">
        <v>267</v>
      </c>
      <c r="B107" s="363" t="s">
        <v>2971</v>
      </c>
      <c r="C107" s="363">
        <v>13070</v>
      </c>
      <c r="D107" s="363">
        <v>13000</v>
      </c>
      <c r="E107" s="363">
        <v>15910</v>
      </c>
      <c r="F107" s="363">
        <v>3990</v>
      </c>
      <c r="G107" s="371">
        <v>8580</v>
      </c>
    </row>
    <row r="108" s="348" customFormat="1" ht="14.25" customHeight="1" spans="1:7">
      <c r="A108" s="363" t="s">
        <v>267</v>
      </c>
      <c r="B108" s="363" t="s">
        <v>2979</v>
      </c>
      <c r="C108" s="363">
        <v>12640</v>
      </c>
      <c r="D108" s="363">
        <v>12580</v>
      </c>
      <c r="E108" s="363">
        <v>15730</v>
      </c>
      <c r="F108" s="363"/>
      <c r="G108" s="371">
        <v>8310</v>
      </c>
    </row>
    <row r="109" s="348" customFormat="1" ht="14.25" customHeight="1" spans="1:7">
      <c r="A109" s="363" t="s">
        <v>267</v>
      </c>
      <c r="B109" s="363" t="s">
        <v>2987</v>
      </c>
      <c r="C109" s="363">
        <v>13130</v>
      </c>
      <c r="D109" s="363">
        <v>13070</v>
      </c>
      <c r="E109" s="363">
        <v>15000</v>
      </c>
      <c r="F109" s="363"/>
      <c r="G109" s="371">
        <v>8630</v>
      </c>
    </row>
    <row r="110" s="348" customFormat="1" ht="14.25" customHeight="1" spans="1:7">
      <c r="A110" s="363" t="s">
        <v>267</v>
      </c>
      <c r="B110" s="363" t="s">
        <v>2995</v>
      </c>
      <c r="C110" s="363">
        <v>13560</v>
      </c>
      <c r="D110" s="363">
        <v>13490</v>
      </c>
      <c r="E110" s="363">
        <v>16300</v>
      </c>
      <c r="F110" s="363"/>
      <c r="G110" s="371">
        <v>8920</v>
      </c>
    </row>
    <row r="111" s="348" customFormat="1" ht="14.25" customHeight="1" spans="1:7">
      <c r="A111" s="363" t="s">
        <v>267</v>
      </c>
      <c r="B111" s="363" t="s">
        <v>3003</v>
      </c>
      <c r="C111" s="363">
        <v>12440</v>
      </c>
      <c r="D111" s="363">
        <v>12380</v>
      </c>
      <c r="E111" s="363">
        <v>17850</v>
      </c>
      <c r="F111" s="363"/>
      <c r="G111" s="371">
        <v>8180</v>
      </c>
    </row>
    <row r="112" s="348" customFormat="1" ht="14.25" customHeight="1" spans="1:7">
      <c r="A112" s="363" t="s">
        <v>267</v>
      </c>
      <c r="B112" s="363" t="s">
        <v>3010</v>
      </c>
      <c r="C112" s="363">
        <v>13260</v>
      </c>
      <c r="D112" s="363">
        <v>13180</v>
      </c>
      <c r="E112" s="363">
        <v>19740</v>
      </c>
      <c r="F112" s="363"/>
      <c r="G112" s="371">
        <v>8710</v>
      </c>
    </row>
    <row r="113" s="348" customFormat="1" ht="14.25" customHeight="1" spans="1:7">
      <c r="A113" s="363" t="s">
        <v>267</v>
      </c>
      <c r="B113" s="363" t="s">
        <v>3017</v>
      </c>
      <c r="C113" s="363">
        <v>15520</v>
      </c>
      <c r="D113" s="363">
        <v>15450</v>
      </c>
      <c r="E113" s="363"/>
      <c r="F113" s="363"/>
      <c r="G113" s="371">
        <v>10210</v>
      </c>
    </row>
    <row r="114" s="348" customFormat="1" ht="14.25" customHeight="1" spans="1:7">
      <c r="A114" s="363" t="s">
        <v>267</v>
      </c>
      <c r="B114" s="363" t="s">
        <v>3024</v>
      </c>
      <c r="C114" s="363">
        <v>13110</v>
      </c>
      <c r="D114" s="363">
        <v>13050</v>
      </c>
      <c r="E114" s="363"/>
      <c r="F114" s="363"/>
      <c r="G114" s="371">
        <v>8620</v>
      </c>
    </row>
    <row r="115" s="348" customFormat="1" ht="14.25" customHeight="1" spans="1:7">
      <c r="A115" s="363" t="s">
        <v>267</v>
      </c>
      <c r="B115" s="363" t="s">
        <v>3031</v>
      </c>
      <c r="C115" s="363">
        <v>12460</v>
      </c>
      <c r="D115" s="363">
        <v>12390</v>
      </c>
      <c r="E115" s="363"/>
      <c r="F115" s="363"/>
      <c r="G115" s="371">
        <v>8190</v>
      </c>
    </row>
    <row r="116" s="348" customFormat="1" ht="14.25" customHeight="1" spans="1:7">
      <c r="A116" s="363" t="s">
        <v>267</v>
      </c>
      <c r="B116" s="363" t="s">
        <v>3038</v>
      </c>
      <c r="C116" s="363">
        <v>13580</v>
      </c>
      <c r="D116" s="363">
        <v>13520</v>
      </c>
      <c r="E116" s="363"/>
      <c r="F116" s="363"/>
      <c r="G116" s="371">
        <v>8930</v>
      </c>
    </row>
    <row r="117" s="348" customFormat="1" ht="14.25" customHeight="1" spans="1:7">
      <c r="A117" s="363" t="s">
        <v>267</v>
      </c>
      <c r="B117" s="363" t="s">
        <v>3045</v>
      </c>
      <c r="C117" s="363">
        <v>17120</v>
      </c>
      <c r="D117" s="363">
        <v>17040</v>
      </c>
      <c r="E117" s="363"/>
      <c r="F117" s="363"/>
      <c r="G117" s="371">
        <v>11260</v>
      </c>
    </row>
    <row r="118" s="348" customFormat="1" ht="14.25" customHeight="1" spans="1:7">
      <c r="A118" s="363" t="s">
        <v>267</v>
      </c>
      <c r="B118" s="363" t="s">
        <v>3052</v>
      </c>
      <c r="C118" s="363">
        <v>14860</v>
      </c>
      <c r="D118" s="363">
        <v>14790</v>
      </c>
      <c r="E118" s="363"/>
      <c r="F118" s="363"/>
      <c r="G118" s="371">
        <v>9780</v>
      </c>
    </row>
    <row r="119" s="348" customFormat="1" ht="14.25" customHeight="1" spans="1:7">
      <c r="A119" s="363" t="s">
        <v>267</v>
      </c>
      <c r="B119" s="363" t="s">
        <v>3057</v>
      </c>
      <c r="C119" s="363">
        <v>16470</v>
      </c>
      <c r="D119" s="363">
        <v>16400</v>
      </c>
      <c r="E119" s="363"/>
      <c r="F119" s="363"/>
      <c r="G119" s="371">
        <v>10840</v>
      </c>
    </row>
    <row r="120" s="348" customFormat="1" ht="14.25" customHeight="1" spans="1:7">
      <c r="A120" s="363" t="s">
        <v>267</v>
      </c>
      <c r="B120" s="363" t="s">
        <v>3062</v>
      </c>
      <c r="C120" s="363"/>
      <c r="D120" s="363"/>
      <c r="E120" s="363"/>
      <c r="F120" s="363">
        <v>4160</v>
      </c>
      <c r="G120" s="371"/>
    </row>
    <row r="121" s="348" customFormat="1" ht="14.25" customHeight="1" spans="1:7">
      <c r="A121" s="363" t="s">
        <v>267</v>
      </c>
      <c r="B121" s="363" t="s">
        <v>3067</v>
      </c>
      <c r="C121" s="363"/>
      <c r="D121" s="363"/>
      <c r="E121" s="363"/>
      <c r="F121" s="363">
        <v>3880</v>
      </c>
      <c r="G121" s="371"/>
    </row>
    <row r="122" s="348" customFormat="1" ht="14.25" customHeight="1" spans="1:7">
      <c r="A122" s="363" t="s">
        <v>267</v>
      </c>
      <c r="B122" s="363" t="s">
        <v>3072</v>
      </c>
      <c r="C122" s="363">
        <v>13750</v>
      </c>
      <c r="D122" s="363">
        <v>13680</v>
      </c>
      <c r="E122" s="363">
        <v>16460</v>
      </c>
      <c r="F122" s="363">
        <v>2880</v>
      </c>
      <c r="G122" s="371">
        <v>9040</v>
      </c>
    </row>
    <row r="123" s="348" customFormat="1" ht="14.25" customHeight="1" spans="1:7">
      <c r="A123" s="363" t="s">
        <v>267</v>
      </c>
      <c r="B123" s="363" t="s">
        <v>3077</v>
      </c>
      <c r="C123" s="363">
        <v>13590</v>
      </c>
      <c r="D123" s="363">
        <v>13520</v>
      </c>
      <c r="E123" s="363">
        <v>16290</v>
      </c>
      <c r="F123" s="363">
        <v>2790</v>
      </c>
      <c r="G123" s="371">
        <v>8930</v>
      </c>
    </row>
    <row r="124" s="348" customFormat="1" ht="14.25" customHeight="1" spans="1:7">
      <c r="A124" s="363" t="s">
        <v>267</v>
      </c>
      <c r="B124" s="363" t="s">
        <v>3082</v>
      </c>
      <c r="C124" s="363">
        <v>13400</v>
      </c>
      <c r="D124" s="363">
        <v>13320</v>
      </c>
      <c r="E124" s="363">
        <v>16100</v>
      </c>
      <c r="F124" s="363">
        <v>2320</v>
      </c>
      <c r="G124" s="371">
        <v>8800</v>
      </c>
    </row>
    <row r="125" s="348" customFormat="1" ht="14.25" customHeight="1" spans="1:7">
      <c r="A125" s="363" t="s">
        <v>267</v>
      </c>
      <c r="B125" s="363" t="s">
        <v>3087</v>
      </c>
      <c r="C125" s="363">
        <v>12860</v>
      </c>
      <c r="D125" s="363">
        <v>12790</v>
      </c>
      <c r="E125" s="363">
        <v>15370</v>
      </c>
      <c r="F125" s="363">
        <v>2280</v>
      </c>
      <c r="G125" s="371">
        <v>8450</v>
      </c>
    </row>
    <row r="126" s="348" customFormat="1" ht="14.25" customHeight="1" spans="1:7">
      <c r="A126" s="372" t="s">
        <v>267</v>
      </c>
      <c r="B126" s="367" t="s">
        <v>3092</v>
      </c>
      <c r="C126" s="367">
        <v>12960</v>
      </c>
      <c r="D126" s="367">
        <v>12890</v>
      </c>
      <c r="E126" s="367">
        <v>15530</v>
      </c>
      <c r="F126" s="367">
        <v>2910</v>
      </c>
      <c r="G126" s="373">
        <v>8520</v>
      </c>
    </row>
    <row r="127" s="348" customFormat="1" ht="14.25" customHeight="1" spans="1:7">
      <c r="A127" s="361" t="s">
        <v>273</v>
      </c>
      <c r="B127" s="362" t="s">
        <v>2760</v>
      </c>
      <c r="C127" s="363">
        <v>12280</v>
      </c>
      <c r="D127" s="363">
        <v>12250</v>
      </c>
      <c r="E127" s="363">
        <v>15130</v>
      </c>
      <c r="F127" s="363">
        <v>2710</v>
      </c>
      <c r="G127" s="363">
        <v>7870</v>
      </c>
    </row>
    <row r="128" s="348" customFormat="1" ht="14.25" customHeight="1" spans="1:7">
      <c r="A128" s="363" t="s">
        <v>273</v>
      </c>
      <c r="B128" s="363" t="s">
        <v>2773</v>
      </c>
      <c r="C128" s="363">
        <v>13180</v>
      </c>
      <c r="D128" s="363">
        <v>13150</v>
      </c>
      <c r="E128" s="363">
        <v>16190</v>
      </c>
      <c r="F128" s="363">
        <v>2820</v>
      </c>
      <c r="G128" s="363">
        <v>8460</v>
      </c>
    </row>
    <row r="129" s="348" customFormat="1" ht="14.25" customHeight="1" spans="1:7">
      <c r="A129" s="363" t="s">
        <v>273</v>
      </c>
      <c r="B129" s="363" t="s">
        <v>2787</v>
      </c>
      <c r="C129" s="363">
        <v>10950</v>
      </c>
      <c r="D129" s="363">
        <v>10920</v>
      </c>
      <c r="E129" s="363">
        <v>13820</v>
      </c>
      <c r="F129" s="363">
        <v>2500</v>
      </c>
      <c r="G129" s="363">
        <v>7020</v>
      </c>
    </row>
    <row r="130" s="348" customFormat="1" ht="14.25" customHeight="1" spans="1:7">
      <c r="A130" s="363" t="s">
        <v>273</v>
      </c>
      <c r="B130" s="363" t="s">
        <v>2799</v>
      </c>
      <c r="C130" s="363">
        <v>10910</v>
      </c>
      <c r="D130" s="363">
        <v>10860</v>
      </c>
      <c r="E130" s="363">
        <v>13730</v>
      </c>
      <c r="F130" s="363">
        <v>2760</v>
      </c>
      <c r="G130" s="363">
        <v>6990</v>
      </c>
    </row>
    <row r="131" s="348" customFormat="1" ht="14.25" customHeight="1" spans="1:7">
      <c r="A131" s="363" t="s">
        <v>273</v>
      </c>
      <c r="B131" s="363" t="s">
        <v>2811</v>
      </c>
      <c r="C131" s="363">
        <v>12910</v>
      </c>
      <c r="D131" s="363">
        <v>12870</v>
      </c>
      <c r="E131" s="363">
        <v>15720</v>
      </c>
      <c r="F131" s="363">
        <v>2750</v>
      </c>
      <c r="G131" s="363">
        <v>8280</v>
      </c>
    </row>
    <row r="132" s="348" customFormat="1" ht="14.25" customHeight="1" spans="1:7">
      <c r="A132" s="363" t="s">
        <v>273</v>
      </c>
      <c r="B132" s="363" t="s">
        <v>2822</v>
      </c>
      <c r="C132" s="363">
        <v>11910</v>
      </c>
      <c r="D132" s="363">
        <v>11860</v>
      </c>
      <c r="E132" s="363">
        <v>14730</v>
      </c>
      <c r="F132" s="363">
        <v>2360</v>
      </c>
      <c r="G132" s="363">
        <v>7630</v>
      </c>
    </row>
    <row r="133" s="348" customFormat="1" ht="14.25" customHeight="1" spans="1:7">
      <c r="A133" s="363" t="s">
        <v>273</v>
      </c>
      <c r="B133" s="363" t="s">
        <v>2833</v>
      </c>
      <c r="C133" s="363">
        <v>12270</v>
      </c>
      <c r="D133" s="363">
        <v>12210</v>
      </c>
      <c r="E133" s="363">
        <v>15010</v>
      </c>
      <c r="F133" s="363">
        <v>2580</v>
      </c>
      <c r="G133" s="363">
        <v>7860</v>
      </c>
    </row>
    <row r="134" s="348" customFormat="1" ht="14.25" customHeight="1" spans="1:7">
      <c r="A134" s="363" t="s">
        <v>273</v>
      </c>
      <c r="B134" s="363" t="s">
        <v>2844</v>
      </c>
      <c r="C134" s="363">
        <v>10800</v>
      </c>
      <c r="D134" s="363">
        <v>10780</v>
      </c>
      <c r="E134" s="363">
        <v>13640</v>
      </c>
      <c r="F134" s="363">
        <v>2110</v>
      </c>
      <c r="G134" s="363">
        <v>6930</v>
      </c>
    </row>
    <row r="135" s="348" customFormat="1" ht="14.25" customHeight="1" spans="1:7">
      <c r="A135" s="363" t="s">
        <v>273</v>
      </c>
      <c r="B135" s="363" t="s">
        <v>2854</v>
      </c>
      <c r="C135" s="363">
        <v>10430</v>
      </c>
      <c r="D135" s="363">
        <v>10390</v>
      </c>
      <c r="E135" s="363">
        <v>13140</v>
      </c>
      <c r="F135" s="363">
        <v>2240</v>
      </c>
      <c r="G135" s="363">
        <v>6680</v>
      </c>
    </row>
    <row r="136" s="348" customFormat="1" ht="14.25" customHeight="1" spans="1:7">
      <c r="A136" s="363" t="s">
        <v>273</v>
      </c>
      <c r="B136" s="363" t="s">
        <v>2864</v>
      </c>
      <c r="C136" s="363">
        <v>11930</v>
      </c>
      <c r="D136" s="363">
        <v>11880</v>
      </c>
      <c r="E136" s="363">
        <v>14770</v>
      </c>
      <c r="F136" s="363">
        <v>1970</v>
      </c>
      <c r="G136" s="363">
        <v>7640</v>
      </c>
    </row>
    <row r="137" s="348" customFormat="1" ht="14.25" customHeight="1" spans="1:7">
      <c r="A137" s="363" t="s">
        <v>273</v>
      </c>
      <c r="B137" s="363" t="s">
        <v>2874</v>
      </c>
      <c r="C137" s="363">
        <v>10470</v>
      </c>
      <c r="D137" s="363">
        <v>10430</v>
      </c>
      <c r="E137" s="363">
        <v>13190</v>
      </c>
      <c r="F137" s="363">
        <v>1990</v>
      </c>
      <c r="G137" s="363">
        <v>6710</v>
      </c>
    </row>
    <row r="138" s="348" customFormat="1" ht="14.25" customHeight="1" spans="1:7">
      <c r="A138" s="363" t="s">
        <v>273</v>
      </c>
      <c r="B138" s="363" t="s">
        <v>2884</v>
      </c>
      <c r="C138" s="363">
        <v>10410</v>
      </c>
      <c r="D138" s="363">
        <v>10380</v>
      </c>
      <c r="E138" s="363">
        <v>13130</v>
      </c>
      <c r="F138" s="363">
        <v>2030</v>
      </c>
      <c r="G138" s="363">
        <v>6680</v>
      </c>
    </row>
    <row r="139" s="348" customFormat="1" ht="14.25" customHeight="1" spans="1:7">
      <c r="A139" s="363" t="s">
        <v>273</v>
      </c>
      <c r="B139" s="363" t="s">
        <v>2894</v>
      </c>
      <c r="C139" s="363">
        <v>9460</v>
      </c>
      <c r="D139" s="363">
        <v>9410</v>
      </c>
      <c r="E139" s="363">
        <v>12050</v>
      </c>
      <c r="F139" s="363">
        <v>2140</v>
      </c>
      <c r="G139" s="363">
        <v>6050</v>
      </c>
    </row>
    <row r="140" s="348" customFormat="1" ht="14.25" customHeight="1" spans="1:7">
      <c r="A140" s="363" t="s">
        <v>273</v>
      </c>
      <c r="B140" s="363" t="s">
        <v>2904</v>
      </c>
      <c r="C140" s="363">
        <v>11030</v>
      </c>
      <c r="D140" s="363">
        <v>10980</v>
      </c>
      <c r="E140" s="363">
        <v>13880</v>
      </c>
      <c r="F140" s="363">
        <v>2210</v>
      </c>
      <c r="G140" s="363">
        <v>7060</v>
      </c>
    </row>
    <row r="141" s="348" customFormat="1" ht="14.25" customHeight="1" spans="1:7">
      <c r="A141" s="363" t="s">
        <v>273</v>
      </c>
      <c r="B141" s="363" t="s">
        <v>2914</v>
      </c>
      <c r="C141" s="363">
        <v>11200</v>
      </c>
      <c r="D141" s="363">
        <v>11150</v>
      </c>
      <c r="E141" s="363">
        <v>14100</v>
      </c>
      <c r="F141" s="363">
        <v>2470</v>
      </c>
      <c r="G141" s="363">
        <v>7170</v>
      </c>
    </row>
    <row r="142" s="348" customFormat="1" ht="14.25" customHeight="1" spans="1:7">
      <c r="A142" s="363" t="s">
        <v>273</v>
      </c>
      <c r="B142" s="363" t="s">
        <v>2924</v>
      </c>
      <c r="C142" s="363">
        <v>10780</v>
      </c>
      <c r="D142" s="363">
        <v>10730</v>
      </c>
      <c r="E142" s="363">
        <v>13540</v>
      </c>
      <c r="F142" s="363">
        <v>2280</v>
      </c>
      <c r="G142" s="363">
        <v>6900</v>
      </c>
    </row>
    <row r="143" s="348" customFormat="1" ht="14.25" customHeight="1" spans="1:7">
      <c r="A143" s="363" t="s">
        <v>273</v>
      </c>
      <c r="B143" s="363" t="s">
        <v>2934</v>
      </c>
      <c r="C143" s="363">
        <v>11550</v>
      </c>
      <c r="D143" s="363">
        <v>11490</v>
      </c>
      <c r="E143" s="363">
        <v>14480</v>
      </c>
      <c r="F143" s="363">
        <v>2070</v>
      </c>
      <c r="G143" s="363">
        <v>7390</v>
      </c>
    </row>
    <row r="144" s="348" customFormat="1" ht="14.25" customHeight="1" spans="1:7">
      <c r="A144" s="363" t="s">
        <v>273</v>
      </c>
      <c r="B144" s="363" t="s">
        <v>2944</v>
      </c>
      <c r="C144" s="363">
        <v>10720</v>
      </c>
      <c r="D144" s="363">
        <v>10680</v>
      </c>
      <c r="E144" s="363">
        <v>13480</v>
      </c>
      <c r="F144" s="363">
        <v>2440</v>
      </c>
      <c r="G144" s="363">
        <v>6870</v>
      </c>
    </row>
    <row r="145" s="348" customFormat="1" ht="14.25" customHeight="1" spans="1:7">
      <c r="A145" s="363" t="s">
        <v>273</v>
      </c>
      <c r="B145" s="363" t="s">
        <v>2954</v>
      </c>
      <c r="C145" s="363">
        <v>10340</v>
      </c>
      <c r="D145" s="363">
        <v>10290</v>
      </c>
      <c r="E145" s="363">
        <v>12880</v>
      </c>
      <c r="F145" s="363">
        <v>2650</v>
      </c>
      <c r="G145" s="363">
        <v>6620</v>
      </c>
    </row>
    <row r="146" s="348" customFormat="1" ht="14.25" customHeight="1" spans="1:7">
      <c r="A146" s="363" t="s">
        <v>273</v>
      </c>
      <c r="B146" s="363" t="s">
        <v>2963</v>
      </c>
      <c r="C146" s="363">
        <v>11890</v>
      </c>
      <c r="D146" s="363">
        <v>11830</v>
      </c>
      <c r="E146" s="363">
        <v>14670</v>
      </c>
      <c r="F146" s="363"/>
      <c r="G146" s="363">
        <v>7610</v>
      </c>
    </row>
    <row r="147" s="348" customFormat="1" ht="14.25" customHeight="1" spans="1:7">
      <c r="A147" s="363" t="s">
        <v>273</v>
      </c>
      <c r="B147" s="363" t="s">
        <v>2972</v>
      </c>
      <c r="C147" s="363">
        <v>12650</v>
      </c>
      <c r="D147" s="363">
        <v>12600</v>
      </c>
      <c r="E147" s="363">
        <v>15440</v>
      </c>
      <c r="F147" s="363"/>
      <c r="G147" s="363">
        <v>8110</v>
      </c>
    </row>
    <row r="148" s="348" customFormat="1" ht="14.25" customHeight="1" spans="1:7">
      <c r="A148" s="363" t="s">
        <v>273</v>
      </c>
      <c r="B148" s="363" t="s">
        <v>2980</v>
      </c>
      <c r="C148" s="363">
        <v>10370</v>
      </c>
      <c r="D148" s="363">
        <v>10310</v>
      </c>
      <c r="E148" s="363">
        <v>12970</v>
      </c>
      <c r="F148" s="363"/>
      <c r="G148" s="363">
        <v>6630</v>
      </c>
    </row>
    <row r="149" s="348" customFormat="1" ht="14.25" customHeight="1" spans="1:7">
      <c r="A149" s="363" t="s">
        <v>273</v>
      </c>
      <c r="B149" s="363" t="s">
        <v>2988</v>
      </c>
      <c r="C149" s="363">
        <v>11600</v>
      </c>
      <c r="D149" s="363">
        <v>11560</v>
      </c>
      <c r="E149" s="363">
        <v>14540</v>
      </c>
      <c r="F149" s="363">
        <v>2390</v>
      </c>
      <c r="G149" s="363">
        <v>7430</v>
      </c>
    </row>
    <row r="150" s="348" customFormat="1" ht="14.25" customHeight="1" spans="1:7">
      <c r="A150" s="363" t="s">
        <v>273</v>
      </c>
      <c r="B150" s="363" t="s">
        <v>2996</v>
      </c>
      <c r="C150" s="363">
        <v>9950</v>
      </c>
      <c r="D150" s="363">
        <v>9890</v>
      </c>
      <c r="E150" s="363">
        <v>12590</v>
      </c>
      <c r="F150" s="363">
        <v>1970</v>
      </c>
      <c r="G150" s="363">
        <v>6360</v>
      </c>
    </row>
    <row r="151" s="348" customFormat="1" ht="14.25" customHeight="1" spans="1:7">
      <c r="A151" s="363" t="s">
        <v>273</v>
      </c>
      <c r="B151" s="363" t="s">
        <v>3004</v>
      </c>
      <c r="C151" s="363">
        <v>10700</v>
      </c>
      <c r="D151" s="363">
        <v>10650</v>
      </c>
      <c r="E151" s="363">
        <v>13420</v>
      </c>
      <c r="F151" s="363">
        <v>2020</v>
      </c>
      <c r="G151" s="363">
        <v>6850</v>
      </c>
    </row>
    <row r="152" s="348" customFormat="1" ht="14.25" customHeight="1" spans="1:7">
      <c r="A152" s="363" t="s">
        <v>273</v>
      </c>
      <c r="B152" s="363" t="s">
        <v>3011</v>
      </c>
      <c r="C152" s="363">
        <v>10310</v>
      </c>
      <c r="D152" s="363">
        <v>10260</v>
      </c>
      <c r="E152" s="363">
        <v>12820</v>
      </c>
      <c r="F152" s="363">
        <v>1980</v>
      </c>
      <c r="G152" s="363">
        <v>6600</v>
      </c>
    </row>
    <row r="153" s="348" customFormat="1" ht="14.25" customHeight="1" spans="1:7">
      <c r="A153" s="363" t="s">
        <v>273</v>
      </c>
      <c r="B153" s="363" t="s">
        <v>3018</v>
      </c>
      <c r="C153" s="363">
        <v>10880</v>
      </c>
      <c r="D153" s="363">
        <v>10820</v>
      </c>
      <c r="E153" s="363">
        <v>13660</v>
      </c>
      <c r="F153" s="363">
        <v>2260</v>
      </c>
      <c r="G153" s="363">
        <v>6970</v>
      </c>
    </row>
    <row r="154" s="348" customFormat="1" ht="14.25" customHeight="1" spans="1:7">
      <c r="A154" s="363" t="s">
        <v>273</v>
      </c>
      <c r="B154" s="363" t="s">
        <v>3025</v>
      </c>
      <c r="C154" s="363">
        <v>11220</v>
      </c>
      <c r="D154" s="363">
        <v>11160</v>
      </c>
      <c r="E154" s="363">
        <v>14130</v>
      </c>
      <c r="F154" s="363">
        <v>2230</v>
      </c>
      <c r="G154" s="363">
        <v>7180</v>
      </c>
    </row>
    <row r="155" s="348" customFormat="1" ht="14.25" customHeight="1" spans="1:7">
      <c r="A155" s="363" t="s">
        <v>273</v>
      </c>
      <c r="B155" s="363" t="s">
        <v>3032</v>
      </c>
      <c r="C155" s="363">
        <v>10430</v>
      </c>
      <c r="D155" s="363">
        <v>10380</v>
      </c>
      <c r="E155" s="363">
        <v>13140</v>
      </c>
      <c r="F155" s="363">
        <v>2080</v>
      </c>
      <c r="G155" s="363">
        <v>6650</v>
      </c>
    </row>
    <row r="156" s="348" customFormat="1" ht="14.25" customHeight="1" spans="1:7">
      <c r="A156" s="363" t="s">
        <v>273</v>
      </c>
      <c r="B156" s="363" t="s">
        <v>3039</v>
      </c>
      <c r="C156" s="363">
        <v>10440</v>
      </c>
      <c r="D156" s="363">
        <v>10400</v>
      </c>
      <c r="E156" s="363">
        <v>13150</v>
      </c>
      <c r="F156" s="363">
        <v>2490</v>
      </c>
      <c r="G156" s="363">
        <v>6690</v>
      </c>
    </row>
    <row r="157" s="348" customFormat="1" ht="14.25" customHeight="1" spans="1:7">
      <c r="A157" s="363" t="s">
        <v>273</v>
      </c>
      <c r="B157" s="363" t="s">
        <v>3046</v>
      </c>
      <c r="C157" s="363">
        <v>10970</v>
      </c>
      <c r="D157" s="363">
        <v>10920</v>
      </c>
      <c r="E157" s="363">
        <v>13840</v>
      </c>
      <c r="F157" s="363">
        <v>2420</v>
      </c>
      <c r="G157" s="363">
        <v>7020</v>
      </c>
    </row>
    <row r="158" s="348" customFormat="1" ht="14.25" customHeight="1" spans="1:7">
      <c r="A158" s="363" t="s">
        <v>273</v>
      </c>
      <c r="B158" s="363" t="s">
        <v>3053</v>
      </c>
      <c r="C158" s="363">
        <v>9590</v>
      </c>
      <c r="D158" s="363">
        <v>9540</v>
      </c>
      <c r="E158" s="363">
        <v>12210</v>
      </c>
      <c r="F158" s="363">
        <v>2100</v>
      </c>
      <c r="G158" s="363">
        <v>6130</v>
      </c>
    </row>
    <row r="159" s="348" customFormat="1" ht="14.25" customHeight="1" spans="1:7">
      <c r="A159" s="363" t="s">
        <v>273</v>
      </c>
      <c r="B159" s="363" t="s">
        <v>3058</v>
      </c>
      <c r="C159" s="363">
        <v>11190</v>
      </c>
      <c r="D159" s="363">
        <v>11140</v>
      </c>
      <c r="E159" s="363">
        <v>14090</v>
      </c>
      <c r="F159" s="363">
        <v>2470</v>
      </c>
      <c r="G159" s="363">
        <v>7170</v>
      </c>
    </row>
    <row r="160" s="348" customFormat="1" ht="14.25" customHeight="1" spans="1:7">
      <c r="A160" s="363" t="s">
        <v>273</v>
      </c>
      <c r="B160" s="363" t="s">
        <v>3063</v>
      </c>
      <c r="C160" s="363">
        <v>11180</v>
      </c>
      <c r="D160" s="363">
        <v>11140</v>
      </c>
      <c r="E160" s="363">
        <v>14050</v>
      </c>
      <c r="F160" s="363">
        <v>2270</v>
      </c>
      <c r="G160" s="363">
        <v>7170</v>
      </c>
    </row>
    <row r="161" s="348" customFormat="1" ht="14.25" customHeight="1" spans="1:7">
      <c r="A161" s="363" t="s">
        <v>273</v>
      </c>
      <c r="B161" s="363" t="s">
        <v>3068</v>
      </c>
      <c r="C161" s="363">
        <v>11160</v>
      </c>
      <c r="D161" s="363">
        <v>11120</v>
      </c>
      <c r="E161" s="363">
        <v>14020</v>
      </c>
      <c r="F161" s="363">
        <v>2150</v>
      </c>
      <c r="G161" s="363">
        <v>7160</v>
      </c>
    </row>
    <row r="162" s="348" customFormat="1" ht="14.25" customHeight="1" spans="1:7">
      <c r="A162" s="363" t="s">
        <v>273</v>
      </c>
      <c r="B162" s="363" t="s">
        <v>3073</v>
      </c>
      <c r="C162" s="363">
        <v>9620</v>
      </c>
      <c r="D162" s="363">
        <v>9570</v>
      </c>
      <c r="E162" s="363">
        <v>12320</v>
      </c>
      <c r="F162" s="363">
        <v>2010</v>
      </c>
      <c r="G162" s="363">
        <v>6160</v>
      </c>
    </row>
    <row r="163" s="348" customFormat="1" ht="14.25" customHeight="1" spans="1:7">
      <c r="A163" s="363" t="s">
        <v>273</v>
      </c>
      <c r="B163" s="363" t="s">
        <v>3078</v>
      </c>
      <c r="C163" s="363">
        <v>9320</v>
      </c>
      <c r="D163" s="363">
        <v>9270</v>
      </c>
      <c r="E163" s="363">
        <v>11790</v>
      </c>
      <c r="F163" s="363">
        <v>1920</v>
      </c>
      <c r="G163" s="363">
        <v>5960</v>
      </c>
    </row>
    <row r="164" s="348" customFormat="1" ht="14.25" customHeight="1" spans="1:7">
      <c r="A164" s="363" t="s">
        <v>273</v>
      </c>
      <c r="B164" s="363" t="s">
        <v>3083</v>
      </c>
      <c r="C164" s="363"/>
      <c r="D164" s="363"/>
      <c r="E164" s="363"/>
      <c r="F164" s="363">
        <v>1980</v>
      </c>
      <c r="G164" s="363"/>
    </row>
    <row r="165" s="348" customFormat="1" ht="14.25" customHeight="1" spans="1:7">
      <c r="A165" s="363" t="s">
        <v>273</v>
      </c>
      <c r="B165" s="363" t="s">
        <v>3088</v>
      </c>
      <c r="C165" s="363">
        <v>11060</v>
      </c>
      <c r="D165" s="363">
        <v>11030</v>
      </c>
      <c r="E165" s="363">
        <v>13850</v>
      </c>
      <c r="F165" s="363">
        <v>2170</v>
      </c>
      <c r="G165" s="363">
        <v>7090</v>
      </c>
    </row>
    <row r="166" s="348" customFormat="1" ht="14.25" customHeight="1" spans="1:7">
      <c r="A166" s="363" t="s">
        <v>273</v>
      </c>
      <c r="B166" s="363" t="s">
        <v>3093</v>
      </c>
      <c r="C166" s="363">
        <v>11050</v>
      </c>
      <c r="D166" s="363">
        <v>11010</v>
      </c>
      <c r="E166" s="363">
        <v>13920</v>
      </c>
      <c r="F166" s="363">
        <v>2140</v>
      </c>
      <c r="G166" s="363">
        <v>7080</v>
      </c>
    </row>
    <row r="167" s="348" customFormat="1" ht="14.25" customHeight="1" spans="1:7">
      <c r="A167" s="363" t="s">
        <v>273</v>
      </c>
      <c r="B167" s="363" t="s">
        <v>3097</v>
      </c>
      <c r="C167" s="363">
        <v>10930</v>
      </c>
      <c r="D167" s="363">
        <v>10890</v>
      </c>
      <c r="E167" s="363">
        <v>13790</v>
      </c>
      <c r="F167" s="363">
        <v>2010</v>
      </c>
      <c r="G167" s="363">
        <v>7000</v>
      </c>
    </row>
    <row r="168" s="348" customFormat="1" ht="14.25" customHeight="1" spans="1:7">
      <c r="A168" s="363" t="s">
        <v>273</v>
      </c>
      <c r="B168" s="363" t="s">
        <v>3101</v>
      </c>
      <c r="C168" s="363">
        <v>9420</v>
      </c>
      <c r="D168" s="363">
        <v>9380</v>
      </c>
      <c r="E168" s="363">
        <v>11970</v>
      </c>
      <c r="F168" s="363"/>
      <c r="G168" s="363">
        <v>6040</v>
      </c>
    </row>
    <row r="169" s="348" customFormat="1" ht="14.25" customHeight="1" spans="1:7">
      <c r="A169" s="363" t="s">
        <v>273</v>
      </c>
      <c r="B169" s="363" t="s">
        <v>3105</v>
      </c>
      <c r="C169" s="363"/>
      <c r="D169" s="363"/>
      <c r="E169" s="363"/>
      <c r="F169" s="363">
        <v>2880</v>
      </c>
      <c r="G169" s="363"/>
    </row>
    <row r="170" s="348" customFormat="1" ht="14.25" customHeight="1" spans="1:7">
      <c r="A170" s="363" t="s">
        <v>273</v>
      </c>
      <c r="B170" s="363" t="s">
        <v>3109</v>
      </c>
      <c r="C170" s="363"/>
      <c r="D170" s="363"/>
      <c r="E170" s="363"/>
      <c r="F170" s="363">
        <v>2880</v>
      </c>
      <c r="G170" s="363"/>
    </row>
    <row r="171" s="348" customFormat="1" ht="14.25" customHeight="1" spans="1:7">
      <c r="A171" s="363" t="s">
        <v>273</v>
      </c>
      <c r="B171" s="363" t="s">
        <v>3112</v>
      </c>
      <c r="C171" s="363"/>
      <c r="D171" s="363"/>
      <c r="E171" s="363"/>
      <c r="F171" s="363">
        <v>2880</v>
      </c>
      <c r="G171" s="363"/>
    </row>
    <row r="172" s="348" customFormat="1" ht="14.25" customHeight="1" spans="1:7">
      <c r="A172" s="363" t="s">
        <v>273</v>
      </c>
      <c r="B172" s="363" t="s">
        <v>3114</v>
      </c>
      <c r="C172" s="363"/>
      <c r="D172" s="363"/>
      <c r="E172" s="363"/>
      <c r="F172" s="363">
        <v>2880</v>
      </c>
      <c r="G172" s="363"/>
    </row>
    <row r="173" s="348" customFormat="1" ht="14.25" customHeight="1" spans="1:7">
      <c r="A173" s="363" t="s">
        <v>273</v>
      </c>
      <c r="B173" s="363" t="s">
        <v>3116</v>
      </c>
      <c r="C173" s="363"/>
      <c r="D173" s="363"/>
      <c r="E173" s="363"/>
      <c r="F173" s="363">
        <v>2150</v>
      </c>
      <c r="G173" s="363"/>
    </row>
    <row r="174" s="348" customFormat="1" ht="14.25" customHeight="1" spans="1:7">
      <c r="A174" s="363" t="s">
        <v>273</v>
      </c>
      <c r="B174" s="363" t="s">
        <v>3118</v>
      </c>
      <c r="C174" s="363"/>
      <c r="D174" s="363"/>
      <c r="E174" s="363"/>
      <c r="F174" s="363">
        <v>2030</v>
      </c>
      <c r="G174" s="363"/>
    </row>
    <row r="175" s="348" customFormat="1" ht="14.25" customHeight="1" spans="1:7">
      <c r="A175" s="363" t="s">
        <v>273</v>
      </c>
      <c r="B175" s="363" t="s">
        <v>3120</v>
      </c>
      <c r="C175" s="363"/>
      <c r="D175" s="363"/>
      <c r="E175" s="363"/>
      <c r="F175" s="363">
        <v>2780</v>
      </c>
      <c r="G175" s="363"/>
    </row>
    <row r="176" s="348" customFormat="1" ht="14.25" customHeight="1" spans="1:7">
      <c r="A176" s="363" t="s">
        <v>273</v>
      </c>
      <c r="B176" s="363" t="s">
        <v>3122</v>
      </c>
      <c r="C176" s="363"/>
      <c r="D176" s="363"/>
      <c r="E176" s="363"/>
      <c r="F176" s="363">
        <v>2780</v>
      </c>
      <c r="G176" s="363"/>
    </row>
    <row r="177" s="348" customFormat="1" ht="14.25" customHeight="1" spans="1:7">
      <c r="A177" s="363" t="s">
        <v>273</v>
      </c>
      <c r="B177" s="363" t="s">
        <v>3124</v>
      </c>
      <c r="C177" s="363"/>
      <c r="D177" s="363"/>
      <c r="E177" s="363"/>
      <c r="F177" s="363">
        <v>2780</v>
      </c>
      <c r="G177" s="363"/>
    </row>
    <row r="178" s="348" customFormat="1" ht="14.25" customHeight="1" spans="1:7">
      <c r="A178" s="363" t="s">
        <v>273</v>
      </c>
      <c r="B178" s="363" t="s">
        <v>3125</v>
      </c>
      <c r="C178" s="363"/>
      <c r="D178" s="363"/>
      <c r="E178" s="363"/>
      <c r="F178" s="363">
        <v>2060</v>
      </c>
      <c r="G178" s="363"/>
    </row>
    <row r="179" s="348" customFormat="1" ht="14.25" customHeight="1" spans="1:7">
      <c r="A179" s="363" t="s">
        <v>273</v>
      </c>
      <c r="B179" s="363" t="s">
        <v>3126</v>
      </c>
      <c r="C179" s="363"/>
      <c r="D179" s="363"/>
      <c r="E179" s="363"/>
      <c r="F179" s="363">
        <v>2120</v>
      </c>
      <c r="G179" s="363"/>
    </row>
    <row r="180" s="348" customFormat="1" ht="14.25" customHeight="1" spans="1:7">
      <c r="A180" s="363" t="s">
        <v>273</v>
      </c>
      <c r="B180" s="363" t="s">
        <v>3127</v>
      </c>
      <c r="C180" s="363"/>
      <c r="D180" s="363"/>
      <c r="E180" s="363"/>
      <c r="F180" s="363">
        <v>2340</v>
      </c>
      <c r="G180" s="363"/>
    </row>
    <row r="181" s="348" customFormat="1" ht="14.25" customHeight="1" spans="1:7">
      <c r="A181" s="363" t="s">
        <v>273</v>
      </c>
      <c r="B181" s="363" t="s">
        <v>3128</v>
      </c>
      <c r="C181" s="363"/>
      <c r="D181" s="363"/>
      <c r="E181" s="363"/>
      <c r="F181" s="363">
        <v>2340</v>
      </c>
      <c r="G181" s="363"/>
    </row>
    <row r="182" s="348" customFormat="1" ht="14.25" customHeight="1" spans="1:7">
      <c r="A182" s="363" t="s">
        <v>273</v>
      </c>
      <c r="B182" s="363" t="s">
        <v>3129</v>
      </c>
      <c r="C182" s="363"/>
      <c r="D182" s="363"/>
      <c r="E182" s="363"/>
      <c r="F182" s="363">
        <v>2340</v>
      </c>
      <c r="G182" s="363"/>
    </row>
    <row r="183" s="348" customFormat="1" ht="14.25" customHeight="1" spans="1:7">
      <c r="A183" s="363" t="s">
        <v>273</v>
      </c>
      <c r="B183" s="363" t="s">
        <v>3130</v>
      </c>
      <c r="C183" s="363"/>
      <c r="D183" s="363"/>
      <c r="E183" s="363"/>
      <c r="F183" s="363">
        <v>2340</v>
      </c>
      <c r="G183" s="363"/>
    </row>
    <row r="184" s="348" customFormat="1" ht="14.25" customHeight="1" spans="1:7">
      <c r="A184" s="363" t="s">
        <v>273</v>
      </c>
      <c r="B184" s="363" t="s">
        <v>3131</v>
      </c>
      <c r="C184" s="363"/>
      <c r="D184" s="363"/>
      <c r="E184" s="363"/>
      <c r="F184" s="363">
        <v>2340</v>
      </c>
      <c r="G184" s="363"/>
    </row>
    <row r="185" s="348" customFormat="1" ht="14.25" customHeight="1" spans="1:7">
      <c r="A185" s="363" t="s">
        <v>273</v>
      </c>
      <c r="B185" s="363" t="s">
        <v>3132</v>
      </c>
      <c r="C185" s="363"/>
      <c r="D185" s="363"/>
      <c r="E185" s="363"/>
      <c r="F185" s="363">
        <v>2530</v>
      </c>
      <c r="G185" s="363"/>
    </row>
    <row r="186" s="348" customFormat="1" ht="14.25" customHeight="1" spans="1:7">
      <c r="A186" s="363" t="s">
        <v>273</v>
      </c>
      <c r="B186" s="363" t="s">
        <v>3133</v>
      </c>
      <c r="C186" s="363"/>
      <c r="D186" s="363"/>
      <c r="E186" s="363"/>
      <c r="F186" s="363">
        <v>2550</v>
      </c>
      <c r="G186" s="363"/>
    </row>
    <row r="187" s="348" customFormat="1" ht="14.25" customHeight="1" spans="1:7">
      <c r="A187" s="363" t="s">
        <v>273</v>
      </c>
      <c r="B187" s="363" t="s">
        <v>3134</v>
      </c>
      <c r="C187" s="363"/>
      <c r="D187" s="363"/>
      <c r="E187" s="363"/>
      <c r="F187" s="363">
        <v>2070</v>
      </c>
      <c r="G187" s="363"/>
    </row>
    <row r="188" s="348" customFormat="1" ht="14.25" customHeight="1" spans="1:7">
      <c r="A188" s="363" t="s">
        <v>273</v>
      </c>
      <c r="B188" s="363" t="s">
        <v>3135</v>
      </c>
      <c r="C188" s="363"/>
      <c r="D188" s="363"/>
      <c r="E188" s="363"/>
      <c r="F188" s="363">
        <v>2340</v>
      </c>
      <c r="G188" s="363"/>
    </row>
    <row r="189" s="348" customFormat="1" ht="14.25" customHeight="1" spans="1:7">
      <c r="A189" s="365" t="s">
        <v>273</v>
      </c>
      <c r="B189" s="369" t="s">
        <v>3136</v>
      </c>
      <c r="C189" s="369"/>
      <c r="D189" s="369"/>
      <c r="E189" s="369"/>
      <c r="F189" s="369">
        <v>2050</v>
      </c>
      <c r="G189" s="369"/>
    </row>
    <row r="190" s="348" customFormat="1" ht="14.25" customHeight="1" spans="1:7">
      <c r="A190" s="361" t="s">
        <v>278</v>
      </c>
      <c r="B190" s="362" t="s">
        <v>2761</v>
      </c>
      <c r="C190" s="362">
        <v>8830</v>
      </c>
      <c r="D190" s="362">
        <v>8790</v>
      </c>
      <c r="E190" s="362">
        <v>11630</v>
      </c>
      <c r="F190" s="362">
        <v>1790</v>
      </c>
      <c r="G190" s="370">
        <v>5550</v>
      </c>
    </row>
    <row r="191" s="348" customFormat="1" ht="14.25" customHeight="1" spans="1:7">
      <c r="A191" s="363" t="s">
        <v>278</v>
      </c>
      <c r="B191" s="363" t="s">
        <v>2774</v>
      </c>
      <c r="C191" s="363">
        <v>9780</v>
      </c>
      <c r="D191" s="363">
        <v>9710</v>
      </c>
      <c r="E191" s="363">
        <v>12550</v>
      </c>
      <c r="F191" s="363">
        <v>1980</v>
      </c>
      <c r="G191" s="371">
        <v>6130</v>
      </c>
    </row>
    <row r="192" s="348" customFormat="1" ht="14.25" customHeight="1" spans="1:7">
      <c r="A192" s="363" t="s">
        <v>278</v>
      </c>
      <c r="B192" s="363" t="s">
        <v>2788</v>
      </c>
      <c r="C192" s="363">
        <v>8180</v>
      </c>
      <c r="D192" s="363">
        <v>8140</v>
      </c>
      <c r="E192" s="363">
        <v>10870</v>
      </c>
      <c r="F192" s="363">
        <v>1690</v>
      </c>
      <c r="G192" s="371">
        <v>5140</v>
      </c>
    </row>
    <row r="193" s="348" customFormat="1" ht="14.25" customHeight="1" spans="1:7">
      <c r="A193" s="363" t="s">
        <v>278</v>
      </c>
      <c r="B193" s="363" t="s">
        <v>2800</v>
      </c>
      <c r="C193" s="363">
        <v>8440</v>
      </c>
      <c r="D193" s="363">
        <v>8390</v>
      </c>
      <c r="E193" s="363">
        <v>11210</v>
      </c>
      <c r="F193" s="363">
        <v>1600</v>
      </c>
      <c r="G193" s="371">
        <v>5300</v>
      </c>
    </row>
    <row r="194" s="348" customFormat="1" ht="14.25" customHeight="1" spans="1:7">
      <c r="A194" s="363" t="s">
        <v>278</v>
      </c>
      <c r="B194" s="363" t="s">
        <v>2812</v>
      </c>
      <c r="C194" s="363">
        <v>8780</v>
      </c>
      <c r="D194" s="363">
        <v>8730</v>
      </c>
      <c r="E194" s="363">
        <v>11550</v>
      </c>
      <c r="F194" s="363">
        <v>1660</v>
      </c>
      <c r="G194" s="371">
        <v>5520</v>
      </c>
    </row>
    <row r="195" s="348" customFormat="1" ht="14.25" customHeight="1" spans="1:7">
      <c r="A195" s="363" t="s">
        <v>278</v>
      </c>
      <c r="B195" s="363" t="s">
        <v>2823</v>
      </c>
      <c r="C195" s="363">
        <v>8720</v>
      </c>
      <c r="D195" s="363">
        <v>8670</v>
      </c>
      <c r="E195" s="363">
        <v>11450</v>
      </c>
      <c r="F195" s="363">
        <v>1720</v>
      </c>
      <c r="G195" s="371">
        <v>5480</v>
      </c>
    </row>
    <row r="196" s="348" customFormat="1" ht="14.25" customHeight="1" spans="1:7">
      <c r="A196" s="363" t="s">
        <v>278</v>
      </c>
      <c r="B196" s="363" t="s">
        <v>2834</v>
      </c>
      <c r="C196" s="363">
        <v>8460</v>
      </c>
      <c r="D196" s="363">
        <v>8410</v>
      </c>
      <c r="E196" s="363">
        <v>11230</v>
      </c>
      <c r="F196" s="363">
        <v>1730</v>
      </c>
      <c r="G196" s="371">
        <v>5310</v>
      </c>
    </row>
    <row r="197" s="348" customFormat="1" ht="14.25" customHeight="1" spans="1:7">
      <c r="A197" s="363" t="s">
        <v>278</v>
      </c>
      <c r="B197" s="363" t="s">
        <v>2845</v>
      </c>
      <c r="C197" s="363">
        <v>8790</v>
      </c>
      <c r="D197" s="363">
        <v>8730</v>
      </c>
      <c r="E197" s="363">
        <v>11560</v>
      </c>
      <c r="F197" s="363">
        <v>1750</v>
      </c>
      <c r="G197" s="371">
        <v>5520</v>
      </c>
    </row>
    <row r="198" s="348" customFormat="1" ht="14.25" customHeight="1" spans="1:7">
      <c r="A198" s="363" t="s">
        <v>278</v>
      </c>
      <c r="B198" s="363" t="s">
        <v>2855</v>
      </c>
      <c r="C198" s="363">
        <v>8720</v>
      </c>
      <c r="D198" s="363">
        <v>8680</v>
      </c>
      <c r="E198" s="363">
        <v>11470</v>
      </c>
      <c r="F198" s="363"/>
      <c r="G198" s="371">
        <v>5480</v>
      </c>
    </row>
    <row r="199" s="348" customFormat="1" ht="14.25" customHeight="1" spans="1:7">
      <c r="A199" s="363" t="s">
        <v>278</v>
      </c>
      <c r="B199" s="363" t="s">
        <v>2865</v>
      </c>
      <c r="C199" s="363">
        <v>8690</v>
      </c>
      <c r="D199" s="363">
        <v>8630</v>
      </c>
      <c r="E199" s="363">
        <v>11350</v>
      </c>
      <c r="F199" s="363">
        <v>1600</v>
      </c>
      <c r="G199" s="371">
        <v>5450</v>
      </c>
    </row>
    <row r="200" s="348" customFormat="1" ht="14.25" customHeight="1" spans="1:7">
      <c r="A200" s="363" t="s">
        <v>278</v>
      </c>
      <c r="B200" s="363" t="s">
        <v>2875</v>
      </c>
      <c r="C200" s="363"/>
      <c r="D200" s="363"/>
      <c r="E200" s="363"/>
      <c r="F200" s="363">
        <v>1510</v>
      </c>
      <c r="G200" s="371"/>
    </row>
    <row r="201" s="348" customFormat="1" ht="14.25" customHeight="1" spans="1:7">
      <c r="A201" s="363" t="s">
        <v>278</v>
      </c>
      <c r="B201" s="363" t="s">
        <v>2885</v>
      </c>
      <c r="C201" s="363">
        <v>8440</v>
      </c>
      <c r="D201" s="363">
        <v>8390</v>
      </c>
      <c r="E201" s="363">
        <v>10930</v>
      </c>
      <c r="F201" s="363">
        <v>1500</v>
      </c>
      <c r="G201" s="371">
        <v>5300</v>
      </c>
    </row>
    <row r="202" s="348" customFormat="1" ht="14.25" customHeight="1" spans="1:7">
      <c r="A202" s="363" t="s">
        <v>278</v>
      </c>
      <c r="B202" s="363" t="s">
        <v>2895</v>
      </c>
      <c r="C202" s="363">
        <v>8530</v>
      </c>
      <c r="D202" s="363">
        <v>8490</v>
      </c>
      <c r="E202" s="363">
        <v>11160</v>
      </c>
      <c r="F202" s="363">
        <v>1580</v>
      </c>
      <c r="G202" s="371">
        <v>5360</v>
      </c>
    </row>
    <row r="203" s="348" customFormat="1" ht="14.25" customHeight="1" spans="1:7">
      <c r="A203" s="363" t="s">
        <v>278</v>
      </c>
      <c r="B203" s="363" t="s">
        <v>2905</v>
      </c>
      <c r="C203" s="363">
        <v>8130</v>
      </c>
      <c r="D203" s="363">
        <v>8070</v>
      </c>
      <c r="E203" s="363">
        <v>10820</v>
      </c>
      <c r="F203" s="363">
        <v>1690</v>
      </c>
      <c r="G203" s="371">
        <v>5100</v>
      </c>
    </row>
    <row r="204" s="348" customFormat="1" ht="14.25" customHeight="1" spans="1:7">
      <c r="A204" s="363" t="s">
        <v>278</v>
      </c>
      <c r="B204" s="363" t="s">
        <v>2915</v>
      </c>
      <c r="C204" s="363">
        <v>8350</v>
      </c>
      <c r="D204" s="363">
        <v>8290</v>
      </c>
      <c r="E204" s="363">
        <v>11080</v>
      </c>
      <c r="F204" s="363">
        <v>1450</v>
      </c>
      <c r="G204" s="371">
        <v>5240</v>
      </c>
    </row>
    <row r="205" s="348" customFormat="1" ht="14.25" customHeight="1" spans="1:7">
      <c r="A205" s="363" t="s">
        <v>278</v>
      </c>
      <c r="B205" s="363" t="s">
        <v>2925</v>
      </c>
      <c r="C205" s="363">
        <v>7190</v>
      </c>
      <c r="D205" s="363">
        <v>7130</v>
      </c>
      <c r="E205" s="363">
        <v>9490</v>
      </c>
      <c r="F205" s="363">
        <v>1470</v>
      </c>
      <c r="G205" s="371">
        <v>4510</v>
      </c>
    </row>
    <row r="206" s="348" customFormat="1" ht="14.25" customHeight="1" spans="1:7">
      <c r="A206" s="363" t="s">
        <v>278</v>
      </c>
      <c r="B206" s="363" t="s">
        <v>2935</v>
      </c>
      <c r="C206" s="363">
        <v>7000</v>
      </c>
      <c r="D206" s="363">
        <v>6950</v>
      </c>
      <c r="E206" s="363">
        <v>9170</v>
      </c>
      <c r="F206" s="363">
        <v>1400</v>
      </c>
      <c r="G206" s="371">
        <v>4380</v>
      </c>
    </row>
    <row r="207" s="348" customFormat="1" ht="14.25" customHeight="1" spans="1:7">
      <c r="A207" s="363" t="s">
        <v>278</v>
      </c>
      <c r="B207" s="363" t="s">
        <v>2945</v>
      </c>
      <c r="C207" s="363">
        <v>6950</v>
      </c>
      <c r="D207" s="363">
        <v>6900</v>
      </c>
      <c r="E207" s="363">
        <v>9110</v>
      </c>
      <c r="F207" s="363">
        <v>1790</v>
      </c>
      <c r="G207" s="371">
        <v>4360</v>
      </c>
    </row>
    <row r="208" s="348" customFormat="1" ht="14.25" customHeight="1" spans="1:7">
      <c r="A208" s="363" t="s">
        <v>278</v>
      </c>
      <c r="B208" s="363" t="s">
        <v>2955</v>
      </c>
      <c r="C208" s="363">
        <v>9470</v>
      </c>
      <c r="D208" s="363">
        <v>9410</v>
      </c>
      <c r="E208" s="363">
        <v>12330</v>
      </c>
      <c r="F208" s="363">
        <v>1770</v>
      </c>
      <c r="G208" s="371">
        <v>5940</v>
      </c>
    </row>
    <row r="209" s="348" customFormat="1" ht="14.25" customHeight="1" spans="1:7">
      <c r="A209" s="363" t="s">
        <v>278</v>
      </c>
      <c r="B209" s="363" t="s">
        <v>2964</v>
      </c>
      <c r="C209" s="363">
        <v>8740</v>
      </c>
      <c r="D209" s="363">
        <v>8700</v>
      </c>
      <c r="E209" s="363">
        <v>11500</v>
      </c>
      <c r="F209" s="363">
        <v>1730</v>
      </c>
      <c r="G209" s="371">
        <v>5490</v>
      </c>
    </row>
    <row r="210" s="348" customFormat="1" ht="14.25" customHeight="1" spans="1:7">
      <c r="A210" s="363" t="s">
        <v>278</v>
      </c>
      <c r="B210" s="363" t="s">
        <v>2973</v>
      </c>
      <c r="C210" s="363">
        <v>8710</v>
      </c>
      <c r="D210" s="363">
        <v>8660</v>
      </c>
      <c r="E210" s="363">
        <v>11440</v>
      </c>
      <c r="F210" s="363">
        <v>1740</v>
      </c>
      <c r="G210" s="371">
        <v>5470</v>
      </c>
    </row>
    <row r="211" s="348" customFormat="1" ht="14.25" customHeight="1" spans="1:7">
      <c r="A211" s="363" t="s">
        <v>278</v>
      </c>
      <c r="B211" s="363" t="s">
        <v>2981</v>
      </c>
      <c r="C211" s="363">
        <v>9480</v>
      </c>
      <c r="D211" s="363">
        <v>9430</v>
      </c>
      <c r="E211" s="363">
        <v>12360</v>
      </c>
      <c r="F211" s="363">
        <v>1820</v>
      </c>
      <c r="G211" s="371">
        <v>5950</v>
      </c>
    </row>
    <row r="212" s="348" customFormat="1" ht="14.25" customHeight="1" spans="1:7">
      <c r="A212" s="363" t="s">
        <v>278</v>
      </c>
      <c r="B212" s="363" t="s">
        <v>2989</v>
      </c>
      <c r="C212" s="363">
        <v>9070</v>
      </c>
      <c r="D212" s="363">
        <v>9020</v>
      </c>
      <c r="E212" s="363">
        <v>11720</v>
      </c>
      <c r="F212" s="363">
        <v>1850</v>
      </c>
      <c r="G212" s="371">
        <v>5700</v>
      </c>
    </row>
    <row r="213" s="348" customFormat="1" ht="14.25" customHeight="1" spans="1:7">
      <c r="A213" s="363" t="s">
        <v>278</v>
      </c>
      <c r="B213" s="363" t="s">
        <v>2997</v>
      </c>
      <c r="C213" s="363">
        <v>9030</v>
      </c>
      <c r="D213" s="363">
        <v>8980</v>
      </c>
      <c r="E213" s="363">
        <v>11670</v>
      </c>
      <c r="F213" s="363">
        <v>1690</v>
      </c>
      <c r="G213" s="371">
        <v>5670</v>
      </c>
    </row>
    <row r="214" s="348" customFormat="1" ht="14.25" customHeight="1" spans="1:7">
      <c r="A214" s="363" t="s">
        <v>278</v>
      </c>
      <c r="B214" s="363" t="s">
        <v>3005</v>
      </c>
      <c r="C214" s="363">
        <v>8090</v>
      </c>
      <c r="D214" s="363">
        <v>8030</v>
      </c>
      <c r="E214" s="363">
        <v>10780</v>
      </c>
      <c r="F214" s="363">
        <v>1570</v>
      </c>
      <c r="G214" s="371">
        <v>5070</v>
      </c>
    </row>
    <row r="215" s="348" customFormat="1" ht="14.25" customHeight="1" spans="1:7">
      <c r="A215" s="363" t="s">
        <v>278</v>
      </c>
      <c r="B215" s="363" t="s">
        <v>3012</v>
      </c>
      <c r="C215" s="363">
        <v>7950</v>
      </c>
      <c r="D215" s="363">
        <v>7900</v>
      </c>
      <c r="E215" s="363">
        <v>10560</v>
      </c>
      <c r="F215" s="363">
        <v>1630</v>
      </c>
      <c r="G215" s="371">
        <v>4990</v>
      </c>
    </row>
    <row r="216" s="348" customFormat="1" ht="14.25" customHeight="1" spans="1:7">
      <c r="A216" s="363" t="s">
        <v>278</v>
      </c>
      <c r="B216" s="363" t="s">
        <v>3019</v>
      </c>
      <c r="C216" s="363">
        <v>8490</v>
      </c>
      <c r="D216" s="363">
        <v>8440</v>
      </c>
      <c r="E216" s="363">
        <v>11260</v>
      </c>
      <c r="F216" s="363">
        <v>1690</v>
      </c>
      <c r="G216" s="371">
        <v>5330</v>
      </c>
    </row>
    <row r="217" s="348" customFormat="1" ht="14.25" customHeight="1" spans="1:7">
      <c r="A217" s="363" t="s">
        <v>278</v>
      </c>
      <c r="B217" s="363" t="s">
        <v>3026</v>
      </c>
      <c r="C217" s="363">
        <v>8200</v>
      </c>
      <c r="D217" s="363">
        <v>8150</v>
      </c>
      <c r="E217" s="363">
        <v>10910</v>
      </c>
      <c r="F217" s="363">
        <v>1670</v>
      </c>
      <c r="G217" s="371">
        <v>5150</v>
      </c>
    </row>
    <row r="218" s="348" customFormat="1" ht="14.25" customHeight="1" spans="1:7">
      <c r="A218" s="363" t="s">
        <v>278</v>
      </c>
      <c r="B218" s="363" t="s">
        <v>3033</v>
      </c>
      <c r="C218" s="363"/>
      <c r="D218" s="363"/>
      <c r="E218" s="363"/>
      <c r="F218" s="363">
        <v>2040</v>
      </c>
      <c r="G218" s="371"/>
    </row>
    <row r="219" s="348" customFormat="1" ht="14.25" customHeight="1" spans="1:7">
      <c r="A219" s="363" t="s">
        <v>278</v>
      </c>
      <c r="B219" s="363" t="s">
        <v>3040</v>
      </c>
      <c r="C219" s="363"/>
      <c r="D219" s="363"/>
      <c r="E219" s="363"/>
      <c r="F219" s="363">
        <v>2040</v>
      </c>
      <c r="G219" s="371"/>
    </row>
    <row r="220" s="348" customFormat="1" ht="14.25" customHeight="1" spans="1:7">
      <c r="A220" s="363" t="s">
        <v>278</v>
      </c>
      <c r="B220" s="363" t="s">
        <v>3047</v>
      </c>
      <c r="C220" s="363"/>
      <c r="D220" s="363"/>
      <c r="E220" s="363"/>
      <c r="F220" s="363">
        <v>2040</v>
      </c>
      <c r="G220" s="371"/>
    </row>
    <row r="221" s="348" customFormat="1" ht="14.25" customHeight="1" spans="1:7">
      <c r="A221" s="363" t="s">
        <v>278</v>
      </c>
      <c r="B221" s="363" t="s">
        <v>3054</v>
      </c>
      <c r="C221" s="363"/>
      <c r="D221" s="363"/>
      <c r="E221" s="363"/>
      <c r="F221" s="363">
        <v>2040</v>
      </c>
      <c r="G221" s="371"/>
    </row>
    <row r="222" s="348" customFormat="1" ht="14.25" customHeight="1" spans="1:7">
      <c r="A222" s="363" t="s">
        <v>278</v>
      </c>
      <c r="B222" s="363" t="s">
        <v>3059</v>
      </c>
      <c r="C222" s="363"/>
      <c r="D222" s="363"/>
      <c r="E222" s="363"/>
      <c r="F222" s="363">
        <v>2040</v>
      </c>
      <c r="G222" s="371"/>
    </row>
    <row r="223" s="348" customFormat="1" ht="14.25" customHeight="1" spans="1:7">
      <c r="A223" s="363" t="s">
        <v>278</v>
      </c>
      <c r="B223" s="363" t="s">
        <v>3064</v>
      </c>
      <c r="C223" s="363"/>
      <c r="D223" s="363"/>
      <c r="E223" s="363"/>
      <c r="F223" s="363">
        <v>1930</v>
      </c>
      <c r="G223" s="371"/>
    </row>
    <row r="224" s="348" customFormat="1" ht="14.25" customHeight="1" spans="1:7">
      <c r="A224" s="363" t="s">
        <v>278</v>
      </c>
      <c r="B224" s="363" t="s">
        <v>3069</v>
      </c>
      <c r="C224" s="363"/>
      <c r="D224" s="363"/>
      <c r="E224" s="363"/>
      <c r="F224" s="363">
        <v>1930</v>
      </c>
      <c r="G224" s="371"/>
    </row>
    <row r="225" s="348" customFormat="1" ht="14.25" customHeight="1" spans="1:7">
      <c r="A225" s="363" t="s">
        <v>278</v>
      </c>
      <c r="B225" s="363" t="s">
        <v>3074</v>
      </c>
      <c r="C225" s="363"/>
      <c r="D225" s="363"/>
      <c r="E225" s="363"/>
      <c r="F225" s="363">
        <v>1930</v>
      </c>
      <c r="G225" s="371"/>
    </row>
    <row r="226" s="348" customFormat="1" ht="14.25" customHeight="1" spans="1:7">
      <c r="A226" s="363" t="s">
        <v>278</v>
      </c>
      <c r="B226" s="363" t="s">
        <v>3079</v>
      </c>
      <c r="C226" s="363"/>
      <c r="D226" s="363"/>
      <c r="E226" s="363"/>
      <c r="F226" s="363">
        <v>1700</v>
      </c>
      <c r="G226" s="371"/>
    </row>
    <row r="227" s="348" customFormat="1" ht="14.25" customHeight="1" spans="1:7">
      <c r="A227" s="363" t="s">
        <v>278</v>
      </c>
      <c r="B227" s="363" t="s">
        <v>3084</v>
      </c>
      <c r="C227" s="363"/>
      <c r="D227" s="363"/>
      <c r="E227" s="363"/>
      <c r="F227" s="363">
        <v>1520</v>
      </c>
      <c r="G227" s="371"/>
    </row>
    <row r="228" s="348" customFormat="1" ht="14.25" customHeight="1" spans="1:7">
      <c r="A228" s="363" t="s">
        <v>278</v>
      </c>
      <c r="B228" s="363" t="s">
        <v>3089</v>
      </c>
      <c r="C228" s="363"/>
      <c r="D228" s="363"/>
      <c r="E228" s="363"/>
      <c r="F228" s="363">
        <v>1520</v>
      </c>
      <c r="G228" s="371"/>
    </row>
    <row r="229" s="348" customFormat="1" ht="14.25" customHeight="1" spans="1:7">
      <c r="A229" s="363" t="s">
        <v>278</v>
      </c>
      <c r="B229" s="363" t="s">
        <v>3094</v>
      </c>
      <c r="C229" s="363"/>
      <c r="D229" s="363"/>
      <c r="E229" s="363"/>
      <c r="F229" s="363">
        <v>1520</v>
      </c>
      <c r="G229" s="371"/>
    </row>
    <row r="230" s="348" customFormat="1" ht="14.25" customHeight="1" spans="1:7">
      <c r="A230" s="363" t="s">
        <v>278</v>
      </c>
      <c r="B230" s="363" t="s">
        <v>3098</v>
      </c>
      <c r="C230" s="363"/>
      <c r="D230" s="363"/>
      <c r="E230" s="363"/>
      <c r="F230" s="363">
        <v>1820</v>
      </c>
      <c r="G230" s="371"/>
    </row>
    <row r="231" s="348" customFormat="1" ht="14.25" customHeight="1" spans="1:7">
      <c r="A231" s="363" t="s">
        <v>278</v>
      </c>
      <c r="B231" s="363" t="s">
        <v>3102</v>
      </c>
      <c r="C231" s="363"/>
      <c r="D231" s="363"/>
      <c r="E231" s="363"/>
      <c r="F231" s="363">
        <v>1760</v>
      </c>
      <c r="G231" s="371"/>
    </row>
    <row r="232" s="348" customFormat="1" ht="14.25" customHeight="1" spans="1:7">
      <c r="A232" s="363" t="s">
        <v>278</v>
      </c>
      <c r="B232" s="363" t="s">
        <v>3106</v>
      </c>
      <c r="C232" s="363"/>
      <c r="D232" s="363"/>
      <c r="E232" s="363"/>
      <c r="F232" s="363">
        <v>1840</v>
      </c>
      <c r="G232" s="371"/>
    </row>
    <row r="233" s="348" customFormat="1" ht="14.25" customHeight="1" spans="1:7">
      <c r="A233" s="372" t="s">
        <v>278</v>
      </c>
      <c r="B233" s="367" t="s">
        <v>3110</v>
      </c>
      <c r="C233" s="367"/>
      <c r="D233" s="367"/>
      <c r="E233" s="367"/>
      <c r="F233" s="367">
        <v>1770</v>
      </c>
      <c r="G233" s="373"/>
    </row>
    <row r="234" s="348" customFormat="1" ht="14.25" customHeight="1" spans="1:7">
      <c r="A234" s="361" t="s">
        <v>284</v>
      </c>
      <c r="B234" s="362" t="s">
        <v>2762</v>
      </c>
      <c r="C234" s="363">
        <v>6980</v>
      </c>
      <c r="D234" s="363">
        <v>6970</v>
      </c>
      <c r="E234" s="363">
        <v>8720</v>
      </c>
      <c r="F234" s="363">
        <v>1350</v>
      </c>
      <c r="G234" s="363">
        <v>4280</v>
      </c>
    </row>
    <row r="235" s="348" customFormat="1" ht="14.25" customHeight="1" spans="1:7">
      <c r="A235" s="363" t="s">
        <v>284</v>
      </c>
      <c r="B235" s="363" t="s">
        <v>2775</v>
      </c>
      <c r="C235" s="363">
        <v>7620</v>
      </c>
      <c r="D235" s="363">
        <v>7580</v>
      </c>
      <c r="E235" s="363">
        <v>9360</v>
      </c>
      <c r="F235" s="363">
        <v>1490</v>
      </c>
      <c r="G235" s="363">
        <v>4650</v>
      </c>
    </row>
    <row r="236" s="348" customFormat="1" ht="14.25" customHeight="1" spans="1:7">
      <c r="A236" s="363" t="s">
        <v>284</v>
      </c>
      <c r="B236" s="363" t="s">
        <v>2789</v>
      </c>
      <c r="C236" s="363">
        <v>6650</v>
      </c>
      <c r="D236" s="363">
        <v>6630</v>
      </c>
      <c r="E236" s="363">
        <v>8330</v>
      </c>
      <c r="F236" s="363">
        <v>1250</v>
      </c>
      <c r="G236" s="363">
        <v>4070</v>
      </c>
    </row>
    <row r="237" s="348" customFormat="1" ht="14.25" customHeight="1" spans="1:7">
      <c r="A237" s="363" t="s">
        <v>284</v>
      </c>
      <c r="B237" s="363" t="s">
        <v>2801</v>
      </c>
      <c r="C237" s="363">
        <v>5850</v>
      </c>
      <c r="D237" s="363">
        <v>5820</v>
      </c>
      <c r="E237" s="363">
        <v>7260</v>
      </c>
      <c r="F237" s="363">
        <v>1140</v>
      </c>
      <c r="G237" s="363">
        <v>3570</v>
      </c>
    </row>
    <row r="238" s="348" customFormat="1" ht="14.25" customHeight="1" spans="1:7">
      <c r="A238" s="363" t="s">
        <v>284</v>
      </c>
      <c r="B238" s="363" t="s">
        <v>2813</v>
      </c>
      <c r="C238" s="363">
        <v>6920</v>
      </c>
      <c r="D238" s="363">
        <v>6890</v>
      </c>
      <c r="E238" s="363">
        <v>8640</v>
      </c>
      <c r="F238" s="363">
        <v>1310</v>
      </c>
      <c r="G238" s="363">
        <v>4230</v>
      </c>
    </row>
    <row r="239" s="348" customFormat="1" ht="14.25" customHeight="1" spans="1:7">
      <c r="A239" s="363" t="s">
        <v>284</v>
      </c>
      <c r="B239" s="363" t="s">
        <v>2824</v>
      </c>
      <c r="C239" s="363">
        <v>6780</v>
      </c>
      <c r="D239" s="363">
        <v>6750</v>
      </c>
      <c r="E239" s="363">
        <v>8440</v>
      </c>
      <c r="F239" s="363">
        <v>1160</v>
      </c>
      <c r="G239" s="363">
        <v>4140</v>
      </c>
    </row>
    <row r="240" s="348" customFormat="1" ht="14.25" customHeight="1" spans="1:7">
      <c r="A240" s="363" t="s">
        <v>284</v>
      </c>
      <c r="B240" s="363" t="s">
        <v>2835</v>
      </c>
      <c r="C240" s="363">
        <v>5420</v>
      </c>
      <c r="D240" s="363">
        <v>5380</v>
      </c>
      <c r="E240" s="363">
        <v>6640</v>
      </c>
      <c r="F240" s="363">
        <v>1020</v>
      </c>
      <c r="G240" s="363">
        <v>3300</v>
      </c>
    </row>
    <row r="241" s="348" customFormat="1" ht="14.25" customHeight="1" spans="1:7">
      <c r="A241" s="363" t="s">
        <v>284</v>
      </c>
      <c r="B241" s="363" t="s">
        <v>2846</v>
      </c>
      <c r="C241" s="363">
        <v>6660</v>
      </c>
      <c r="D241" s="363">
        <v>6640</v>
      </c>
      <c r="E241" s="363">
        <v>8340</v>
      </c>
      <c r="F241" s="363">
        <v>1130</v>
      </c>
      <c r="G241" s="363">
        <v>4080</v>
      </c>
    </row>
    <row r="242" s="348" customFormat="1" ht="14.25" customHeight="1" spans="1:7">
      <c r="A242" s="363" t="s">
        <v>284</v>
      </c>
      <c r="B242" s="363" t="s">
        <v>2856</v>
      </c>
      <c r="C242" s="363">
        <v>6580</v>
      </c>
      <c r="D242" s="363">
        <v>6550</v>
      </c>
      <c r="E242" s="363">
        <v>8090</v>
      </c>
      <c r="F242" s="363">
        <v>1240</v>
      </c>
      <c r="G242" s="363">
        <v>4020</v>
      </c>
    </row>
    <row r="243" s="348" customFormat="1" ht="14.25" customHeight="1" spans="1:7">
      <c r="A243" s="363" t="s">
        <v>284</v>
      </c>
      <c r="B243" s="363" t="s">
        <v>2866</v>
      </c>
      <c r="C243" s="363">
        <v>6000</v>
      </c>
      <c r="D243" s="363">
        <v>5970</v>
      </c>
      <c r="E243" s="363">
        <v>7370</v>
      </c>
      <c r="F243" s="363">
        <v>1070</v>
      </c>
      <c r="G243" s="363">
        <v>3670</v>
      </c>
    </row>
    <row r="244" s="348" customFormat="1" ht="14.25" customHeight="1" spans="1:7">
      <c r="A244" s="363" t="s">
        <v>284</v>
      </c>
      <c r="B244" s="363" t="s">
        <v>2876</v>
      </c>
      <c r="C244" s="363">
        <v>5840</v>
      </c>
      <c r="D244" s="363">
        <v>5810</v>
      </c>
      <c r="E244" s="363">
        <v>7240</v>
      </c>
      <c r="F244" s="363">
        <v>1100</v>
      </c>
      <c r="G244" s="363">
        <v>3560</v>
      </c>
    </row>
    <row r="245" s="348" customFormat="1" ht="14.25" customHeight="1" spans="1:7">
      <c r="A245" s="363" t="s">
        <v>284</v>
      </c>
      <c r="B245" s="363" t="s">
        <v>2886</v>
      </c>
      <c r="C245" s="363">
        <v>6040</v>
      </c>
      <c r="D245" s="363">
        <v>6000</v>
      </c>
      <c r="E245" s="363">
        <v>7420</v>
      </c>
      <c r="F245" s="363">
        <v>1140</v>
      </c>
      <c r="G245" s="363">
        <v>3690</v>
      </c>
    </row>
    <row r="246" s="348" customFormat="1" ht="14.25" customHeight="1" spans="1:7">
      <c r="A246" s="363" t="s">
        <v>284</v>
      </c>
      <c r="B246" s="363" t="s">
        <v>2896</v>
      </c>
      <c r="C246" s="363">
        <v>5890</v>
      </c>
      <c r="D246" s="363">
        <v>5860</v>
      </c>
      <c r="E246" s="363">
        <v>7300</v>
      </c>
      <c r="F246" s="363">
        <v>1110</v>
      </c>
      <c r="G246" s="363">
        <v>3590</v>
      </c>
    </row>
    <row r="247" s="348" customFormat="1" ht="14.25" customHeight="1" spans="1:7">
      <c r="A247" s="363" t="s">
        <v>284</v>
      </c>
      <c r="B247" s="363" t="s">
        <v>2906</v>
      </c>
      <c r="C247" s="363">
        <v>6480</v>
      </c>
      <c r="D247" s="363">
        <v>6450</v>
      </c>
      <c r="E247" s="363">
        <v>8010</v>
      </c>
      <c r="F247" s="363">
        <v>1170</v>
      </c>
      <c r="G247" s="363">
        <v>3960</v>
      </c>
    </row>
    <row r="248" s="348" customFormat="1" ht="14.25" customHeight="1" spans="1:7">
      <c r="A248" s="363" t="s">
        <v>284</v>
      </c>
      <c r="B248" s="363" t="s">
        <v>2916</v>
      </c>
      <c r="C248" s="363">
        <v>6860</v>
      </c>
      <c r="D248" s="363">
        <v>6840</v>
      </c>
      <c r="E248" s="363">
        <v>8520</v>
      </c>
      <c r="F248" s="363">
        <v>1240</v>
      </c>
      <c r="G248" s="363">
        <v>4200</v>
      </c>
    </row>
    <row r="249" s="348" customFormat="1" ht="14.25" customHeight="1" spans="1:7">
      <c r="A249" s="363" t="s">
        <v>284</v>
      </c>
      <c r="B249" s="363" t="s">
        <v>2926</v>
      </c>
      <c r="C249" s="363">
        <v>7180</v>
      </c>
      <c r="D249" s="363">
        <v>7140</v>
      </c>
      <c r="E249" s="363">
        <v>8900</v>
      </c>
      <c r="F249" s="363">
        <v>1350</v>
      </c>
      <c r="G249" s="363">
        <v>4380</v>
      </c>
    </row>
    <row r="250" s="348" customFormat="1" ht="14.25" customHeight="1" spans="1:7">
      <c r="A250" s="363" t="s">
        <v>284</v>
      </c>
      <c r="B250" s="363" t="s">
        <v>2936</v>
      </c>
      <c r="C250" s="363">
        <v>6880</v>
      </c>
      <c r="D250" s="363">
        <v>6860</v>
      </c>
      <c r="E250" s="363">
        <v>8550</v>
      </c>
      <c r="F250" s="363">
        <v>1220</v>
      </c>
      <c r="G250" s="363">
        <v>4210</v>
      </c>
    </row>
    <row r="251" s="348" customFormat="1" ht="14.25" customHeight="1" spans="1:7">
      <c r="A251" s="363" t="s">
        <v>284</v>
      </c>
      <c r="B251" s="363" t="s">
        <v>2946</v>
      </c>
      <c r="C251" s="363"/>
      <c r="D251" s="363"/>
      <c r="E251" s="363"/>
      <c r="F251" s="363">
        <v>1100</v>
      </c>
      <c r="G251" s="363"/>
    </row>
    <row r="252" s="348" customFormat="1" ht="14.25" customHeight="1" spans="1:7">
      <c r="A252" s="363" t="s">
        <v>284</v>
      </c>
      <c r="B252" s="363" t="s">
        <v>2956</v>
      </c>
      <c r="C252" s="363">
        <v>7240</v>
      </c>
      <c r="D252" s="363">
        <v>7200</v>
      </c>
      <c r="E252" s="363">
        <v>9040</v>
      </c>
      <c r="F252" s="363">
        <v>1380</v>
      </c>
      <c r="G252" s="363">
        <v>4420</v>
      </c>
    </row>
    <row r="253" s="348" customFormat="1" ht="14.25" customHeight="1" spans="1:7">
      <c r="A253" s="363" t="s">
        <v>284</v>
      </c>
      <c r="B253" s="363" t="s">
        <v>2965</v>
      </c>
      <c r="C253" s="363">
        <v>6670</v>
      </c>
      <c r="D253" s="363">
        <v>6650</v>
      </c>
      <c r="E253" s="363">
        <v>8350</v>
      </c>
      <c r="F253" s="363">
        <v>1260</v>
      </c>
      <c r="G253" s="363">
        <v>4080</v>
      </c>
    </row>
    <row r="254" s="348" customFormat="1" ht="14.25" customHeight="1" spans="1:7">
      <c r="A254" s="363" t="s">
        <v>284</v>
      </c>
      <c r="B254" s="363" t="s">
        <v>2974</v>
      </c>
      <c r="C254" s="363">
        <v>7630</v>
      </c>
      <c r="D254" s="363">
        <v>7590</v>
      </c>
      <c r="E254" s="363">
        <v>9380</v>
      </c>
      <c r="F254" s="363">
        <v>1320</v>
      </c>
      <c r="G254" s="363">
        <v>4660</v>
      </c>
    </row>
    <row r="255" s="348" customFormat="1" ht="14.25" customHeight="1" spans="1:7">
      <c r="A255" s="363" t="s">
        <v>284</v>
      </c>
      <c r="B255" s="363" t="s">
        <v>2982</v>
      </c>
      <c r="C255" s="363">
        <v>6940</v>
      </c>
      <c r="D255" s="363">
        <v>6890</v>
      </c>
      <c r="E255" s="363">
        <v>8650</v>
      </c>
      <c r="F255" s="363">
        <v>1210</v>
      </c>
      <c r="G255" s="363">
        <v>4230</v>
      </c>
    </row>
    <row r="256" s="348" customFormat="1" ht="14.25" customHeight="1" spans="1:7">
      <c r="A256" s="363" t="s">
        <v>284</v>
      </c>
      <c r="B256" s="363" t="s">
        <v>2990</v>
      </c>
      <c r="C256" s="363">
        <v>7520</v>
      </c>
      <c r="D256" s="363">
        <v>7490</v>
      </c>
      <c r="E256" s="363">
        <v>9240</v>
      </c>
      <c r="F256" s="363">
        <v>1270</v>
      </c>
      <c r="G256" s="363">
        <v>4590</v>
      </c>
    </row>
    <row r="257" s="348" customFormat="1" ht="14.25" customHeight="1" spans="1:7">
      <c r="A257" s="363" t="s">
        <v>284</v>
      </c>
      <c r="B257" s="363" t="s">
        <v>2998</v>
      </c>
      <c r="C257" s="363">
        <v>6280</v>
      </c>
      <c r="D257" s="363">
        <v>6230</v>
      </c>
      <c r="E257" s="363">
        <v>7740</v>
      </c>
      <c r="F257" s="363">
        <v>1080</v>
      </c>
      <c r="G257" s="363">
        <v>3830</v>
      </c>
    </row>
    <row r="258" s="348" customFormat="1" ht="14.25" customHeight="1" spans="1:7">
      <c r="A258" s="363" t="s">
        <v>284</v>
      </c>
      <c r="B258" s="363" t="s">
        <v>3006</v>
      </c>
      <c r="C258" s="363">
        <v>6190</v>
      </c>
      <c r="D258" s="363">
        <v>6160</v>
      </c>
      <c r="E258" s="363">
        <v>7680</v>
      </c>
      <c r="F258" s="363">
        <v>1170</v>
      </c>
      <c r="G258" s="363">
        <v>3780</v>
      </c>
    </row>
    <row r="259" s="348" customFormat="1" ht="14.25" customHeight="1" spans="1:7">
      <c r="A259" s="363" t="s">
        <v>284</v>
      </c>
      <c r="B259" s="363" t="s">
        <v>3013</v>
      </c>
      <c r="C259" s="363">
        <v>7610</v>
      </c>
      <c r="D259" s="363">
        <v>7570</v>
      </c>
      <c r="E259" s="363">
        <v>9350</v>
      </c>
      <c r="F259" s="363">
        <v>1350</v>
      </c>
      <c r="G259" s="363">
        <v>4650</v>
      </c>
    </row>
    <row r="260" s="348" customFormat="1" ht="14.25" customHeight="1" spans="1:7">
      <c r="A260" s="363" t="s">
        <v>284</v>
      </c>
      <c r="B260" s="363" t="s">
        <v>3020</v>
      </c>
      <c r="C260" s="363">
        <v>6920</v>
      </c>
      <c r="D260" s="363">
        <v>6880</v>
      </c>
      <c r="E260" s="363">
        <v>8380</v>
      </c>
      <c r="F260" s="363">
        <v>1160</v>
      </c>
      <c r="G260" s="363">
        <v>4220</v>
      </c>
    </row>
    <row r="261" s="348" customFormat="1" ht="14.25" customHeight="1" spans="1:7">
      <c r="A261" s="363" t="s">
        <v>284</v>
      </c>
      <c r="B261" s="363" t="s">
        <v>3027</v>
      </c>
      <c r="C261" s="363">
        <v>6850</v>
      </c>
      <c r="D261" s="363">
        <v>6810</v>
      </c>
      <c r="E261" s="363">
        <v>8290</v>
      </c>
      <c r="F261" s="363">
        <v>1130</v>
      </c>
      <c r="G261" s="363">
        <v>4180</v>
      </c>
    </row>
    <row r="262" s="348" customFormat="1" ht="14.25" customHeight="1" spans="1:7">
      <c r="A262" s="363" t="s">
        <v>284</v>
      </c>
      <c r="B262" s="363" t="s">
        <v>3034</v>
      </c>
      <c r="C262" s="363">
        <v>5860</v>
      </c>
      <c r="D262" s="363">
        <v>5820</v>
      </c>
      <c r="E262" s="363">
        <v>7640</v>
      </c>
      <c r="F262" s="363">
        <v>1070</v>
      </c>
      <c r="G262" s="363">
        <v>3570</v>
      </c>
    </row>
    <row r="263" s="348" customFormat="1" ht="14.25" customHeight="1" spans="1:7">
      <c r="A263" s="363" t="s">
        <v>284</v>
      </c>
      <c r="B263" s="363" t="s">
        <v>3041</v>
      </c>
      <c r="C263" s="363">
        <v>5870</v>
      </c>
      <c r="D263" s="363">
        <v>5840</v>
      </c>
      <c r="E263" s="363">
        <v>7270</v>
      </c>
      <c r="F263" s="363">
        <v>1190</v>
      </c>
      <c r="G263" s="363">
        <v>3580</v>
      </c>
    </row>
    <row r="264" s="348" customFormat="1" ht="14.25" customHeight="1" spans="1:7">
      <c r="A264" s="363" t="s">
        <v>284</v>
      </c>
      <c r="B264" s="363" t="s">
        <v>3048</v>
      </c>
      <c r="C264" s="363">
        <v>6190</v>
      </c>
      <c r="D264" s="363">
        <v>6150</v>
      </c>
      <c r="E264" s="363">
        <v>7660</v>
      </c>
      <c r="F264" s="363">
        <v>1160</v>
      </c>
      <c r="G264" s="363">
        <v>3770</v>
      </c>
    </row>
    <row r="265" s="348" customFormat="1" ht="14.25" customHeight="1" spans="1:7">
      <c r="A265" s="363" t="s">
        <v>284</v>
      </c>
      <c r="B265" s="363" t="s">
        <v>3055</v>
      </c>
      <c r="C265" s="363"/>
      <c r="D265" s="363"/>
      <c r="E265" s="363"/>
      <c r="F265" s="363">
        <v>1500</v>
      </c>
      <c r="G265" s="363"/>
    </row>
    <row r="266" s="348" customFormat="1" ht="14.25" customHeight="1" spans="1:7">
      <c r="A266" s="363" t="s">
        <v>284</v>
      </c>
      <c r="B266" s="363" t="s">
        <v>3060</v>
      </c>
      <c r="C266" s="363"/>
      <c r="D266" s="363"/>
      <c r="E266" s="363"/>
      <c r="F266" s="363">
        <v>1500</v>
      </c>
      <c r="G266" s="363"/>
    </row>
    <row r="267" s="348" customFormat="1" ht="14.25" customHeight="1" spans="1:7">
      <c r="A267" s="363" t="s">
        <v>284</v>
      </c>
      <c r="B267" s="363" t="s">
        <v>3065</v>
      </c>
      <c r="C267" s="363"/>
      <c r="D267" s="363"/>
      <c r="E267" s="363"/>
      <c r="F267" s="363">
        <v>1500</v>
      </c>
      <c r="G267" s="363"/>
    </row>
    <row r="268" s="348" customFormat="1" ht="14.25" customHeight="1" spans="1:7">
      <c r="A268" s="363" t="s">
        <v>284</v>
      </c>
      <c r="B268" s="363" t="s">
        <v>3070</v>
      </c>
      <c r="C268" s="363"/>
      <c r="D268" s="363"/>
      <c r="E268" s="363"/>
      <c r="F268" s="363">
        <v>1290</v>
      </c>
      <c r="G268" s="363"/>
    </row>
    <row r="269" s="348" customFormat="1" ht="14.25" customHeight="1" spans="1:7">
      <c r="A269" s="363" t="s">
        <v>284</v>
      </c>
      <c r="B269" s="363" t="s">
        <v>3075</v>
      </c>
      <c r="C269" s="363"/>
      <c r="D269" s="363"/>
      <c r="E269" s="363"/>
      <c r="F269" s="363">
        <v>1150</v>
      </c>
      <c r="G269" s="363"/>
    </row>
    <row r="270" s="348" customFormat="1" ht="14.25" customHeight="1" spans="1:7">
      <c r="A270" s="363" t="s">
        <v>284</v>
      </c>
      <c r="B270" s="363" t="s">
        <v>3080</v>
      </c>
      <c r="C270" s="363"/>
      <c r="D270" s="363"/>
      <c r="E270" s="363"/>
      <c r="F270" s="363">
        <v>1380</v>
      </c>
      <c r="G270" s="363"/>
    </row>
    <row r="271" s="348" customFormat="1" ht="14.25" customHeight="1" spans="1:7">
      <c r="A271" s="363" t="s">
        <v>284</v>
      </c>
      <c r="B271" s="363" t="s">
        <v>3085</v>
      </c>
      <c r="C271" s="363"/>
      <c r="D271" s="363"/>
      <c r="E271" s="363"/>
      <c r="F271" s="363">
        <v>1460</v>
      </c>
      <c r="G271" s="363"/>
    </row>
    <row r="272" s="348" customFormat="1" ht="14.25" customHeight="1" spans="1:7">
      <c r="A272" s="363" t="s">
        <v>284</v>
      </c>
      <c r="B272" s="363" t="s">
        <v>3090</v>
      </c>
      <c r="C272" s="363"/>
      <c r="D272" s="363"/>
      <c r="E272" s="363"/>
      <c r="F272" s="363">
        <v>1460</v>
      </c>
      <c r="G272" s="363"/>
    </row>
    <row r="273" s="348" customFormat="1" ht="14.25" customHeight="1" spans="1:7">
      <c r="A273" s="363" t="s">
        <v>284</v>
      </c>
      <c r="B273" s="363" t="s">
        <v>3095</v>
      </c>
      <c r="C273" s="363"/>
      <c r="D273" s="363"/>
      <c r="E273" s="363"/>
      <c r="F273" s="363">
        <v>1490</v>
      </c>
      <c r="G273" s="363"/>
    </row>
    <row r="274" s="348" customFormat="1" ht="14.25" customHeight="1" spans="1:7">
      <c r="A274" s="363" t="s">
        <v>284</v>
      </c>
      <c r="B274" s="363" t="s">
        <v>3099</v>
      </c>
      <c r="C274" s="363"/>
      <c r="D274" s="363"/>
      <c r="E274" s="363"/>
      <c r="F274" s="363">
        <v>1490</v>
      </c>
      <c r="G274" s="363"/>
    </row>
    <row r="275" s="348" customFormat="1" ht="14.25" customHeight="1" spans="1:7">
      <c r="A275" s="363" t="s">
        <v>284</v>
      </c>
      <c r="B275" s="363" t="s">
        <v>3103</v>
      </c>
      <c r="C275" s="363"/>
      <c r="D275" s="363"/>
      <c r="E275" s="363"/>
      <c r="F275" s="363">
        <v>1220</v>
      </c>
      <c r="G275" s="363"/>
    </row>
    <row r="276" s="348" customFormat="1" ht="14.25" customHeight="1" spans="1:7">
      <c r="A276" s="365" t="s">
        <v>284</v>
      </c>
      <c r="B276" s="368" t="s">
        <v>3107</v>
      </c>
      <c r="C276" s="369"/>
      <c r="D276" s="369"/>
      <c r="E276" s="369"/>
      <c r="F276" s="369">
        <v>1380</v>
      </c>
      <c r="G276" s="369"/>
    </row>
    <row r="277" s="348" customFormat="1" ht="14.25" customHeight="1" spans="1:7">
      <c r="A277" s="361" t="s">
        <v>288</v>
      </c>
      <c r="B277" s="362" t="s">
        <v>2763</v>
      </c>
      <c r="C277" s="362">
        <v>5790</v>
      </c>
      <c r="D277" s="362">
        <v>5740</v>
      </c>
      <c r="E277" s="362">
        <v>6730</v>
      </c>
      <c r="F277" s="362">
        <v>1110</v>
      </c>
      <c r="G277" s="370">
        <v>3460</v>
      </c>
    </row>
    <row r="278" s="348" customFormat="1" ht="14.25" customHeight="1" spans="1:7">
      <c r="A278" s="363" t="s">
        <v>288</v>
      </c>
      <c r="B278" s="363" t="s">
        <v>2776</v>
      </c>
      <c r="C278" s="363">
        <v>5740</v>
      </c>
      <c r="D278" s="363">
        <v>5670</v>
      </c>
      <c r="E278" s="363">
        <v>6680</v>
      </c>
      <c r="F278" s="363">
        <v>1070</v>
      </c>
      <c r="G278" s="371">
        <v>3420</v>
      </c>
    </row>
    <row r="279" s="348" customFormat="1" ht="14.25" customHeight="1" spans="1:7">
      <c r="A279" s="363" t="s">
        <v>288</v>
      </c>
      <c r="B279" s="363" t="s">
        <v>2790</v>
      </c>
      <c r="C279" s="363">
        <v>4760</v>
      </c>
      <c r="D279" s="363">
        <v>4720</v>
      </c>
      <c r="E279" s="363">
        <v>5540</v>
      </c>
      <c r="F279" s="363">
        <v>810</v>
      </c>
      <c r="G279" s="371">
        <v>2850</v>
      </c>
    </row>
    <row r="280" s="348" customFormat="1" ht="14.25" customHeight="1" spans="1:7">
      <c r="A280" s="363" t="s">
        <v>288</v>
      </c>
      <c r="B280" s="363" t="s">
        <v>2802</v>
      </c>
      <c r="C280" s="363">
        <v>4010</v>
      </c>
      <c r="D280" s="363">
        <v>3950</v>
      </c>
      <c r="E280" s="363">
        <v>4710</v>
      </c>
      <c r="F280" s="363">
        <v>800</v>
      </c>
      <c r="G280" s="371">
        <v>2390</v>
      </c>
    </row>
    <row r="281" s="348" customFormat="1" ht="14.25" customHeight="1" spans="1:7">
      <c r="A281" s="363" t="s">
        <v>288</v>
      </c>
      <c r="B281" s="363" t="s">
        <v>2814</v>
      </c>
      <c r="C281" s="363">
        <v>4480</v>
      </c>
      <c r="D281" s="363">
        <v>4420</v>
      </c>
      <c r="E281" s="363">
        <v>5230</v>
      </c>
      <c r="F281" s="363">
        <v>870</v>
      </c>
      <c r="G281" s="371">
        <v>2660</v>
      </c>
    </row>
    <row r="282" s="348" customFormat="1" ht="14.25" customHeight="1" spans="1:7">
      <c r="A282" s="363" t="s">
        <v>288</v>
      </c>
      <c r="B282" s="363" t="s">
        <v>2825</v>
      </c>
      <c r="C282" s="363">
        <v>5360</v>
      </c>
      <c r="D282" s="363">
        <v>5300</v>
      </c>
      <c r="E282" s="363">
        <v>6190</v>
      </c>
      <c r="F282" s="363">
        <v>950</v>
      </c>
      <c r="G282" s="371">
        <v>3190</v>
      </c>
    </row>
    <row r="283" s="348" customFormat="1" ht="14.25" customHeight="1" spans="1:7">
      <c r="A283" s="363" t="s">
        <v>288</v>
      </c>
      <c r="B283" s="363" t="s">
        <v>2836</v>
      </c>
      <c r="C283" s="363">
        <v>4950</v>
      </c>
      <c r="D283" s="363">
        <v>4900</v>
      </c>
      <c r="E283" s="363">
        <v>5720</v>
      </c>
      <c r="F283" s="363">
        <v>920</v>
      </c>
      <c r="G283" s="371">
        <v>2950</v>
      </c>
    </row>
    <row r="284" s="348" customFormat="1" ht="14.25" customHeight="1" spans="1:7">
      <c r="A284" s="363" t="s">
        <v>288</v>
      </c>
      <c r="B284" s="363" t="s">
        <v>2847</v>
      </c>
      <c r="C284" s="363">
        <v>5610</v>
      </c>
      <c r="D284" s="363">
        <v>5560</v>
      </c>
      <c r="E284" s="363">
        <v>6520</v>
      </c>
      <c r="F284" s="363">
        <v>1030</v>
      </c>
      <c r="G284" s="371">
        <v>3360</v>
      </c>
    </row>
    <row r="285" s="348" customFormat="1" ht="14.25" customHeight="1" spans="1:7">
      <c r="A285" s="363" t="s">
        <v>288</v>
      </c>
      <c r="B285" s="363" t="s">
        <v>2857</v>
      </c>
      <c r="C285" s="363">
        <v>5340</v>
      </c>
      <c r="D285" s="363">
        <v>5290</v>
      </c>
      <c r="E285" s="363">
        <v>6170</v>
      </c>
      <c r="F285" s="363">
        <v>1080</v>
      </c>
      <c r="G285" s="371">
        <v>3180</v>
      </c>
    </row>
    <row r="286" s="348" customFormat="1" ht="14.25" customHeight="1" spans="1:7">
      <c r="A286" s="363" t="s">
        <v>288</v>
      </c>
      <c r="B286" s="363" t="s">
        <v>2867</v>
      </c>
      <c r="C286" s="363">
        <v>4890</v>
      </c>
      <c r="D286" s="363">
        <v>4840</v>
      </c>
      <c r="E286" s="363">
        <v>5640</v>
      </c>
      <c r="F286" s="363">
        <v>960</v>
      </c>
      <c r="G286" s="371">
        <v>2910</v>
      </c>
    </row>
    <row r="287" s="348" customFormat="1" ht="14.25" customHeight="1" spans="1:7">
      <c r="A287" s="363" t="s">
        <v>288</v>
      </c>
      <c r="B287" s="363" t="s">
        <v>2877</v>
      </c>
      <c r="C287" s="363">
        <v>4960</v>
      </c>
      <c r="D287" s="363">
        <v>4920</v>
      </c>
      <c r="E287" s="363">
        <v>5730</v>
      </c>
      <c r="F287" s="363">
        <v>930</v>
      </c>
      <c r="G287" s="371">
        <v>2960</v>
      </c>
    </row>
    <row r="288" s="348" customFormat="1" ht="14.25" customHeight="1" spans="1:7">
      <c r="A288" s="363" t="s">
        <v>288</v>
      </c>
      <c r="B288" s="363" t="s">
        <v>2887</v>
      </c>
      <c r="C288" s="363">
        <v>4350</v>
      </c>
      <c r="D288" s="363">
        <v>4300</v>
      </c>
      <c r="E288" s="363">
        <v>4900</v>
      </c>
      <c r="F288" s="363">
        <v>820</v>
      </c>
      <c r="G288" s="371">
        <v>2590</v>
      </c>
    </row>
    <row r="289" s="348" customFormat="1" ht="14.25" customHeight="1" spans="1:7">
      <c r="A289" s="363" t="s">
        <v>288</v>
      </c>
      <c r="B289" s="363" t="s">
        <v>2897</v>
      </c>
      <c r="C289" s="363">
        <v>5230</v>
      </c>
      <c r="D289" s="363">
        <v>5170</v>
      </c>
      <c r="E289" s="363">
        <v>6060</v>
      </c>
      <c r="F289" s="363">
        <v>900</v>
      </c>
      <c r="G289" s="371">
        <v>3120</v>
      </c>
    </row>
    <row r="290" s="348" customFormat="1" ht="14.25" customHeight="1" spans="1:7">
      <c r="A290" s="363" t="s">
        <v>288</v>
      </c>
      <c r="B290" s="363" t="s">
        <v>2907</v>
      </c>
      <c r="C290" s="363">
        <v>5550</v>
      </c>
      <c r="D290" s="363">
        <v>5500</v>
      </c>
      <c r="E290" s="363">
        <v>6440</v>
      </c>
      <c r="F290" s="363">
        <v>960</v>
      </c>
      <c r="G290" s="371">
        <v>3320</v>
      </c>
    </row>
    <row r="291" s="348" customFormat="1" ht="14.25" customHeight="1" spans="1:7">
      <c r="A291" s="363" t="s">
        <v>288</v>
      </c>
      <c r="B291" s="363" t="s">
        <v>2917</v>
      </c>
      <c r="C291" s="363">
        <v>5440</v>
      </c>
      <c r="D291" s="363">
        <v>5400</v>
      </c>
      <c r="E291" s="363">
        <v>6320</v>
      </c>
      <c r="F291" s="363">
        <v>930</v>
      </c>
      <c r="G291" s="371">
        <v>3250</v>
      </c>
    </row>
    <row r="292" s="348" customFormat="1" ht="14.25" customHeight="1" spans="1:7">
      <c r="A292" s="363" t="s">
        <v>288</v>
      </c>
      <c r="B292" s="363" t="s">
        <v>2927</v>
      </c>
      <c r="C292" s="363">
        <v>5400</v>
      </c>
      <c r="D292" s="363">
        <v>5360</v>
      </c>
      <c r="E292" s="363">
        <v>6270</v>
      </c>
      <c r="F292" s="363">
        <v>1040</v>
      </c>
      <c r="G292" s="371">
        <v>3230</v>
      </c>
    </row>
    <row r="293" s="348" customFormat="1" ht="14.25" customHeight="1" spans="1:7">
      <c r="A293" s="363" t="s">
        <v>288</v>
      </c>
      <c r="B293" s="363" t="s">
        <v>2937</v>
      </c>
      <c r="C293" s="363">
        <v>5320</v>
      </c>
      <c r="D293" s="363">
        <v>5270</v>
      </c>
      <c r="E293" s="363">
        <v>6160</v>
      </c>
      <c r="F293" s="363">
        <v>990</v>
      </c>
      <c r="G293" s="371">
        <v>3170</v>
      </c>
    </row>
    <row r="294" s="348" customFormat="1" ht="14.25" customHeight="1" spans="1:7">
      <c r="A294" s="363" t="s">
        <v>288</v>
      </c>
      <c r="B294" s="363" t="s">
        <v>2947</v>
      </c>
      <c r="C294" s="363">
        <v>5260</v>
      </c>
      <c r="D294" s="363">
        <v>5210</v>
      </c>
      <c r="E294" s="363">
        <v>6100</v>
      </c>
      <c r="F294" s="363">
        <v>950</v>
      </c>
      <c r="G294" s="371">
        <v>3150</v>
      </c>
    </row>
    <row r="295" s="348" customFormat="1" ht="14.25" customHeight="1" spans="1:7">
      <c r="A295" s="363" t="s">
        <v>288</v>
      </c>
      <c r="B295" s="363" t="s">
        <v>2957</v>
      </c>
      <c r="C295" s="363">
        <v>5610</v>
      </c>
      <c r="D295" s="363">
        <v>5570</v>
      </c>
      <c r="E295" s="363">
        <v>6530</v>
      </c>
      <c r="F295" s="363">
        <v>960</v>
      </c>
      <c r="G295" s="371">
        <v>3360</v>
      </c>
    </row>
    <row r="296" s="348" customFormat="1" ht="14.25" customHeight="1" spans="1:7">
      <c r="A296" s="363" t="s">
        <v>288</v>
      </c>
      <c r="B296" s="363" t="s">
        <v>2966</v>
      </c>
      <c r="C296" s="363">
        <v>5540</v>
      </c>
      <c r="D296" s="363">
        <v>5490</v>
      </c>
      <c r="E296" s="363">
        <v>6430</v>
      </c>
      <c r="F296" s="363">
        <v>980</v>
      </c>
      <c r="G296" s="371">
        <v>3310</v>
      </c>
    </row>
    <row r="297" s="348" customFormat="1" ht="14.25" customHeight="1" spans="1:7">
      <c r="A297" s="363" t="s">
        <v>288</v>
      </c>
      <c r="B297" s="363" t="s">
        <v>2975</v>
      </c>
      <c r="C297" s="363">
        <v>5480</v>
      </c>
      <c r="D297" s="363">
        <v>5420</v>
      </c>
      <c r="E297" s="363">
        <v>6370</v>
      </c>
      <c r="F297" s="363">
        <v>990</v>
      </c>
      <c r="G297" s="371">
        <v>3270</v>
      </c>
    </row>
    <row r="298" s="348" customFormat="1" ht="14.25" customHeight="1" spans="1:7">
      <c r="A298" s="363" t="s">
        <v>288</v>
      </c>
      <c r="B298" s="363" t="s">
        <v>2983</v>
      </c>
      <c r="C298" s="363">
        <v>5090</v>
      </c>
      <c r="D298" s="363">
        <v>5050</v>
      </c>
      <c r="E298" s="363">
        <v>5910</v>
      </c>
      <c r="F298" s="363">
        <v>900</v>
      </c>
      <c r="G298" s="371">
        <v>3040</v>
      </c>
    </row>
    <row r="299" s="348" customFormat="1" ht="14.25" customHeight="1" spans="1:7">
      <c r="A299" s="363" t="s">
        <v>288</v>
      </c>
      <c r="B299" s="377" t="s">
        <v>2991</v>
      </c>
      <c r="C299" s="363">
        <v>5430</v>
      </c>
      <c r="D299" s="363">
        <v>5380</v>
      </c>
      <c r="E299" s="363">
        <v>6280</v>
      </c>
      <c r="F299" s="363">
        <v>1000</v>
      </c>
      <c r="G299" s="371">
        <v>3240</v>
      </c>
    </row>
    <row r="300" s="348" customFormat="1" ht="14.25" customHeight="1" spans="1:7">
      <c r="A300" s="363" t="s">
        <v>288</v>
      </c>
      <c r="B300" s="377" t="s">
        <v>2999</v>
      </c>
      <c r="C300" s="363">
        <v>4740</v>
      </c>
      <c r="D300" s="363">
        <v>4680</v>
      </c>
      <c r="E300" s="363">
        <v>5450</v>
      </c>
      <c r="F300" s="363">
        <v>900</v>
      </c>
      <c r="G300" s="371">
        <v>2830</v>
      </c>
    </row>
    <row r="301" s="348" customFormat="1" ht="14.25" customHeight="1" spans="1:7">
      <c r="A301" s="363" t="s">
        <v>288</v>
      </c>
      <c r="B301" s="377" t="s">
        <v>3007</v>
      </c>
      <c r="C301" s="363">
        <v>4870</v>
      </c>
      <c r="D301" s="363">
        <v>4810</v>
      </c>
      <c r="E301" s="363">
        <v>5560</v>
      </c>
      <c r="F301" s="363">
        <v>990</v>
      </c>
      <c r="G301" s="371">
        <v>2910</v>
      </c>
    </row>
    <row r="302" s="348" customFormat="1" ht="14.25" customHeight="1" spans="1:7">
      <c r="A302" s="363" t="s">
        <v>288</v>
      </c>
      <c r="B302" s="363" t="s">
        <v>3014</v>
      </c>
      <c r="C302" s="363">
        <v>5520</v>
      </c>
      <c r="D302" s="363">
        <v>5470</v>
      </c>
      <c r="E302" s="363">
        <v>6410</v>
      </c>
      <c r="F302" s="363">
        <v>950</v>
      </c>
      <c r="G302" s="371">
        <v>3300</v>
      </c>
    </row>
    <row r="303" s="348" customFormat="1" ht="14.25" customHeight="1" spans="1:7">
      <c r="A303" s="363" t="s">
        <v>288</v>
      </c>
      <c r="B303" s="363" t="s">
        <v>3021</v>
      </c>
      <c r="C303" s="363">
        <v>5630</v>
      </c>
      <c r="D303" s="363">
        <v>5590</v>
      </c>
      <c r="E303" s="363">
        <v>6550</v>
      </c>
      <c r="F303" s="363">
        <v>1010</v>
      </c>
      <c r="G303" s="371">
        <v>3370</v>
      </c>
    </row>
    <row r="304" s="348" customFormat="1" ht="14.25" customHeight="1" spans="1:7">
      <c r="A304" s="363" t="s">
        <v>288</v>
      </c>
      <c r="B304" s="363" t="s">
        <v>3028</v>
      </c>
      <c r="C304" s="363">
        <v>5680</v>
      </c>
      <c r="D304" s="363">
        <v>5620</v>
      </c>
      <c r="E304" s="363">
        <v>6620</v>
      </c>
      <c r="F304" s="363">
        <v>1050</v>
      </c>
      <c r="G304" s="371">
        <v>3390</v>
      </c>
    </row>
    <row r="305" s="348" customFormat="1" ht="14.25" customHeight="1" spans="1:7">
      <c r="A305" s="363" t="s">
        <v>288</v>
      </c>
      <c r="B305" s="363" t="s">
        <v>3035</v>
      </c>
      <c r="C305" s="363">
        <v>5590</v>
      </c>
      <c r="D305" s="363">
        <v>5530</v>
      </c>
      <c r="E305" s="363">
        <v>6460</v>
      </c>
      <c r="F305" s="363">
        <v>900</v>
      </c>
      <c r="G305" s="371">
        <v>3340</v>
      </c>
    </row>
    <row r="306" s="348" customFormat="1" ht="14.25" customHeight="1" spans="1:7">
      <c r="A306" s="363" t="s">
        <v>288</v>
      </c>
      <c r="B306" s="363" t="s">
        <v>3042</v>
      </c>
      <c r="C306" s="363">
        <v>5560</v>
      </c>
      <c r="D306" s="363">
        <v>5510</v>
      </c>
      <c r="E306" s="363">
        <v>6440</v>
      </c>
      <c r="F306" s="363">
        <v>900</v>
      </c>
      <c r="G306" s="371">
        <v>3320</v>
      </c>
    </row>
    <row r="307" s="348" customFormat="1" ht="14.25" customHeight="1" spans="1:7">
      <c r="A307" s="363" t="s">
        <v>288</v>
      </c>
      <c r="B307" s="363" t="s">
        <v>3049</v>
      </c>
      <c r="C307" s="363">
        <v>5650</v>
      </c>
      <c r="D307" s="363">
        <v>5600</v>
      </c>
      <c r="E307" s="363">
        <v>6590</v>
      </c>
      <c r="F307" s="363">
        <v>930</v>
      </c>
      <c r="G307" s="371">
        <v>3380</v>
      </c>
    </row>
    <row r="308" s="348" customFormat="1" ht="14.25" customHeight="1" spans="1:7">
      <c r="A308" s="363" t="s">
        <v>288</v>
      </c>
      <c r="B308" s="363" t="s">
        <v>3056</v>
      </c>
      <c r="C308" s="363">
        <v>5620</v>
      </c>
      <c r="D308" s="363">
        <v>5580</v>
      </c>
      <c r="E308" s="363">
        <v>6540</v>
      </c>
      <c r="F308" s="363">
        <v>910</v>
      </c>
      <c r="G308" s="371">
        <v>3370</v>
      </c>
    </row>
    <row r="309" s="348" customFormat="1" ht="14.25" customHeight="1" spans="1:7">
      <c r="A309" s="363" t="s">
        <v>288</v>
      </c>
      <c r="B309" s="363" t="s">
        <v>3061</v>
      </c>
      <c r="C309" s="363">
        <v>5060</v>
      </c>
      <c r="D309" s="363">
        <v>5020</v>
      </c>
      <c r="E309" s="363">
        <v>6370</v>
      </c>
      <c r="F309" s="363">
        <v>800</v>
      </c>
      <c r="G309" s="371">
        <v>3020</v>
      </c>
    </row>
    <row r="310" s="348" customFormat="1" ht="14.25" customHeight="1" spans="1:7">
      <c r="A310" s="363" t="s">
        <v>288</v>
      </c>
      <c r="B310" s="363" t="s">
        <v>3066</v>
      </c>
      <c r="C310" s="363">
        <v>5150</v>
      </c>
      <c r="D310" s="363">
        <v>5110</v>
      </c>
      <c r="E310" s="363">
        <v>6500</v>
      </c>
      <c r="F310" s="363">
        <v>880</v>
      </c>
      <c r="G310" s="371">
        <v>3080</v>
      </c>
    </row>
    <row r="311" s="348" customFormat="1" ht="14.25" customHeight="1" spans="1:7">
      <c r="A311" s="363" t="s">
        <v>288</v>
      </c>
      <c r="B311" s="363" t="s">
        <v>3071</v>
      </c>
      <c r="C311" s="363">
        <v>4750</v>
      </c>
      <c r="D311" s="363">
        <v>4710</v>
      </c>
      <c r="E311" s="363">
        <v>5510</v>
      </c>
      <c r="F311" s="363">
        <v>880</v>
      </c>
      <c r="G311" s="371">
        <v>2840</v>
      </c>
    </row>
    <row r="312" s="348" customFormat="1" ht="14.25" customHeight="1" spans="1:7">
      <c r="A312" s="363" t="s">
        <v>288</v>
      </c>
      <c r="B312" s="363" t="s">
        <v>3076</v>
      </c>
      <c r="C312" s="363">
        <v>4690</v>
      </c>
      <c r="D312" s="363">
        <v>4640</v>
      </c>
      <c r="E312" s="363">
        <v>5420</v>
      </c>
      <c r="F312" s="363">
        <v>800</v>
      </c>
      <c r="G312" s="371">
        <v>2800</v>
      </c>
    </row>
    <row r="313" s="348" customFormat="1" ht="14.25" customHeight="1" spans="1:7">
      <c r="A313" s="363" t="s">
        <v>288</v>
      </c>
      <c r="B313" s="363" t="s">
        <v>3081</v>
      </c>
      <c r="C313" s="363">
        <v>4810</v>
      </c>
      <c r="D313" s="363">
        <v>4760</v>
      </c>
      <c r="E313" s="363">
        <v>5550</v>
      </c>
      <c r="F313" s="363">
        <v>920</v>
      </c>
      <c r="G313" s="371">
        <v>2870</v>
      </c>
    </row>
    <row r="314" s="348" customFormat="1" ht="14.25" customHeight="1" spans="1:7">
      <c r="A314" s="363" t="s">
        <v>288</v>
      </c>
      <c r="B314" s="363" t="s">
        <v>3086</v>
      </c>
      <c r="C314" s="363"/>
      <c r="D314" s="363"/>
      <c r="E314" s="363"/>
      <c r="F314" s="363">
        <v>1020</v>
      </c>
      <c r="G314" s="371"/>
    </row>
    <row r="315" s="348" customFormat="1" ht="14.25" customHeight="1" spans="1:7">
      <c r="A315" s="363" t="s">
        <v>288</v>
      </c>
      <c r="B315" s="363" t="s">
        <v>3091</v>
      </c>
      <c r="C315" s="363"/>
      <c r="D315" s="363"/>
      <c r="E315" s="363"/>
      <c r="F315" s="363">
        <v>1050</v>
      </c>
      <c r="G315" s="371"/>
    </row>
    <row r="316" s="348" customFormat="1" ht="14.25" customHeight="1" spans="1:7">
      <c r="A316" s="363" t="s">
        <v>288</v>
      </c>
      <c r="B316" s="363" t="s">
        <v>3096</v>
      </c>
      <c r="C316" s="363"/>
      <c r="D316" s="363"/>
      <c r="E316" s="363"/>
      <c r="F316" s="363">
        <v>900</v>
      </c>
      <c r="G316" s="371"/>
    </row>
    <row r="317" s="348" customFormat="1" ht="14.25" customHeight="1" spans="1:7">
      <c r="A317" s="363" t="s">
        <v>288</v>
      </c>
      <c r="B317" s="363" t="s">
        <v>3100</v>
      </c>
      <c r="C317" s="363"/>
      <c r="D317" s="363"/>
      <c r="E317" s="363"/>
      <c r="F317" s="363">
        <v>920</v>
      </c>
      <c r="G317" s="371"/>
    </row>
    <row r="318" s="348" customFormat="1" ht="14.25" customHeight="1" spans="1:7">
      <c r="A318" s="363" t="s">
        <v>288</v>
      </c>
      <c r="B318" s="363" t="s">
        <v>3104</v>
      </c>
      <c r="C318" s="363"/>
      <c r="D318" s="363"/>
      <c r="E318" s="363"/>
      <c r="F318" s="363">
        <v>1080</v>
      </c>
      <c r="G318" s="371"/>
    </row>
    <row r="319" s="348" customFormat="1" ht="14.25" customHeight="1" spans="1:7">
      <c r="A319" s="363" t="s">
        <v>288</v>
      </c>
      <c r="B319" s="363" t="s">
        <v>3108</v>
      </c>
      <c r="C319" s="363"/>
      <c r="D319" s="363"/>
      <c r="E319" s="363"/>
      <c r="F319" s="363">
        <v>1020</v>
      </c>
      <c r="G319" s="371"/>
    </row>
    <row r="320" s="348" customFormat="1" ht="14.25" customHeight="1" spans="1:7">
      <c r="A320" s="363" t="s">
        <v>288</v>
      </c>
      <c r="B320" s="363" t="s">
        <v>3111</v>
      </c>
      <c r="C320" s="363"/>
      <c r="D320" s="363"/>
      <c r="E320" s="363"/>
      <c r="F320" s="363">
        <v>1050</v>
      </c>
      <c r="G320" s="371"/>
    </row>
    <row r="321" s="348" customFormat="1" ht="14.25" customHeight="1" spans="1:7">
      <c r="A321" s="363" t="s">
        <v>288</v>
      </c>
      <c r="B321" s="363" t="s">
        <v>3113</v>
      </c>
      <c r="C321" s="363"/>
      <c r="D321" s="363"/>
      <c r="E321" s="363"/>
      <c r="F321" s="363">
        <v>960</v>
      </c>
      <c r="G321" s="371"/>
    </row>
    <row r="322" s="348" customFormat="1" ht="14.25" customHeight="1" spans="1:7">
      <c r="A322" s="363" t="s">
        <v>288</v>
      </c>
      <c r="B322" s="363" t="s">
        <v>3115</v>
      </c>
      <c r="C322" s="363"/>
      <c r="D322" s="363"/>
      <c r="E322" s="363"/>
      <c r="F322" s="363">
        <v>960</v>
      </c>
      <c r="G322" s="371"/>
    </row>
    <row r="323" s="348" customFormat="1" ht="14.25" customHeight="1" spans="1:7">
      <c r="A323" s="363" t="s">
        <v>288</v>
      </c>
      <c r="B323" s="363" t="s">
        <v>3117</v>
      </c>
      <c r="C323" s="363"/>
      <c r="D323" s="363"/>
      <c r="E323" s="363"/>
      <c r="F323" s="363">
        <v>880</v>
      </c>
      <c r="G323" s="371"/>
    </row>
    <row r="324" s="348" customFormat="1" ht="14.25" customHeight="1" spans="1:7">
      <c r="A324" s="363" t="s">
        <v>288</v>
      </c>
      <c r="B324" s="363" t="s">
        <v>3119</v>
      </c>
      <c r="C324" s="363"/>
      <c r="D324" s="363"/>
      <c r="E324" s="363"/>
      <c r="F324" s="363">
        <v>930</v>
      </c>
      <c r="G324" s="371"/>
    </row>
    <row r="325" s="348" customFormat="1" ht="14.25" customHeight="1" spans="1:7">
      <c r="A325" s="363" t="s">
        <v>288</v>
      </c>
      <c r="B325" s="364" t="s">
        <v>3121</v>
      </c>
      <c r="C325" s="363"/>
      <c r="D325" s="363"/>
      <c r="E325" s="363"/>
      <c r="F325" s="363">
        <v>900</v>
      </c>
      <c r="G325" s="371"/>
    </row>
    <row r="326" s="348" customFormat="1" ht="14.25" customHeight="1" spans="1:7">
      <c r="A326" s="372" t="s">
        <v>288</v>
      </c>
      <c r="B326" s="367" t="s">
        <v>3123</v>
      </c>
      <c r="C326" s="367"/>
      <c r="D326" s="367"/>
      <c r="E326" s="367"/>
      <c r="F326" s="367">
        <v>790</v>
      </c>
      <c r="G326" s="373"/>
    </row>
    <row r="327" s="348" customFormat="1" ht="14.25" customHeight="1" spans="1:7">
      <c r="A327" s="361" t="s">
        <v>292</v>
      </c>
      <c r="B327" s="362" t="s">
        <v>2764</v>
      </c>
      <c r="C327" s="363">
        <v>3750</v>
      </c>
      <c r="D327" s="363">
        <v>3710</v>
      </c>
      <c r="E327" s="363">
        <v>4080</v>
      </c>
      <c r="F327" s="363">
        <v>860</v>
      </c>
      <c r="G327" s="363">
        <v>2210</v>
      </c>
    </row>
    <row r="328" s="348" customFormat="1" ht="14.25" customHeight="1" spans="1:7">
      <c r="A328" s="363" t="s">
        <v>292</v>
      </c>
      <c r="B328" s="363" t="s">
        <v>2777</v>
      </c>
      <c r="C328" s="363">
        <v>3330</v>
      </c>
      <c r="D328" s="363">
        <v>3290</v>
      </c>
      <c r="E328" s="363">
        <v>3610</v>
      </c>
      <c r="F328" s="363">
        <v>850</v>
      </c>
      <c r="G328" s="363">
        <v>1960</v>
      </c>
    </row>
    <row r="329" s="348" customFormat="1" ht="14.25" customHeight="1" spans="1:7">
      <c r="A329" s="363" t="s">
        <v>292</v>
      </c>
      <c r="B329" s="363" t="s">
        <v>2791</v>
      </c>
      <c r="C329" s="363">
        <v>2730</v>
      </c>
      <c r="D329" s="363">
        <v>2690</v>
      </c>
      <c r="E329" s="363">
        <v>3100</v>
      </c>
      <c r="F329" s="363">
        <v>660</v>
      </c>
      <c r="G329" s="363">
        <v>1610</v>
      </c>
    </row>
    <row r="330" s="348" customFormat="1" ht="14.25" customHeight="1" spans="1:7">
      <c r="A330" s="363" t="s">
        <v>292</v>
      </c>
      <c r="B330" s="363" t="s">
        <v>2803</v>
      </c>
      <c r="C330" s="363">
        <v>3270</v>
      </c>
      <c r="D330" s="363">
        <v>3240</v>
      </c>
      <c r="E330" s="363">
        <v>3560</v>
      </c>
      <c r="F330" s="363">
        <v>680</v>
      </c>
      <c r="G330" s="363">
        <v>1940</v>
      </c>
    </row>
    <row r="331" s="348" customFormat="1" ht="14.25" customHeight="1" spans="1:7">
      <c r="A331" s="363" t="s">
        <v>292</v>
      </c>
      <c r="B331" s="363" t="s">
        <v>2815</v>
      </c>
      <c r="C331" s="363">
        <v>3770</v>
      </c>
      <c r="D331" s="363">
        <v>3740</v>
      </c>
      <c r="E331" s="363">
        <v>4110</v>
      </c>
      <c r="F331" s="363">
        <v>730</v>
      </c>
      <c r="G331" s="363">
        <v>2230</v>
      </c>
    </row>
    <row r="332" s="348" customFormat="1" ht="14.25" customHeight="1" spans="1:7">
      <c r="A332" s="363" t="s">
        <v>292</v>
      </c>
      <c r="B332" s="363" t="s">
        <v>2826</v>
      </c>
      <c r="C332" s="363">
        <v>3520</v>
      </c>
      <c r="D332" s="363">
        <v>3480</v>
      </c>
      <c r="E332" s="363">
        <v>3830</v>
      </c>
      <c r="F332" s="363">
        <v>720</v>
      </c>
      <c r="G332" s="363">
        <v>2090</v>
      </c>
    </row>
    <row r="333" s="348" customFormat="1" ht="14.25" customHeight="1" spans="1:7">
      <c r="A333" s="363" t="s">
        <v>292</v>
      </c>
      <c r="B333" s="363" t="s">
        <v>2837</v>
      </c>
      <c r="C333" s="363">
        <v>3840</v>
      </c>
      <c r="D333" s="363">
        <v>3800</v>
      </c>
      <c r="E333" s="363">
        <v>4200</v>
      </c>
      <c r="F333" s="363">
        <v>760</v>
      </c>
      <c r="G333" s="363">
        <v>2270</v>
      </c>
    </row>
    <row r="334" s="348" customFormat="1" ht="14.25" customHeight="1" spans="1:7">
      <c r="A334" s="363" t="s">
        <v>292</v>
      </c>
      <c r="B334" s="363" t="s">
        <v>2848</v>
      </c>
      <c r="C334" s="363">
        <v>3960</v>
      </c>
      <c r="D334" s="363">
        <v>3910</v>
      </c>
      <c r="E334" s="363">
        <v>4340</v>
      </c>
      <c r="F334" s="363">
        <v>780</v>
      </c>
      <c r="G334" s="363">
        <v>2340</v>
      </c>
    </row>
    <row r="335" s="348" customFormat="1" ht="14.25" customHeight="1" spans="1:7">
      <c r="A335" s="363" t="s">
        <v>292</v>
      </c>
      <c r="B335" s="363" t="s">
        <v>2858</v>
      </c>
      <c r="C335" s="363">
        <v>3710</v>
      </c>
      <c r="D335" s="363">
        <v>3670</v>
      </c>
      <c r="E335" s="363">
        <v>4030</v>
      </c>
      <c r="F335" s="363">
        <v>750</v>
      </c>
      <c r="G335" s="363">
        <v>2200</v>
      </c>
    </row>
    <row r="336" s="348" customFormat="1" ht="14.25" customHeight="1" spans="1:7">
      <c r="A336" s="363" t="s">
        <v>292</v>
      </c>
      <c r="B336" s="363" t="s">
        <v>2868</v>
      </c>
      <c r="C336" s="363">
        <v>3570</v>
      </c>
      <c r="D336" s="363">
        <v>3530</v>
      </c>
      <c r="E336" s="363">
        <v>3880</v>
      </c>
      <c r="F336" s="363">
        <v>770</v>
      </c>
      <c r="G336" s="363">
        <v>2110</v>
      </c>
    </row>
    <row r="337" s="348" customFormat="1" ht="14.25" customHeight="1" spans="1:7">
      <c r="A337" s="363" t="s">
        <v>292</v>
      </c>
      <c r="B337" s="363" t="s">
        <v>2878</v>
      </c>
      <c r="C337" s="363">
        <v>3780</v>
      </c>
      <c r="D337" s="363">
        <v>3750</v>
      </c>
      <c r="E337" s="363">
        <v>4130</v>
      </c>
      <c r="F337" s="363">
        <v>750</v>
      </c>
      <c r="G337" s="363">
        <v>2240</v>
      </c>
    </row>
    <row r="338" s="348" customFormat="1" ht="14.25" customHeight="1" spans="1:7">
      <c r="A338" s="363" t="s">
        <v>292</v>
      </c>
      <c r="B338" s="363" t="s">
        <v>2888</v>
      </c>
      <c r="C338" s="363">
        <v>3600</v>
      </c>
      <c r="D338" s="363">
        <v>3570</v>
      </c>
      <c r="E338" s="363">
        <v>3920</v>
      </c>
      <c r="F338" s="363">
        <v>790</v>
      </c>
      <c r="G338" s="363">
        <v>2140</v>
      </c>
    </row>
    <row r="339" s="348" customFormat="1" ht="14.25" customHeight="1" spans="1:7">
      <c r="A339" s="363" t="s">
        <v>292</v>
      </c>
      <c r="B339" s="363" t="s">
        <v>2898</v>
      </c>
      <c r="C339" s="363">
        <v>3540</v>
      </c>
      <c r="D339" s="363">
        <v>3500</v>
      </c>
      <c r="E339" s="363">
        <v>3850</v>
      </c>
      <c r="F339" s="363">
        <v>780</v>
      </c>
      <c r="G339" s="363">
        <v>2100</v>
      </c>
    </row>
    <row r="340" s="348" customFormat="1" ht="14.25" customHeight="1" spans="1:7">
      <c r="A340" s="363" t="s">
        <v>292</v>
      </c>
      <c r="B340" s="363" t="s">
        <v>2908</v>
      </c>
      <c r="C340" s="363">
        <v>3850</v>
      </c>
      <c r="D340" s="363">
        <v>3810</v>
      </c>
      <c r="E340" s="363">
        <v>4210</v>
      </c>
      <c r="F340" s="363">
        <v>750</v>
      </c>
      <c r="G340" s="363">
        <v>2280</v>
      </c>
    </row>
    <row r="341" s="348" customFormat="1" ht="14.25" customHeight="1" spans="1:7">
      <c r="A341" s="363" t="s">
        <v>292</v>
      </c>
      <c r="B341" s="363" t="s">
        <v>2918</v>
      </c>
      <c r="C341" s="363">
        <v>3780</v>
      </c>
      <c r="D341" s="363">
        <v>3750</v>
      </c>
      <c r="E341" s="363">
        <v>4140</v>
      </c>
      <c r="F341" s="363">
        <v>720</v>
      </c>
      <c r="G341" s="363">
        <v>2240</v>
      </c>
    </row>
    <row r="342" s="348" customFormat="1" ht="14.25" customHeight="1" spans="1:7">
      <c r="A342" s="363" t="s">
        <v>292</v>
      </c>
      <c r="B342" s="363" t="s">
        <v>2928</v>
      </c>
      <c r="C342" s="363">
        <v>3670</v>
      </c>
      <c r="D342" s="363">
        <v>3620</v>
      </c>
      <c r="E342" s="363">
        <v>3990</v>
      </c>
      <c r="F342" s="363">
        <v>760</v>
      </c>
      <c r="G342" s="363">
        <v>2170</v>
      </c>
    </row>
    <row r="343" s="348" customFormat="1" ht="14.25" customHeight="1" spans="1:7">
      <c r="A343" s="363" t="s">
        <v>292</v>
      </c>
      <c r="B343" s="363" t="s">
        <v>2938</v>
      </c>
      <c r="C343" s="363">
        <v>3760</v>
      </c>
      <c r="D343" s="363">
        <v>3720</v>
      </c>
      <c r="E343" s="363">
        <v>4090</v>
      </c>
      <c r="F343" s="363">
        <v>780</v>
      </c>
      <c r="G343" s="363">
        <v>2220</v>
      </c>
    </row>
    <row r="344" s="348" customFormat="1" ht="14.25" customHeight="1" spans="1:7">
      <c r="A344" s="363" t="s">
        <v>292</v>
      </c>
      <c r="B344" s="363" t="s">
        <v>2948</v>
      </c>
      <c r="C344" s="363">
        <v>3680</v>
      </c>
      <c r="D344" s="363">
        <v>3640</v>
      </c>
      <c r="E344" s="363">
        <v>4010</v>
      </c>
      <c r="F344" s="363">
        <v>750</v>
      </c>
      <c r="G344" s="363">
        <v>2180</v>
      </c>
    </row>
    <row r="345" spans="1:10">
      <c r="A345" s="363" t="s">
        <v>292</v>
      </c>
      <c r="B345" s="363" t="s">
        <v>2958</v>
      </c>
      <c r="C345" s="363">
        <v>3190</v>
      </c>
      <c r="D345" s="363">
        <v>3140</v>
      </c>
      <c r="E345" s="363">
        <v>3450</v>
      </c>
      <c r="F345" s="363">
        <v>720</v>
      </c>
      <c r="G345" s="363">
        <v>1880</v>
      </c>
      <c r="J345" s="348"/>
    </row>
    <row r="346" spans="1:10">
      <c r="A346" s="363" t="s">
        <v>292</v>
      </c>
      <c r="B346" s="363" t="s">
        <v>2967</v>
      </c>
      <c r="C346" s="363">
        <v>3630</v>
      </c>
      <c r="D346" s="363">
        <v>3590</v>
      </c>
      <c r="E346" s="363">
        <v>3940</v>
      </c>
      <c r="F346" s="363">
        <v>730</v>
      </c>
      <c r="G346" s="363">
        <v>2150</v>
      </c>
      <c r="J346" s="348"/>
    </row>
    <row r="347" spans="1:10">
      <c r="A347" s="363" t="s">
        <v>292</v>
      </c>
      <c r="B347" s="363" t="s">
        <v>2976</v>
      </c>
      <c r="C347" s="363">
        <v>3860</v>
      </c>
      <c r="D347" s="363">
        <v>3820</v>
      </c>
      <c r="E347" s="363">
        <v>4220</v>
      </c>
      <c r="F347" s="363">
        <v>750</v>
      </c>
      <c r="G347" s="363">
        <v>2280</v>
      </c>
      <c r="J347" s="348"/>
    </row>
    <row r="348" spans="1:10">
      <c r="A348" s="363" t="s">
        <v>292</v>
      </c>
      <c r="B348" s="363" t="s">
        <v>2984</v>
      </c>
      <c r="C348" s="363">
        <v>4000</v>
      </c>
      <c r="D348" s="363">
        <v>3950</v>
      </c>
      <c r="E348" s="363">
        <v>4430</v>
      </c>
      <c r="F348" s="363">
        <v>760</v>
      </c>
      <c r="G348" s="363">
        <v>2360</v>
      </c>
      <c r="J348" s="348"/>
    </row>
    <row r="349" spans="1:10">
      <c r="A349" s="363" t="s">
        <v>292</v>
      </c>
      <c r="B349" s="363" t="s">
        <v>2992</v>
      </c>
      <c r="C349" s="363">
        <v>3820</v>
      </c>
      <c r="D349" s="363">
        <v>3780</v>
      </c>
      <c r="E349" s="363">
        <v>4170</v>
      </c>
      <c r="F349" s="363">
        <v>710</v>
      </c>
      <c r="G349" s="363">
        <v>2260</v>
      </c>
      <c r="J349" s="348"/>
    </row>
    <row r="350" spans="1:10">
      <c r="A350" s="363" t="s">
        <v>292</v>
      </c>
      <c r="B350" s="363" t="s">
        <v>3000</v>
      </c>
      <c r="C350" s="363">
        <v>3760</v>
      </c>
      <c r="D350" s="363">
        <v>3730</v>
      </c>
      <c r="E350" s="363">
        <v>4100</v>
      </c>
      <c r="F350" s="363">
        <v>800</v>
      </c>
      <c r="G350" s="363">
        <v>2230</v>
      </c>
      <c r="J350" s="348"/>
    </row>
    <row r="351" spans="1:10">
      <c r="A351" s="363" t="s">
        <v>292</v>
      </c>
      <c r="B351" s="363" t="s">
        <v>3008</v>
      </c>
      <c r="C351" s="363">
        <v>3610</v>
      </c>
      <c r="D351" s="363">
        <v>3580</v>
      </c>
      <c r="E351" s="363">
        <v>3930</v>
      </c>
      <c r="F351" s="363">
        <v>700</v>
      </c>
      <c r="G351" s="363">
        <v>2140</v>
      </c>
      <c r="J351" s="348"/>
    </row>
    <row r="352" spans="1:7">
      <c r="A352" s="363" t="s">
        <v>292</v>
      </c>
      <c r="B352" s="363" t="s">
        <v>3015</v>
      </c>
      <c r="C352" s="363">
        <v>3670</v>
      </c>
      <c r="D352" s="363">
        <v>3630</v>
      </c>
      <c r="E352" s="363">
        <v>4000</v>
      </c>
      <c r="F352" s="363">
        <v>750</v>
      </c>
      <c r="G352" s="363">
        <v>2180</v>
      </c>
    </row>
    <row r="353" s="349" customFormat="1" spans="1:7">
      <c r="A353" s="363" t="s">
        <v>292</v>
      </c>
      <c r="B353" s="363" t="s">
        <v>3022</v>
      </c>
      <c r="C353" s="363">
        <v>3190</v>
      </c>
      <c r="D353" s="363">
        <v>3150</v>
      </c>
      <c r="E353" s="363">
        <v>3640</v>
      </c>
      <c r="F353" s="363">
        <v>630</v>
      </c>
      <c r="G353" s="363">
        <v>1890</v>
      </c>
    </row>
    <row r="354" s="349" customFormat="1" spans="1:7">
      <c r="A354" s="363" t="s">
        <v>292</v>
      </c>
      <c r="B354" s="363" t="s">
        <v>3029</v>
      </c>
      <c r="C354" s="363">
        <v>3450</v>
      </c>
      <c r="D354" s="363">
        <v>3420</v>
      </c>
      <c r="E354" s="363">
        <v>3960</v>
      </c>
      <c r="F354" s="363">
        <v>660</v>
      </c>
      <c r="G354" s="363">
        <v>2050</v>
      </c>
    </row>
    <row r="355" s="349" customFormat="1" spans="1:7">
      <c r="A355" s="363" t="s">
        <v>292</v>
      </c>
      <c r="B355" s="363" t="s">
        <v>3036</v>
      </c>
      <c r="C355" s="363">
        <v>3650</v>
      </c>
      <c r="D355" s="363">
        <v>3610</v>
      </c>
      <c r="E355" s="363">
        <v>4200</v>
      </c>
      <c r="F355" s="363">
        <v>640</v>
      </c>
      <c r="G355" s="363">
        <v>2160</v>
      </c>
    </row>
    <row r="356" s="349" customFormat="1" spans="1:7">
      <c r="A356" s="363" t="s">
        <v>292</v>
      </c>
      <c r="B356" s="363" t="s">
        <v>3043</v>
      </c>
      <c r="C356" s="363">
        <v>3260</v>
      </c>
      <c r="D356" s="363">
        <v>3230</v>
      </c>
      <c r="E356" s="363">
        <v>3740</v>
      </c>
      <c r="F356" s="363">
        <v>600</v>
      </c>
      <c r="G356" s="363">
        <v>1930</v>
      </c>
    </row>
    <row r="357" s="349" customFormat="1" ht="11.55" spans="1:7">
      <c r="A357" s="365" t="s">
        <v>292</v>
      </c>
      <c r="B357" s="369" t="s">
        <v>3050</v>
      </c>
      <c r="C357" s="369">
        <v>3690</v>
      </c>
      <c r="D357" s="369">
        <v>3650</v>
      </c>
      <c r="E357" s="369">
        <v>4020</v>
      </c>
      <c r="F357" s="369">
        <v>700</v>
      </c>
      <c r="G357" s="369">
        <v>2190</v>
      </c>
    </row>
    <row r="358" s="349" customFormat="1" spans="1:7">
      <c r="A358" s="361" t="s">
        <v>296</v>
      </c>
      <c r="B358" s="362" t="s">
        <v>2765</v>
      </c>
      <c r="C358" s="362">
        <v>2080</v>
      </c>
      <c r="D358" s="362">
        <v>2040</v>
      </c>
      <c r="E358" s="362">
        <v>2010</v>
      </c>
      <c r="F358" s="362">
        <v>530</v>
      </c>
      <c r="G358" s="370">
        <v>1230</v>
      </c>
    </row>
    <row r="359" s="349" customFormat="1" spans="1:7">
      <c r="A359" s="363" t="s">
        <v>296</v>
      </c>
      <c r="B359" s="363" t="s">
        <v>2778</v>
      </c>
      <c r="C359" s="363">
        <v>1850</v>
      </c>
      <c r="D359" s="363">
        <v>1820</v>
      </c>
      <c r="E359" s="363">
        <v>1780</v>
      </c>
      <c r="F359" s="363">
        <v>520</v>
      </c>
      <c r="G359" s="371">
        <v>1100</v>
      </c>
    </row>
    <row r="360" s="349" customFormat="1" spans="1:7">
      <c r="A360" s="363" t="s">
        <v>296</v>
      </c>
      <c r="B360" s="363" t="s">
        <v>2792</v>
      </c>
      <c r="C360" s="363">
        <v>2020</v>
      </c>
      <c r="D360" s="363">
        <v>1990</v>
      </c>
      <c r="E360" s="363">
        <v>1950</v>
      </c>
      <c r="F360" s="363">
        <v>500</v>
      </c>
      <c r="G360" s="371">
        <v>1200</v>
      </c>
    </row>
    <row r="361" s="349" customFormat="1" spans="1:7">
      <c r="A361" s="363" t="s">
        <v>296</v>
      </c>
      <c r="B361" s="363" t="s">
        <v>2804</v>
      </c>
      <c r="C361" s="363">
        <v>2260</v>
      </c>
      <c r="D361" s="363">
        <v>2220</v>
      </c>
      <c r="E361" s="363">
        <v>2180</v>
      </c>
      <c r="F361" s="363">
        <v>580</v>
      </c>
      <c r="G361" s="371">
        <v>1340</v>
      </c>
    </row>
    <row r="362" s="349" customFormat="1" spans="1:7">
      <c r="A362" s="363" t="s">
        <v>296</v>
      </c>
      <c r="B362" s="363" t="s">
        <v>2816</v>
      </c>
      <c r="C362" s="363">
        <v>2650</v>
      </c>
      <c r="D362" s="363">
        <v>2610</v>
      </c>
      <c r="E362" s="363">
        <v>2570</v>
      </c>
      <c r="F362" s="363">
        <v>630</v>
      </c>
      <c r="G362" s="371">
        <v>1570</v>
      </c>
    </row>
    <row r="363" s="349" customFormat="1" spans="1:7">
      <c r="A363" s="363" t="s">
        <v>296</v>
      </c>
      <c r="B363" s="363" t="s">
        <v>2827</v>
      </c>
      <c r="C363" s="363">
        <v>2390</v>
      </c>
      <c r="D363" s="363">
        <v>2360</v>
      </c>
      <c r="E363" s="363">
        <v>2320</v>
      </c>
      <c r="F363" s="363">
        <v>600</v>
      </c>
      <c r="G363" s="371">
        <v>1420</v>
      </c>
    </row>
    <row r="364" s="349" customFormat="1" spans="1:7">
      <c r="A364" s="363" t="s">
        <v>296</v>
      </c>
      <c r="B364" s="363" t="s">
        <v>2838</v>
      </c>
      <c r="C364" s="363">
        <v>2050</v>
      </c>
      <c r="D364" s="363">
        <v>2030</v>
      </c>
      <c r="E364" s="363">
        <v>1990</v>
      </c>
      <c r="F364" s="363">
        <v>550</v>
      </c>
      <c r="G364" s="371">
        <v>1220</v>
      </c>
    </row>
    <row r="365" s="349" customFormat="1" spans="1:7">
      <c r="A365" s="363" t="s">
        <v>296</v>
      </c>
      <c r="B365" s="363" t="s">
        <v>2849</v>
      </c>
      <c r="C365" s="363">
        <v>2140</v>
      </c>
      <c r="D365" s="363">
        <v>2100</v>
      </c>
      <c r="E365" s="363">
        <v>2060</v>
      </c>
      <c r="F365" s="363">
        <v>540</v>
      </c>
      <c r="G365" s="371">
        <v>1270</v>
      </c>
    </row>
    <row r="366" s="349" customFormat="1" spans="1:7">
      <c r="A366" s="363" t="s">
        <v>296</v>
      </c>
      <c r="B366" s="363" t="s">
        <v>2859</v>
      </c>
      <c r="C366" s="363">
        <v>2410</v>
      </c>
      <c r="D366" s="363">
        <v>2370</v>
      </c>
      <c r="E366" s="363">
        <v>2330</v>
      </c>
      <c r="F366" s="363">
        <v>570</v>
      </c>
      <c r="G366" s="371">
        <v>1440</v>
      </c>
    </row>
    <row r="367" s="349" customFormat="1" spans="1:7">
      <c r="A367" s="363" t="s">
        <v>296</v>
      </c>
      <c r="B367" s="363" t="s">
        <v>2869</v>
      </c>
      <c r="C367" s="363">
        <v>2300</v>
      </c>
      <c r="D367" s="363">
        <v>2260</v>
      </c>
      <c r="E367" s="363">
        <v>2220</v>
      </c>
      <c r="F367" s="363">
        <v>560</v>
      </c>
      <c r="G367" s="371">
        <v>1370</v>
      </c>
    </row>
    <row r="368" s="349" customFormat="1" spans="1:7">
      <c r="A368" s="363" t="s">
        <v>296</v>
      </c>
      <c r="B368" s="363" t="s">
        <v>2879</v>
      </c>
      <c r="C368" s="363">
        <v>2430</v>
      </c>
      <c r="D368" s="363">
        <v>2390</v>
      </c>
      <c r="E368" s="363">
        <v>2350</v>
      </c>
      <c r="F368" s="363">
        <v>570</v>
      </c>
      <c r="G368" s="371">
        <v>1450</v>
      </c>
    </row>
    <row r="369" s="349" customFormat="1" spans="1:7">
      <c r="A369" s="363" t="s">
        <v>296</v>
      </c>
      <c r="B369" s="363" t="s">
        <v>2889</v>
      </c>
      <c r="C369" s="363">
        <v>2320</v>
      </c>
      <c r="D369" s="363">
        <v>2290</v>
      </c>
      <c r="E369" s="363">
        <v>2250</v>
      </c>
      <c r="F369" s="363">
        <v>550</v>
      </c>
      <c r="G369" s="371">
        <v>1380</v>
      </c>
    </row>
    <row r="370" s="349" customFormat="1" spans="1:7">
      <c r="A370" s="363" t="s">
        <v>296</v>
      </c>
      <c r="B370" s="363" t="s">
        <v>2899</v>
      </c>
      <c r="C370" s="363">
        <v>2190</v>
      </c>
      <c r="D370" s="363">
        <v>2170</v>
      </c>
      <c r="E370" s="363">
        <v>2130</v>
      </c>
      <c r="F370" s="363">
        <v>530</v>
      </c>
      <c r="G370" s="371">
        <v>1310</v>
      </c>
    </row>
    <row r="371" s="349" customFormat="1" spans="1:7">
      <c r="A371" s="363" t="s">
        <v>296</v>
      </c>
      <c r="B371" s="363" t="s">
        <v>2909</v>
      </c>
      <c r="C371" s="363">
        <v>2460</v>
      </c>
      <c r="D371" s="363">
        <v>2420</v>
      </c>
      <c r="E371" s="363">
        <v>2370</v>
      </c>
      <c r="F371" s="363">
        <v>560</v>
      </c>
      <c r="G371" s="371">
        <v>1470</v>
      </c>
    </row>
    <row r="372" s="349" customFormat="1" spans="1:7">
      <c r="A372" s="363" t="s">
        <v>296</v>
      </c>
      <c r="B372" s="363" t="s">
        <v>2919</v>
      </c>
      <c r="C372" s="363">
        <v>2250</v>
      </c>
      <c r="D372" s="363">
        <v>2210</v>
      </c>
      <c r="E372" s="363">
        <v>2180</v>
      </c>
      <c r="F372" s="363">
        <v>550</v>
      </c>
      <c r="G372" s="371">
        <v>1340</v>
      </c>
    </row>
    <row r="373" s="349" customFormat="1" spans="1:7">
      <c r="A373" s="363" t="s">
        <v>296</v>
      </c>
      <c r="B373" s="363" t="s">
        <v>2929</v>
      </c>
      <c r="C373" s="363">
        <v>2210</v>
      </c>
      <c r="D373" s="363">
        <v>2190</v>
      </c>
      <c r="E373" s="363">
        <v>2150</v>
      </c>
      <c r="F373" s="363">
        <v>530</v>
      </c>
      <c r="G373" s="371">
        <v>1320</v>
      </c>
    </row>
    <row r="374" s="349" customFormat="1" spans="1:7">
      <c r="A374" s="363" t="s">
        <v>296</v>
      </c>
      <c r="B374" s="363" t="s">
        <v>2939</v>
      </c>
      <c r="C374" s="363">
        <v>2320</v>
      </c>
      <c r="D374" s="363">
        <v>2280</v>
      </c>
      <c r="E374" s="363">
        <v>2230</v>
      </c>
      <c r="F374" s="363">
        <v>580</v>
      </c>
      <c r="G374" s="371">
        <v>1380</v>
      </c>
    </row>
    <row r="375" s="349" customFormat="1" spans="1:7">
      <c r="A375" s="363" t="s">
        <v>296</v>
      </c>
      <c r="B375" s="363" t="s">
        <v>2949</v>
      </c>
      <c r="C375" s="363">
        <v>2090</v>
      </c>
      <c r="D375" s="363">
        <v>2050</v>
      </c>
      <c r="E375" s="363">
        <v>2020</v>
      </c>
      <c r="F375" s="363">
        <v>520</v>
      </c>
      <c r="G375" s="371">
        <v>1240</v>
      </c>
    </row>
    <row r="376" s="349" customFormat="1" spans="1:7">
      <c r="A376" s="363" t="s">
        <v>296</v>
      </c>
      <c r="B376" s="363" t="s">
        <v>2959</v>
      </c>
      <c r="C376" s="363">
        <v>2010</v>
      </c>
      <c r="D376" s="363">
        <v>1980</v>
      </c>
      <c r="E376" s="363">
        <v>1940</v>
      </c>
      <c r="F376" s="363">
        <v>540</v>
      </c>
      <c r="G376" s="371">
        <v>1190</v>
      </c>
    </row>
    <row r="377" s="349" customFormat="1" ht="11.55" spans="1:7">
      <c r="A377" s="365" t="s">
        <v>296</v>
      </c>
      <c r="B377" s="369" t="s">
        <v>2968</v>
      </c>
      <c r="C377" s="369">
        <v>1930</v>
      </c>
      <c r="D377" s="369">
        <v>1890</v>
      </c>
      <c r="E377" s="369">
        <v>1860</v>
      </c>
      <c r="F377" s="369">
        <v>530</v>
      </c>
      <c r="G377" s="378">
        <v>1150</v>
      </c>
    </row>
    <row r="378" s="349" customFormat="1" spans="1:7">
      <c r="A378" s="379" t="s">
        <v>300</v>
      </c>
      <c r="B378" s="362" t="s">
        <v>2766</v>
      </c>
      <c r="C378" s="362">
        <v>1520</v>
      </c>
      <c r="D378" s="362">
        <v>1490</v>
      </c>
      <c r="E378" s="362">
        <v>1460</v>
      </c>
      <c r="F378" s="362">
        <v>460</v>
      </c>
      <c r="G378" s="370">
        <v>940</v>
      </c>
    </row>
    <row r="379" s="349" customFormat="1" spans="1:7">
      <c r="A379" s="380" t="s">
        <v>300</v>
      </c>
      <c r="B379" s="363" t="s">
        <v>2779</v>
      </c>
      <c r="C379" s="363">
        <v>1500</v>
      </c>
      <c r="D379" s="363">
        <v>1470</v>
      </c>
      <c r="E379" s="363">
        <v>1430</v>
      </c>
      <c r="F379" s="363">
        <v>460</v>
      </c>
      <c r="G379" s="371">
        <v>920</v>
      </c>
    </row>
    <row r="380" s="349" customFormat="1" spans="1:7">
      <c r="A380" s="380" t="s">
        <v>300</v>
      </c>
      <c r="B380" s="363" t="s">
        <v>2793</v>
      </c>
      <c r="C380" s="363">
        <v>1620</v>
      </c>
      <c r="D380" s="363">
        <v>1590</v>
      </c>
      <c r="E380" s="363">
        <v>1560</v>
      </c>
      <c r="F380" s="363">
        <v>480</v>
      </c>
      <c r="G380" s="371">
        <v>1000</v>
      </c>
    </row>
    <row r="381" s="349" customFormat="1" spans="1:7">
      <c r="A381" s="380" t="s">
        <v>300</v>
      </c>
      <c r="B381" s="363" t="s">
        <v>2805</v>
      </c>
      <c r="C381" s="363">
        <v>1460</v>
      </c>
      <c r="D381" s="363">
        <v>1430</v>
      </c>
      <c r="E381" s="363">
        <v>1390</v>
      </c>
      <c r="F381" s="363">
        <v>450</v>
      </c>
      <c r="G381" s="371">
        <v>900</v>
      </c>
    </row>
    <row r="382" s="349" customFormat="1" spans="1:7">
      <c r="A382" s="380" t="s">
        <v>300</v>
      </c>
      <c r="B382" s="363" t="s">
        <v>2817</v>
      </c>
      <c r="C382" s="363">
        <v>1310</v>
      </c>
      <c r="D382" s="363">
        <v>1280</v>
      </c>
      <c r="E382" s="363">
        <v>1250</v>
      </c>
      <c r="F382" s="363">
        <v>440</v>
      </c>
      <c r="G382" s="371">
        <v>800</v>
      </c>
    </row>
    <row r="383" s="349" customFormat="1" spans="1:7">
      <c r="A383" s="380" t="s">
        <v>300</v>
      </c>
      <c r="B383" s="363" t="s">
        <v>2828</v>
      </c>
      <c r="C383" s="363">
        <v>1260</v>
      </c>
      <c r="D383" s="363">
        <v>1230</v>
      </c>
      <c r="E383" s="363">
        <v>1200</v>
      </c>
      <c r="F383" s="363">
        <v>420</v>
      </c>
      <c r="G383" s="371">
        <v>770</v>
      </c>
    </row>
    <row r="384" s="349" customFormat="1" ht="11.55" spans="1:7">
      <c r="A384" s="381" t="s">
        <v>300</v>
      </c>
      <c r="B384" s="367" t="s">
        <v>2839</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3137</v>
      </c>
      <c r="B1" s="313"/>
    </row>
    <row r="2" ht="15.15" spans="1:2">
      <c r="A2" s="313"/>
      <c r="B2" s="313"/>
    </row>
    <row r="3" ht="15.15" spans="1:7">
      <c r="A3" s="313"/>
      <c r="B3" s="313"/>
      <c r="C3" s="314" t="s">
        <v>2432</v>
      </c>
      <c r="D3" s="314" t="s">
        <v>549</v>
      </c>
      <c r="E3" s="314" t="s">
        <v>412</v>
      </c>
      <c r="F3" s="314" t="s">
        <v>408</v>
      </c>
      <c r="G3" s="314" t="s">
        <v>280</v>
      </c>
    </row>
    <row r="4" ht="15.15" spans="1:7">
      <c r="A4" s="315" t="s">
        <v>2767</v>
      </c>
      <c r="B4" s="316" t="s">
        <v>2780</v>
      </c>
      <c r="C4" s="314"/>
      <c r="D4" s="314"/>
      <c r="E4" s="314"/>
      <c r="F4" s="314"/>
      <c r="G4" s="314"/>
    </row>
    <row r="5" spans="1:7">
      <c r="A5" s="317" t="s">
        <v>230</v>
      </c>
      <c r="B5" s="318" t="s">
        <v>2755</v>
      </c>
      <c r="C5" s="319">
        <v>0.098</v>
      </c>
      <c r="D5" s="319">
        <v>0.087</v>
      </c>
      <c r="E5" s="319">
        <v>0.087</v>
      </c>
      <c r="F5" s="319">
        <v>0.098</v>
      </c>
      <c r="G5" s="320">
        <v>0.095</v>
      </c>
    </row>
    <row r="6" spans="1:7">
      <c r="A6" s="321" t="s">
        <v>230</v>
      </c>
      <c r="B6" s="322" t="s">
        <v>2768</v>
      </c>
      <c r="C6" s="323">
        <v>0.098</v>
      </c>
      <c r="D6" s="323">
        <v>0.098</v>
      </c>
      <c r="E6" s="323">
        <v>0.098</v>
      </c>
      <c r="F6" s="323">
        <v>0.1</v>
      </c>
      <c r="G6" s="324">
        <v>0.099</v>
      </c>
    </row>
    <row r="7" spans="1:7">
      <c r="A7" s="321" t="s">
        <v>230</v>
      </c>
      <c r="B7" s="322" t="s">
        <v>2782</v>
      </c>
      <c r="C7" s="323">
        <v>0.097</v>
      </c>
      <c r="D7" s="323">
        <v>0.097</v>
      </c>
      <c r="E7" s="323">
        <v>0.096</v>
      </c>
      <c r="F7" s="323">
        <v>0.1</v>
      </c>
      <c r="G7" s="324">
        <v>0.098</v>
      </c>
    </row>
    <row r="8" spans="1:7">
      <c r="A8" s="321" t="s">
        <v>230</v>
      </c>
      <c r="B8" s="322" t="s">
        <v>2794</v>
      </c>
      <c r="C8" s="323">
        <v>0.081</v>
      </c>
      <c r="D8" s="323">
        <v>0.082</v>
      </c>
      <c r="E8" s="323">
        <v>0.07</v>
      </c>
      <c r="F8" s="323">
        <v>0.096</v>
      </c>
      <c r="G8" s="324">
        <v>0.089</v>
      </c>
    </row>
    <row r="9" ht="15.15" spans="1:7">
      <c r="A9" s="325" t="s">
        <v>230</v>
      </c>
      <c r="B9" s="326" t="s">
        <v>2806</v>
      </c>
      <c r="C9" s="327">
        <v>0.1</v>
      </c>
      <c r="D9" s="327">
        <v>0.1</v>
      </c>
      <c r="E9" s="327">
        <v>0.1</v>
      </c>
      <c r="F9" s="328"/>
      <c r="G9" s="329">
        <v>0.1</v>
      </c>
    </row>
    <row r="10" spans="1:7">
      <c r="A10" s="317" t="s">
        <v>241</v>
      </c>
      <c r="B10" s="318" t="s">
        <v>2756</v>
      </c>
      <c r="C10" s="319">
        <v>0.067</v>
      </c>
      <c r="D10" s="319">
        <v>0.079</v>
      </c>
      <c r="E10" s="319">
        <v>0.079</v>
      </c>
      <c r="F10" s="319">
        <v>0.1</v>
      </c>
      <c r="G10" s="320">
        <v>0.091</v>
      </c>
    </row>
    <row r="11" spans="1:7">
      <c r="A11" s="321" t="s">
        <v>241</v>
      </c>
      <c r="B11" s="322" t="s">
        <v>2769</v>
      </c>
      <c r="C11" s="323">
        <v>0.05</v>
      </c>
      <c r="D11" s="323">
        <v>0.053</v>
      </c>
      <c r="E11" s="323">
        <v>0.063</v>
      </c>
      <c r="F11" s="323">
        <v>0.1</v>
      </c>
      <c r="G11" s="324">
        <v>0.072</v>
      </c>
    </row>
    <row r="12" spans="1:7">
      <c r="A12" s="321" t="s">
        <v>241</v>
      </c>
      <c r="B12" s="322" t="s">
        <v>2783</v>
      </c>
      <c r="C12" s="323">
        <v>0.053</v>
      </c>
      <c r="D12" s="323">
        <v>0.09</v>
      </c>
      <c r="E12" s="323">
        <v>0.072</v>
      </c>
      <c r="F12" s="323">
        <v>0.1</v>
      </c>
      <c r="G12" s="324">
        <v>0.097</v>
      </c>
    </row>
    <row r="13" spans="1:7">
      <c r="A13" s="321" t="s">
        <v>241</v>
      </c>
      <c r="B13" s="322" t="s">
        <v>2795</v>
      </c>
      <c r="C13" s="323">
        <v>0.097</v>
      </c>
      <c r="D13" s="323">
        <v>0.092</v>
      </c>
      <c r="E13" s="323">
        <v>0.095</v>
      </c>
      <c r="F13" s="323">
        <v>0.1</v>
      </c>
      <c r="G13" s="324">
        <v>0.097</v>
      </c>
    </row>
    <row r="14" spans="1:7">
      <c r="A14" s="321" t="s">
        <v>241</v>
      </c>
      <c r="B14" s="322" t="s">
        <v>2807</v>
      </c>
      <c r="C14" s="323">
        <v>0.097</v>
      </c>
      <c r="D14" s="323">
        <v>0.097</v>
      </c>
      <c r="E14" s="323">
        <v>0.097</v>
      </c>
      <c r="F14" s="323">
        <v>0.1</v>
      </c>
      <c r="G14" s="324">
        <v>0.098</v>
      </c>
    </row>
    <row r="15" spans="1:7">
      <c r="A15" s="321" t="s">
        <v>241</v>
      </c>
      <c r="B15" s="322" t="s">
        <v>2818</v>
      </c>
      <c r="C15" s="323">
        <v>0.098</v>
      </c>
      <c r="D15" s="323">
        <v>0.091</v>
      </c>
      <c r="E15" s="323">
        <v>0.06</v>
      </c>
      <c r="F15" s="323">
        <v>0.1</v>
      </c>
      <c r="G15" s="324">
        <v>0.097</v>
      </c>
    </row>
    <row r="16" spans="1:7">
      <c r="A16" s="321" t="s">
        <v>241</v>
      </c>
      <c r="B16" s="322" t="s">
        <v>2829</v>
      </c>
      <c r="C16" s="323">
        <v>0.098</v>
      </c>
      <c r="D16" s="323">
        <v>0.097</v>
      </c>
      <c r="E16" s="323">
        <v>0.095</v>
      </c>
      <c r="F16" s="323">
        <v>0.1</v>
      </c>
      <c r="G16" s="324">
        <v>0.099</v>
      </c>
    </row>
    <row r="17" spans="1:7">
      <c r="A17" s="321" t="s">
        <v>241</v>
      </c>
      <c r="B17" s="322" t="s">
        <v>2840</v>
      </c>
      <c r="C17" s="323">
        <v>0.089</v>
      </c>
      <c r="D17" s="323">
        <v>0.092</v>
      </c>
      <c r="E17" s="323">
        <v>0.061</v>
      </c>
      <c r="F17" s="323">
        <v>0.1</v>
      </c>
      <c r="G17" s="324">
        <v>0.097</v>
      </c>
    </row>
    <row r="18" spans="1:7">
      <c r="A18" s="321" t="s">
        <v>241</v>
      </c>
      <c r="B18" s="322" t="s">
        <v>2850</v>
      </c>
      <c r="C18" s="323">
        <v>0.098</v>
      </c>
      <c r="D18" s="323">
        <v>0.098</v>
      </c>
      <c r="E18" s="323">
        <v>0.098</v>
      </c>
      <c r="F18" s="330"/>
      <c r="G18" s="324">
        <v>0.099</v>
      </c>
    </row>
    <row r="19" spans="1:7">
      <c r="A19" s="321" t="s">
        <v>241</v>
      </c>
      <c r="B19" s="322" t="s">
        <v>2860</v>
      </c>
      <c r="C19" s="323">
        <v>0.099</v>
      </c>
      <c r="D19" s="323">
        <v>0.074</v>
      </c>
      <c r="E19" s="323">
        <v>0.081</v>
      </c>
      <c r="F19" s="330"/>
      <c r="G19" s="324">
        <v>0.093</v>
      </c>
    </row>
    <row r="20" spans="1:7">
      <c r="A20" s="321" t="s">
        <v>241</v>
      </c>
      <c r="B20" s="322" t="s">
        <v>2870</v>
      </c>
      <c r="C20" s="323">
        <v>0.1</v>
      </c>
      <c r="D20" s="323">
        <v>0.089</v>
      </c>
      <c r="E20" s="323">
        <v>0.089</v>
      </c>
      <c r="F20" s="330"/>
      <c r="G20" s="324">
        <v>0.095</v>
      </c>
    </row>
    <row r="21" spans="1:7">
      <c r="A21" s="321" t="s">
        <v>241</v>
      </c>
      <c r="B21" s="322" t="s">
        <v>2880</v>
      </c>
      <c r="C21" s="323">
        <v>0.1</v>
      </c>
      <c r="D21" s="323">
        <v>0.091</v>
      </c>
      <c r="E21" s="323">
        <v>0.082</v>
      </c>
      <c r="F21" s="330"/>
      <c r="G21" s="324">
        <v>0.097</v>
      </c>
    </row>
    <row r="22" spans="1:7">
      <c r="A22" s="321" t="s">
        <v>241</v>
      </c>
      <c r="B22" s="322" t="s">
        <v>2890</v>
      </c>
      <c r="C22" s="323">
        <v>0.095</v>
      </c>
      <c r="D22" s="323">
        <v>0.099</v>
      </c>
      <c r="E22" s="323">
        <v>0.098</v>
      </c>
      <c r="F22" s="330"/>
      <c r="G22" s="324">
        <v>0.1</v>
      </c>
    </row>
    <row r="23" spans="1:7">
      <c r="A23" s="321" t="s">
        <v>241</v>
      </c>
      <c r="B23" s="322" t="s">
        <v>2900</v>
      </c>
      <c r="C23" s="323">
        <v>0.099</v>
      </c>
      <c r="D23" s="323">
        <v>0.1</v>
      </c>
      <c r="E23" s="323">
        <v>0.1</v>
      </c>
      <c r="F23" s="330"/>
      <c r="G23" s="324">
        <v>0.1</v>
      </c>
    </row>
    <row r="24" spans="1:7">
      <c r="A24" s="321" t="s">
        <v>241</v>
      </c>
      <c r="B24" s="322" t="s">
        <v>2910</v>
      </c>
      <c r="C24" s="323">
        <v>0.095</v>
      </c>
      <c r="D24" s="323">
        <v>0.1</v>
      </c>
      <c r="E24" s="323">
        <v>0.098</v>
      </c>
      <c r="F24" s="330"/>
      <c r="G24" s="324">
        <v>0.1</v>
      </c>
    </row>
    <row r="25" spans="1:7">
      <c r="A25" s="321" t="s">
        <v>241</v>
      </c>
      <c r="B25" s="322" t="s">
        <v>2920</v>
      </c>
      <c r="C25" s="323">
        <v>0.05</v>
      </c>
      <c r="D25" s="323">
        <v>0.096</v>
      </c>
      <c r="E25" s="323">
        <v>0.096</v>
      </c>
      <c r="F25" s="330"/>
      <c r="G25" s="324">
        <v>0.096</v>
      </c>
    </row>
    <row r="26" spans="1:7">
      <c r="A26" s="321" t="s">
        <v>241</v>
      </c>
      <c r="B26" s="322" t="s">
        <v>2930</v>
      </c>
      <c r="C26" s="323">
        <v>0.063</v>
      </c>
      <c r="D26" s="323">
        <v>0.099</v>
      </c>
      <c r="E26" s="323">
        <v>0.098</v>
      </c>
      <c r="F26" s="330"/>
      <c r="G26" s="324">
        <v>0.1</v>
      </c>
    </row>
    <row r="27" spans="1:7">
      <c r="A27" s="321" t="s">
        <v>241</v>
      </c>
      <c r="B27" s="322" t="s">
        <v>2940</v>
      </c>
      <c r="C27" s="323">
        <v>0.052</v>
      </c>
      <c r="D27" s="323">
        <v>0.095</v>
      </c>
      <c r="E27" s="323">
        <v>0.064</v>
      </c>
      <c r="F27" s="330"/>
      <c r="G27" s="324">
        <v>0.097</v>
      </c>
    </row>
    <row r="28" spans="1:7">
      <c r="A28" s="321" t="s">
        <v>241</v>
      </c>
      <c r="B28" s="322" t="s">
        <v>2950</v>
      </c>
      <c r="C28" s="330"/>
      <c r="D28" s="323">
        <v>0.063</v>
      </c>
      <c r="E28" s="323">
        <v>0.052</v>
      </c>
      <c r="F28" s="330"/>
      <c r="G28" s="324">
        <v>0.063</v>
      </c>
    </row>
    <row r="29" ht="15.15" spans="1:7">
      <c r="A29" s="325" t="s">
        <v>241</v>
      </c>
      <c r="B29" s="326" t="s">
        <v>2960</v>
      </c>
      <c r="C29" s="331"/>
      <c r="D29" s="327">
        <v>0.052</v>
      </c>
      <c r="E29" s="327">
        <v>0.07</v>
      </c>
      <c r="F29" s="331"/>
      <c r="G29" s="329">
        <v>0.071</v>
      </c>
    </row>
    <row r="30" spans="1:7">
      <c r="A30" s="332" t="s">
        <v>251</v>
      </c>
      <c r="B30" s="318" t="s">
        <v>2757</v>
      </c>
      <c r="C30" s="319">
        <v>0.066</v>
      </c>
      <c r="D30" s="319">
        <v>0.066</v>
      </c>
      <c r="E30" s="319">
        <v>0.057</v>
      </c>
      <c r="F30" s="319">
        <v>0.1</v>
      </c>
      <c r="G30" s="320">
        <v>0.068</v>
      </c>
    </row>
    <row r="31" spans="1:7">
      <c r="A31" s="333" t="s">
        <v>251</v>
      </c>
      <c r="B31" s="322" t="s">
        <v>2770</v>
      </c>
      <c r="C31" s="323">
        <v>0.055</v>
      </c>
      <c r="D31" s="323">
        <v>0.082</v>
      </c>
      <c r="E31" s="323">
        <v>0.064</v>
      </c>
      <c r="F31" s="323">
        <v>0.1</v>
      </c>
      <c r="G31" s="324">
        <v>0.095</v>
      </c>
    </row>
    <row r="32" spans="1:7">
      <c r="A32" s="333" t="s">
        <v>251</v>
      </c>
      <c r="B32" s="322" t="s">
        <v>2784</v>
      </c>
      <c r="C32" s="323">
        <v>0.082</v>
      </c>
      <c r="D32" s="323">
        <v>0.087</v>
      </c>
      <c r="E32" s="323">
        <v>0.095</v>
      </c>
      <c r="F32" s="323">
        <v>0.1</v>
      </c>
      <c r="G32" s="324">
        <v>0.096</v>
      </c>
    </row>
    <row r="33" spans="1:7">
      <c r="A33" s="333" t="s">
        <v>251</v>
      </c>
      <c r="B33" s="322" t="s">
        <v>2796</v>
      </c>
      <c r="C33" s="323">
        <v>0.099</v>
      </c>
      <c r="D33" s="323">
        <v>0.092</v>
      </c>
      <c r="E33" s="323">
        <v>0.087</v>
      </c>
      <c r="F33" s="323">
        <v>0.1</v>
      </c>
      <c r="G33" s="324">
        <v>0.097</v>
      </c>
    </row>
    <row r="34" spans="1:7">
      <c r="A34" s="333" t="s">
        <v>251</v>
      </c>
      <c r="B34" s="322" t="s">
        <v>2808</v>
      </c>
      <c r="C34" s="323">
        <v>0.084</v>
      </c>
      <c r="D34" s="323">
        <v>0.097</v>
      </c>
      <c r="E34" s="323">
        <v>0.071</v>
      </c>
      <c r="F34" s="323">
        <v>0.1</v>
      </c>
      <c r="G34" s="324">
        <v>0.098</v>
      </c>
    </row>
    <row r="35" spans="1:7">
      <c r="A35" s="333" t="s">
        <v>251</v>
      </c>
      <c r="B35" s="322" t="s">
        <v>2819</v>
      </c>
      <c r="C35" s="323">
        <v>0.083</v>
      </c>
      <c r="D35" s="323">
        <v>0.097</v>
      </c>
      <c r="E35" s="323">
        <v>0.061</v>
      </c>
      <c r="F35" s="323">
        <v>0.1</v>
      </c>
      <c r="G35" s="324">
        <v>0.099</v>
      </c>
    </row>
    <row r="36" spans="1:7">
      <c r="A36" s="333" t="s">
        <v>251</v>
      </c>
      <c r="B36" s="322" t="s">
        <v>2830</v>
      </c>
      <c r="C36" s="323">
        <v>0.097</v>
      </c>
      <c r="D36" s="323">
        <v>0.097</v>
      </c>
      <c r="E36" s="323">
        <v>0.078</v>
      </c>
      <c r="F36" s="323">
        <v>0.1</v>
      </c>
      <c r="G36" s="324">
        <v>0.099</v>
      </c>
    </row>
    <row r="37" spans="1:7">
      <c r="A37" s="333" t="s">
        <v>251</v>
      </c>
      <c r="B37" s="322" t="s">
        <v>2841</v>
      </c>
      <c r="C37" s="323">
        <v>0.097</v>
      </c>
      <c r="D37" s="323">
        <v>0.095</v>
      </c>
      <c r="E37" s="323">
        <v>0.078</v>
      </c>
      <c r="F37" s="323">
        <v>0.1</v>
      </c>
      <c r="G37" s="324">
        <v>0.097</v>
      </c>
    </row>
    <row r="38" spans="1:7">
      <c r="A38" s="333" t="s">
        <v>251</v>
      </c>
      <c r="B38" s="322" t="s">
        <v>2851</v>
      </c>
      <c r="C38" s="323">
        <v>0.097</v>
      </c>
      <c r="D38" s="323">
        <v>0.077</v>
      </c>
      <c r="E38" s="323">
        <v>0.07</v>
      </c>
      <c r="F38" s="323">
        <v>0.1</v>
      </c>
      <c r="G38" s="324">
        <v>0.077</v>
      </c>
    </row>
    <row r="39" spans="1:7">
      <c r="A39" s="333" t="s">
        <v>251</v>
      </c>
      <c r="B39" s="322" t="s">
        <v>2861</v>
      </c>
      <c r="C39" s="323">
        <v>0.095</v>
      </c>
      <c r="D39" s="323">
        <v>0.077</v>
      </c>
      <c r="E39" s="323">
        <v>0.066</v>
      </c>
      <c r="F39" s="323">
        <v>0.1</v>
      </c>
      <c r="G39" s="324">
        <v>0.086</v>
      </c>
    </row>
    <row r="40" spans="1:7">
      <c r="A40" s="333" t="s">
        <v>251</v>
      </c>
      <c r="B40" s="322" t="s">
        <v>2871</v>
      </c>
      <c r="C40" s="323">
        <v>0.077</v>
      </c>
      <c r="D40" s="323">
        <v>0.078</v>
      </c>
      <c r="E40" s="323">
        <v>0.082</v>
      </c>
      <c r="F40" s="334"/>
      <c r="G40" s="324">
        <v>0.078</v>
      </c>
    </row>
    <row r="41" spans="1:7">
      <c r="A41" s="333" t="s">
        <v>251</v>
      </c>
      <c r="B41" s="322" t="s">
        <v>2881</v>
      </c>
      <c r="C41" s="323">
        <v>0.078</v>
      </c>
      <c r="D41" s="323">
        <v>0.078</v>
      </c>
      <c r="E41" s="323">
        <v>0.082</v>
      </c>
      <c r="F41" s="334"/>
      <c r="G41" s="324">
        <v>0.086</v>
      </c>
    </row>
    <row r="42" spans="1:7">
      <c r="A42" s="333" t="s">
        <v>251</v>
      </c>
      <c r="B42" s="322" t="s">
        <v>2891</v>
      </c>
      <c r="C42" s="323">
        <v>0.078</v>
      </c>
      <c r="D42" s="323">
        <v>0.096</v>
      </c>
      <c r="E42" s="323">
        <v>0.072</v>
      </c>
      <c r="F42" s="334"/>
      <c r="G42" s="324">
        <v>0.098</v>
      </c>
    </row>
    <row r="43" spans="1:7">
      <c r="A43" s="333" t="s">
        <v>251</v>
      </c>
      <c r="B43" s="322" t="s">
        <v>2901</v>
      </c>
      <c r="C43" s="323">
        <v>0.078</v>
      </c>
      <c r="D43" s="323">
        <v>0.099</v>
      </c>
      <c r="E43" s="323">
        <v>0.096</v>
      </c>
      <c r="F43" s="334"/>
      <c r="G43" s="324">
        <v>0.1</v>
      </c>
    </row>
    <row r="44" spans="1:7">
      <c r="A44" s="333" t="s">
        <v>251</v>
      </c>
      <c r="B44" s="322" t="s">
        <v>2911</v>
      </c>
      <c r="C44" s="323">
        <v>0.096</v>
      </c>
      <c r="D44" s="323">
        <v>0.1</v>
      </c>
      <c r="E44" s="323">
        <v>0.098</v>
      </c>
      <c r="F44" s="334"/>
      <c r="G44" s="324">
        <v>0.1</v>
      </c>
    </row>
    <row r="45" spans="1:7">
      <c r="A45" s="333" t="s">
        <v>251</v>
      </c>
      <c r="B45" s="322" t="s">
        <v>2921</v>
      </c>
      <c r="C45" s="323">
        <v>0.099</v>
      </c>
      <c r="D45" s="323">
        <v>0.098</v>
      </c>
      <c r="E45" s="323">
        <v>0.095</v>
      </c>
      <c r="F45" s="334"/>
      <c r="G45" s="324">
        <v>0.098</v>
      </c>
    </row>
    <row r="46" spans="1:7">
      <c r="A46" s="333" t="s">
        <v>251</v>
      </c>
      <c r="B46" s="322" t="s">
        <v>2931</v>
      </c>
      <c r="C46" s="323">
        <v>0.1</v>
      </c>
      <c r="D46" s="323">
        <v>0.099</v>
      </c>
      <c r="E46" s="323">
        <v>0.096</v>
      </c>
      <c r="F46" s="334"/>
      <c r="G46" s="324">
        <v>0.1</v>
      </c>
    </row>
    <row r="47" spans="1:7">
      <c r="A47" s="333" t="s">
        <v>251</v>
      </c>
      <c r="B47" s="322" t="s">
        <v>2941</v>
      </c>
      <c r="C47" s="323">
        <v>0.098</v>
      </c>
      <c r="D47" s="323">
        <v>0.087</v>
      </c>
      <c r="E47" s="323">
        <v>0.059</v>
      </c>
      <c r="F47" s="334"/>
      <c r="G47" s="324">
        <v>0.096</v>
      </c>
    </row>
    <row r="48" spans="1:7">
      <c r="A48" s="333" t="s">
        <v>251</v>
      </c>
      <c r="B48" s="322" t="s">
        <v>2951</v>
      </c>
      <c r="C48" s="323">
        <v>0.099</v>
      </c>
      <c r="D48" s="323">
        <v>0.098</v>
      </c>
      <c r="E48" s="323">
        <v>0.095</v>
      </c>
      <c r="F48" s="334"/>
      <c r="G48" s="324">
        <v>0.098</v>
      </c>
    </row>
    <row r="49" spans="1:7">
      <c r="A49" s="333" t="s">
        <v>251</v>
      </c>
      <c r="B49" s="322" t="s">
        <v>2961</v>
      </c>
      <c r="C49" s="323">
        <v>0.088</v>
      </c>
      <c r="D49" s="323">
        <v>0.099</v>
      </c>
      <c r="E49" s="323">
        <v>0.07</v>
      </c>
      <c r="F49" s="334"/>
      <c r="G49" s="324">
        <v>0.1</v>
      </c>
    </row>
    <row r="50" spans="1:7">
      <c r="A50" s="333" t="s">
        <v>251</v>
      </c>
      <c r="B50" s="322" t="s">
        <v>2969</v>
      </c>
      <c r="C50" s="323">
        <v>0.098</v>
      </c>
      <c r="D50" s="323">
        <v>0.073</v>
      </c>
      <c r="E50" s="323">
        <v>0.071</v>
      </c>
      <c r="F50" s="334"/>
      <c r="G50" s="324">
        <v>0.073</v>
      </c>
    </row>
    <row r="51" spans="1:7">
      <c r="A51" s="333" t="s">
        <v>251</v>
      </c>
      <c r="B51" s="322" t="s">
        <v>2977</v>
      </c>
      <c r="C51" s="323">
        <v>0.099</v>
      </c>
      <c r="D51" s="323">
        <v>0.085</v>
      </c>
      <c r="E51" s="323">
        <v>0.063</v>
      </c>
      <c r="F51" s="334"/>
      <c r="G51" s="324">
        <v>0.096</v>
      </c>
    </row>
    <row r="52" spans="1:7">
      <c r="A52" s="333" t="s">
        <v>251</v>
      </c>
      <c r="B52" s="322" t="s">
        <v>2985</v>
      </c>
      <c r="C52" s="323">
        <v>0.074</v>
      </c>
      <c r="D52" s="323">
        <v>0.096</v>
      </c>
      <c r="E52" s="323">
        <v>0.05</v>
      </c>
      <c r="F52" s="334"/>
      <c r="G52" s="324">
        <v>0.098</v>
      </c>
    </row>
    <row r="53" spans="1:7">
      <c r="A53" s="333" t="s">
        <v>251</v>
      </c>
      <c r="B53" s="322" t="s">
        <v>2993</v>
      </c>
      <c r="C53" s="323">
        <v>0.086</v>
      </c>
      <c r="D53" s="334"/>
      <c r="E53" s="323">
        <v>0.092</v>
      </c>
      <c r="F53" s="334"/>
      <c r="G53" s="335"/>
    </row>
    <row r="54" ht="15.15" spans="1:7">
      <c r="A54" s="336" t="s">
        <v>251</v>
      </c>
      <c r="B54" s="326" t="s">
        <v>3001</v>
      </c>
      <c r="C54" s="327">
        <v>0.096</v>
      </c>
      <c r="D54" s="328"/>
      <c r="E54" s="337"/>
      <c r="F54" s="328"/>
      <c r="G54" s="338"/>
    </row>
    <row r="55" spans="1:7">
      <c r="A55" s="332" t="s">
        <v>259</v>
      </c>
      <c r="B55" s="318" t="s">
        <v>2758</v>
      </c>
      <c r="C55" s="319">
        <v>0.096</v>
      </c>
      <c r="D55" s="319">
        <v>0.084</v>
      </c>
      <c r="E55" s="319">
        <v>0.092</v>
      </c>
      <c r="F55" s="319">
        <v>0.1</v>
      </c>
      <c r="G55" s="320">
        <v>0.095</v>
      </c>
    </row>
    <row r="56" spans="1:7">
      <c r="A56" s="333" t="s">
        <v>259</v>
      </c>
      <c r="B56" s="322" t="s">
        <v>2771</v>
      </c>
      <c r="C56" s="323">
        <v>0.084</v>
      </c>
      <c r="D56" s="323">
        <v>0.092</v>
      </c>
      <c r="E56" s="323">
        <v>0.095</v>
      </c>
      <c r="F56" s="323">
        <v>0.092</v>
      </c>
      <c r="G56" s="324">
        <v>0.096</v>
      </c>
    </row>
    <row r="57" spans="1:7">
      <c r="A57" s="333" t="s">
        <v>259</v>
      </c>
      <c r="B57" s="322" t="s">
        <v>2785</v>
      </c>
      <c r="C57" s="323">
        <v>0.099</v>
      </c>
      <c r="D57" s="323">
        <v>0.096</v>
      </c>
      <c r="E57" s="323">
        <v>0.092</v>
      </c>
      <c r="F57" s="323">
        <v>0.1</v>
      </c>
      <c r="G57" s="324">
        <v>0.098</v>
      </c>
    </row>
    <row r="58" spans="1:7">
      <c r="A58" s="333" t="s">
        <v>259</v>
      </c>
      <c r="B58" s="322" t="s">
        <v>2797</v>
      </c>
      <c r="C58" s="323">
        <v>0.098</v>
      </c>
      <c r="D58" s="323">
        <v>0.095</v>
      </c>
      <c r="E58" s="323">
        <v>0.057</v>
      </c>
      <c r="F58" s="323">
        <v>0.1</v>
      </c>
      <c r="G58" s="324">
        <v>0.096</v>
      </c>
    </row>
    <row r="59" spans="1:7">
      <c r="A59" s="333" t="s">
        <v>259</v>
      </c>
      <c r="B59" s="322" t="s">
        <v>2809</v>
      </c>
      <c r="C59" s="323">
        <v>0.095</v>
      </c>
      <c r="D59" s="323">
        <v>0.1</v>
      </c>
      <c r="E59" s="323">
        <v>0.075</v>
      </c>
      <c r="F59" s="323">
        <v>0.1</v>
      </c>
      <c r="G59" s="324">
        <v>0.1</v>
      </c>
    </row>
    <row r="60" spans="1:7">
      <c r="A60" s="333" t="s">
        <v>259</v>
      </c>
      <c r="B60" s="322" t="s">
        <v>2820</v>
      </c>
      <c r="C60" s="323">
        <v>0.1</v>
      </c>
      <c r="D60" s="323">
        <v>0.097</v>
      </c>
      <c r="E60" s="323">
        <v>0.1</v>
      </c>
      <c r="F60" s="323">
        <v>0.1</v>
      </c>
      <c r="G60" s="324">
        <v>0.097</v>
      </c>
    </row>
    <row r="61" spans="1:7">
      <c r="A61" s="333" t="s">
        <v>259</v>
      </c>
      <c r="B61" s="322" t="s">
        <v>2831</v>
      </c>
      <c r="C61" s="323">
        <v>0.097</v>
      </c>
      <c r="D61" s="323">
        <v>0.1</v>
      </c>
      <c r="E61" s="323">
        <v>0.093</v>
      </c>
      <c r="F61" s="323">
        <v>0.1</v>
      </c>
      <c r="G61" s="324">
        <v>0.1</v>
      </c>
    </row>
    <row r="62" spans="1:7">
      <c r="A62" s="333" t="s">
        <v>259</v>
      </c>
      <c r="B62" s="322" t="s">
        <v>2842</v>
      </c>
      <c r="C62" s="323">
        <v>0.1</v>
      </c>
      <c r="D62" s="323">
        <v>0.097</v>
      </c>
      <c r="E62" s="323">
        <v>0.089</v>
      </c>
      <c r="F62" s="323">
        <v>0.1</v>
      </c>
      <c r="G62" s="324">
        <v>0.098</v>
      </c>
    </row>
    <row r="63" spans="1:7">
      <c r="A63" s="333" t="s">
        <v>259</v>
      </c>
      <c r="B63" s="322" t="s">
        <v>2852</v>
      </c>
      <c r="C63" s="323">
        <v>0.097</v>
      </c>
      <c r="D63" s="323">
        <v>0.097</v>
      </c>
      <c r="E63" s="323">
        <v>0.099</v>
      </c>
      <c r="F63" s="323">
        <v>0.1</v>
      </c>
      <c r="G63" s="324">
        <v>0.097</v>
      </c>
    </row>
    <row r="64" spans="1:7">
      <c r="A64" s="333" t="s">
        <v>259</v>
      </c>
      <c r="B64" s="322" t="s">
        <v>2862</v>
      </c>
      <c r="C64" s="323">
        <v>0.097</v>
      </c>
      <c r="D64" s="323">
        <v>0.074</v>
      </c>
      <c r="E64" s="323">
        <v>0.078</v>
      </c>
      <c r="F64" s="323">
        <v>0.1</v>
      </c>
      <c r="G64" s="324">
        <v>0.089</v>
      </c>
    </row>
    <row r="65" spans="1:7">
      <c r="A65" s="333" t="s">
        <v>259</v>
      </c>
      <c r="B65" s="322" t="s">
        <v>2872</v>
      </c>
      <c r="C65" s="323">
        <v>0.073</v>
      </c>
      <c r="D65" s="323">
        <v>0.098</v>
      </c>
      <c r="E65" s="323">
        <v>0.095</v>
      </c>
      <c r="F65" s="323">
        <v>0.1</v>
      </c>
      <c r="G65" s="324">
        <v>0.099</v>
      </c>
    </row>
    <row r="66" spans="1:7">
      <c r="A66" s="333" t="s">
        <v>259</v>
      </c>
      <c r="B66" s="322" t="s">
        <v>2882</v>
      </c>
      <c r="C66" s="323">
        <v>0.098</v>
      </c>
      <c r="D66" s="323">
        <v>0.095</v>
      </c>
      <c r="E66" s="323">
        <v>0.05</v>
      </c>
      <c r="F66" s="323">
        <v>0.1</v>
      </c>
      <c r="G66" s="324">
        <v>0.097</v>
      </c>
    </row>
    <row r="67" spans="1:7">
      <c r="A67" s="333" t="s">
        <v>259</v>
      </c>
      <c r="B67" s="322" t="s">
        <v>2892</v>
      </c>
      <c r="C67" s="323">
        <v>0.095</v>
      </c>
      <c r="D67" s="323">
        <v>0.097</v>
      </c>
      <c r="E67" s="323">
        <v>0.097</v>
      </c>
      <c r="F67" s="323">
        <v>0.1</v>
      </c>
      <c r="G67" s="324">
        <v>0.099</v>
      </c>
    </row>
    <row r="68" spans="1:7">
      <c r="A68" s="333" t="s">
        <v>259</v>
      </c>
      <c r="B68" s="322" t="s">
        <v>2902</v>
      </c>
      <c r="C68" s="323">
        <v>0.097</v>
      </c>
      <c r="D68" s="323">
        <v>0.068</v>
      </c>
      <c r="E68" s="323">
        <v>0.066</v>
      </c>
      <c r="F68" s="323">
        <v>0.1</v>
      </c>
      <c r="G68" s="324">
        <v>0.084</v>
      </c>
    </row>
    <row r="69" spans="1:7">
      <c r="A69" s="333" t="s">
        <v>259</v>
      </c>
      <c r="B69" s="322" t="s">
        <v>2912</v>
      </c>
      <c r="C69" s="323">
        <v>0.068</v>
      </c>
      <c r="D69" s="323">
        <v>0.098</v>
      </c>
      <c r="E69" s="323">
        <v>0.095</v>
      </c>
      <c r="F69" s="323">
        <v>0.1</v>
      </c>
      <c r="G69" s="324">
        <v>0.1</v>
      </c>
    </row>
    <row r="70" spans="1:7">
      <c r="A70" s="333" t="s">
        <v>259</v>
      </c>
      <c r="B70" s="322" t="s">
        <v>2922</v>
      </c>
      <c r="C70" s="323">
        <v>0.098</v>
      </c>
      <c r="D70" s="323">
        <v>0.089</v>
      </c>
      <c r="E70" s="323">
        <v>0.059</v>
      </c>
      <c r="F70" s="323">
        <v>0.1</v>
      </c>
      <c r="G70" s="324">
        <v>0.096</v>
      </c>
    </row>
    <row r="71" spans="1:7">
      <c r="A71" s="333" t="s">
        <v>259</v>
      </c>
      <c r="B71" s="322" t="s">
        <v>2932</v>
      </c>
      <c r="C71" s="323">
        <v>0.089</v>
      </c>
      <c r="D71" s="323">
        <v>0.099</v>
      </c>
      <c r="E71" s="323">
        <v>0.096</v>
      </c>
      <c r="F71" s="323">
        <v>0.1</v>
      </c>
      <c r="G71" s="324">
        <v>0.1</v>
      </c>
    </row>
    <row r="72" spans="1:7">
      <c r="A72" s="333" t="s">
        <v>259</v>
      </c>
      <c r="B72" s="322" t="s">
        <v>2942</v>
      </c>
      <c r="C72" s="323">
        <v>0.099</v>
      </c>
      <c r="D72" s="323">
        <v>0.1</v>
      </c>
      <c r="E72" s="323">
        <v>0.07</v>
      </c>
      <c r="F72" s="334"/>
      <c r="G72" s="324">
        <v>0.1</v>
      </c>
    </row>
    <row r="73" spans="1:7">
      <c r="A73" s="333" t="s">
        <v>259</v>
      </c>
      <c r="B73" s="322" t="s">
        <v>2952</v>
      </c>
      <c r="C73" s="323">
        <v>0.1</v>
      </c>
      <c r="D73" s="323">
        <v>0.1</v>
      </c>
      <c r="E73" s="323">
        <v>0.096</v>
      </c>
      <c r="F73" s="334"/>
      <c r="G73" s="324">
        <v>0.1</v>
      </c>
    </row>
    <row r="74" spans="1:7">
      <c r="A74" s="333" t="s">
        <v>259</v>
      </c>
      <c r="B74" s="322" t="s">
        <v>2962</v>
      </c>
      <c r="C74" s="323">
        <v>0.1</v>
      </c>
      <c r="D74" s="323">
        <v>0.1</v>
      </c>
      <c r="E74" s="323">
        <v>0.098</v>
      </c>
      <c r="F74" s="334"/>
      <c r="G74" s="324">
        <v>0.1</v>
      </c>
    </row>
    <row r="75" spans="1:7">
      <c r="A75" s="333" t="s">
        <v>259</v>
      </c>
      <c r="B75" s="322" t="s">
        <v>2970</v>
      </c>
      <c r="C75" s="323">
        <v>0.1</v>
      </c>
      <c r="D75" s="323">
        <v>0.099</v>
      </c>
      <c r="E75" s="323">
        <v>0.098</v>
      </c>
      <c r="F75" s="334"/>
      <c r="G75" s="324">
        <v>0.1</v>
      </c>
    </row>
    <row r="76" spans="1:7">
      <c r="A76" s="333" t="s">
        <v>259</v>
      </c>
      <c r="B76" s="322" t="s">
        <v>2978</v>
      </c>
      <c r="C76" s="323">
        <v>0.099</v>
      </c>
      <c r="D76" s="323">
        <v>0.1</v>
      </c>
      <c r="E76" s="323">
        <v>0.097</v>
      </c>
      <c r="F76" s="334"/>
      <c r="G76" s="324">
        <v>0.1</v>
      </c>
    </row>
    <row r="77" spans="1:7">
      <c r="A77" s="333" t="s">
        <v>259</v>
      </c>
      <c r="B77" s="322" t="s">
        <v>2986</v>
      </c>
      <c r="C77" s="323">
        <v>0.1</v>
      </c>
      <c r="D77" s="323">
        <v>0.1</v>
      </c>
      <c r="E77" s="323">
        <v>0.096</v>
      </c>
      <c r="F77" s="334"/>
      <c r="G77" s="324">
        <v>0.1</v>
      </c>
    </row>
    <row r="78" spans="1:7">
      <c r="A78" s="333" t="s">
        <v>259</v>
      </c>
      <c r="B78" s="322" t="s">
        <v>2994</v>
      </c>
      <c r="C78" s="323">
        <v>0.1</v>
      </c>
      <c r="D78" s="323">
        <v>0.085</v>
      </c>
      <c r="E78" s="323">
        <v>0.096</v>
      </c>
      <c r="F78" s="334"/>
      <c r="G78" s="324">
        <v>0.096</v>
      </c>
    </row>
    <row r="79" spans="1:7">
      <c r="A79" s="333" t="s">
        <v>259</v>
      </c>
      <c r="B79" s="322" t="s">
        <v>3002</v>
      </c>
      <c r="C79" s="323">
        <v>0.05</v>
      </c>
      <c r="D79" s="323">
        <v>0.096</v>
      </c>
      <c r="E79" s="323">
        <v>0.095</v>
      </c>
      <c r="F79" s="334"/>
      <c r="G79" s="324">
        <v>0.098</v>
      </c>
    </row>
    <row r="80" spans="1:7">
      <c r="A80" s="333" t="s">
        <v>259</v>
      </c>
      <c r="B80" s="322" t="s">
        <v>3009</v>
      </c>
      <c r="C80" s="323">
        <v>0.086</v>
      </c>
      <c r="D80" s="339"/>
      <c r="E80" s="323">
        <v>0.1</v>
      </c>
      <c r="F80" s="334"/>
      <c r="G80" s="335"/>
    </row>
    <row r="81" spans="1:7">
      <c r="A81" s="333" t="s">
        <v>259</v>
      </c>
      <c r="B81" s="322" t="s">
        <v>3016</v>
      </c>
      <c r="C81" s="323">
        <v>0.096</v>
      </c>
      <c r="D81" s="334"/>
      <c r="E81" s="323">
        <v>0.098</v>
      </c>
      <c r="F81" s="334"/>
      <c r="G81" s="335"/>
    </row>
    <row r="82" spans="1:7">
      <c r="A82" s="333" t="s">
        <v>259</v>
      </c>
      <c r="B82" s="322" t="s">
        <v>3023</v>
      </c>
      <c r="C82" s="339"/>
      <c r="D82" s="334"/>
      <c r="E82" s="323">
        <v>0.077</v>
      </c>
      <c r="F82" s="334"/>
      <c r="G82" s="335"/>
    </row>
    <row r="83" spans="1:7">
      <c r="A83" s="333" t="s">
        <v>259</v>
      </c>
      <c r="B83" s="322" t="s">
        <v>3030</v>
      </c>
      <c r="C83" s="334"/>
      <c r="D83" s="334"/>
      <c r="E83" s="334"/>
      <c r="F83" s="323">
        <v>0.1</v>
      </c>
      <c r="G83" s="340"/>
    </row>
    <row r="84" spans="1:7">
      <c r="A84" s="333" t="s">
        <v>259</v>
      </c>
      <c r="B84" s="322" t="s">
        <v>3037</v>
      </c>
      <c r="C84" s="334"/>
      <c r="D84" s="334"/>
      <c r="E84" s="334"/>
      <c r="F84" s="323">
        <v>0.1</v>
      </c>
      <c r="G84" s="340"/>
    </row>
    <row r="85" spans="1:7">
      <c r="A85" s="333" t="s">
        <v>259</v>
      </c>
      <c r="B85" s="322" t="s">
        <v>3044</v>
      </c>
      <c r="C85" s="334"/>
      <c r="D85" s="334"/>
      <c r="E85" s="334"/>
      <c r="F85" s="323">
        <v>0.1</v>
      </c>
      <c r="G85" s="340"/>
    </row>
    <row r="86" ht="15.15" spans="1:7">
      <c r="A86" s="336" t="s">
        <v>259</v>
      </c>
      <c r="B86" s="326" t="s">
        <v>3051</v>
      </c>
      <c r="C86" s="327">
        <v>0.098</v>
      </c>
      <c r="D86" s="327">
        <v>0.098</v>
      </c>
      <c r="E86" s="327">
        <v>0.096</v>
      </c>
      <c r="F86" s="337"/>
      <c r="G86" s="329">
        <v>0.1</v>
      </c>
    </row>
    <row r="87" spans="1:7">
      <c r="A87" s="332" t="s">
        <v>267</v>
      </c>
      <c r="B87" s="318" t="s">
        <v>2759</v>
      </c>
      <c r="C87" s="319">
        <v>0.1</v>
      </c>
      <c r="D87" s="319">
        <v>0.1</v>
      </c>
      <c r="E87" s="319">
        <v>0.098</v>
      </c>
      <c r="F87" s="319">
        <v>0.1</v>
      </c>
      <c r="G87" s="320">
        <v>0.1</v>
      </c>
    </row>
    <row r="88" spans="1:7">
      <c r="A88" s="333" t="s">
        <v>267</v>
      </c>
      <c r="B88" s="322" t="s">
        <v>2772</v>
      </c>
      <c r="C88" s="323">
        <v>0.091</v>
      </c>
      <c r="D88" s="323">
        <v>0.092</v>
      </c>
      <c r="E88" s="323">
        <v>0.1</v>
      </c>
      <c r="F88" s="323">
        <v>0.1</v>
      </c>
      <c r="G88" s="324">
        <v>0.096</v>
      </c>
    </row>
    <row r="89" spans="1:7">
      <c r="A89" s="333" t="s">
        <v>267</v>
      </c>
      <c r="B89" s="322" t="s">
        <v>2786</v>
      </c>
      <c r="C89" s="323">
        <v>0.1</v>
      </c>
      <c r="D89" s="323">
        <v>0.1</v>
      </c>
      <c r="E89" s="323">
        <v>0.067</v>
      </c>
      <c r="F89" s="323">
        <v>0.093</v>
      </c>
      <c r="G89" s="324">
        <v>0.1</v>
      </c>
    </row>
    <row r="90" spans="1:7">
      <c r="A90" s="333" t="s">
        <v>267</v>
      </c>
      <c r="B90" s="322" t="s">
        <v>2798</v>
      </c>
      <c r="C90" s="323">
        <v>0.096</v>
      </c>
      <c r="D90" s="323">
        <v>0.096</v>
      </c>
      <c r="E90" s="323">
        <v>0.1</v>
      </c>
      <c r="F90" s="323">
        <v>0.1</v>
      </c>
      <c r="G90" s="324">
        <v>0.098</v>
      </c>
    </row>
    <row r="91" spans="1:7">
      <c r="A91" s="333" t="s">
        <v>267</v>
      </c>
      <c r="B91" s="322" t="s">
        <v>2810</v>
      </c>
      <c r="C91" s="323">
        <v>0.077</v>
      </c>
      <c r="D91" s="323">
        <v>0.077</v>
      </c>
      <c r="E91" s="323">
        <v>0.096</v>
      </c>
      <c r="F91" s="323">
        <v>0.1</v>
      </c>
      <c r="G91" s="324">
        <v>0.077</v>
      </c>
    </row>
    <row r="92" spans="1:7">
      <c r="A92" s="333" t="s">
        <v>267</v>
      </c>
      <c r="B92" s="322" t="s">
        <v>2821</v>
      </c>
      <c r="C92" s="323">
        <v>0.1</v>
      </c>
      <c r="D92" s="323">
        <v>0.1</v>
      </c>
      <c r="E92" s="323">
        <v>0.092</v>
      </c>
      <c r="F92" s="323">
        <v>0.1</v>
      </c>
      <c r="G92" s="324">
        <v>0.1</v>
      </c>
    </row>
    <row r="93" spans="1:7">
      <c r="A93" s="333" t="s">
        <v>267</v>
      </c>
      <c r="B93" s="322" t="s">
        <v>2832</v>
      </c>
      <c r="C93" s="323">
        <v>0.098</v>
      </c>
      <c r="D93" s="323">
        <v>0.098</v>
      </c>
      <c r="E93" s="323">
        <v>0.096</v>
      </c>
      <c r="F93" s="323">
        <v>0.1</v>
      </c>
      <c r="G93" s="324">
        <v>0.099</v>
      </c>
    </row>
    <row r="94" spans="1:7">
      <c r="A94" s="333" t="s">
        <v>267</v>
      </c>
      <c r="B94" s="322" t="s">
        <v>2843</v>
      </c>
      <c r="C94" s="323">
        <v>0.088</v>
      </c>
      <c r="D94" s="323">
        <v>0.088</v>
      </c>
      <c r="E94" s="323">
        <v>0.096</v>
      </c>
      <c r="F94" s="323">
        <v>0.1</v>
      </c>
      <c r="G94" s="324">
        <v>0.088</v>
      </c>
    </row>
    <row r="95" spans="1:7">
      <c r="A95" s="333" t="s">
        <v>267</v>
      </c>
      <c r="B95" s="322" t="s">
        <v>2853</v>
      </c>
      <c r="C95" s="323">
        <v>0.096</v>
      </c>
      <c r="D95" s="323">
        <v>0.096</v>
      </c>
      <c r="E95" s="323">
        <v>0.1</v>
      </c>
      <c r="F95" s="323">
        <v>0.1</v>
      </c>
      <c r="G95" s="324">
        <v>0.098</v>
      </c>
    </row>
    <row r="96" spans="1:7">
      <c r="A96" s="333" t="s">
        <v>267</v>
      </c>
      <c r="B96" s="322" t="s">
        <v>2863</v>
      </c>
      <c r="C96" s="323">
        <v>0.097</v>
      </c>
      <c r="D96" s="323">
        <v>0.097</v>
      </c>
      <c r="E96" s="323">
        <v>0.1</v>
      </c>
      <c r="F96" s="323">
        <v>0.1</v>
      </c>
      <c r="G96" s="324">
        <v>0.098</v>
      </c>
    </row>
    <row r="97" spans="1:7">
      <c r="A97" s="333" t="s">
        <v>267</v>
      </c>
      <c r="B97" s="322" t="s">
        <v>2873</v>
      </c>
      <c r="C97" s="323">
        <v>0.096</v>
      </c>
      <c r="D97" s="323">
        <v>0.096</v>
      </c>
      <c r="E97" s="323">
        <v>0.099</v>
      </c>
      <c r="F97" s="323">
        <v>0.1</v>
      </c>
      <c r="G97" s="324">
        <v>0.098</v>
      </c>
    </row>
    <row r="98" spans="1:7">
      <c r="A98" s="333" t="s">
        <v>267</v>
      </c>
      <c r="B98" s="322" t="s">
        <v>2883</v>
      </c>
      <c r="C98" s="323">
        <v>0.098</v>
      </c>
      <c r="D98" s="323">
        <v>0.098</v>
      </c>
      <c r="E98" s="323">
        <v>0.1</v>
      </c>
      <c r="F98" s="323">
        <v>0.1</v>
      </c>
      <c r="G98" s="324">
        <v>0.099</v>
      </c>
    </row>
    <row r="99" spans="1:7">
      <c r="A99" s="333" t="s">
        <v>267</v>
      </c>
      <c r="B99" s="322" t="s">
        <v>2893</v>
      </c>
      <c r="C99" s="323">
        <v>0.096</v>
      </c>
      <c r="D99" s="323">
        <v>0.096</v>
      </c>
      <c r="E99" s="323">
        <v>0.1</v>
      </c>
      <c r="F99" s="323">
        <v>0.1</v>
      </c>
      <c r="G99" s="324">
        <v>0.097</v>
      </c>
    </row>
    <row r="100" spans="1:7">
      <c r="A100" s="333" t="s">
        <v>267</v>
      </c>
      <c r="B100" s="322" t="s">
        <v>2903</v>
      </c>
      <c r="C100" s="323">
        <v>0.1</v>
      </c>
      <c r="D100" s="323">
        <v>0.1</v>
      </c>
      <c r="E100" s="323">
        <v>0.097</v>
      </c>
      <c r="F100" s="323">
        <v>0.098</v>
      </c>
      <c r="G100" s="324">
        <v>0.1</v>
      </c>
    </row>
    <row r="101" spans="1:7">
      <c r="A101" s="333" t="s">
        <v>267</v>
      </c>
      <c r="B101" s="322" t="s">
        <v>2913</v>
      </c>
      <c r="C101" s="323">
        <v>0.1</v>
      </c>
      <c r="D101" s="323">
        <v>0.1</v>
      </c>
      <c r="E101" s="323">
        <v>0.095</v>
      </c>
      <c r="F101" s="323">
        <v>0.1</v>
      </c>
      <c r="G101" s="324">
        <v>0.1</v>
      </c>
    </row>
    <row r="102" spans="1:7">
      <c r="A102" s="333" t="s">
        <v>267</v>
      </c>
      <c r="B102" s="322" t="s">
        <v>2923</v>
      </c>
      <c r="C102" s="323">
        <v>0.1</v>
      </c>
      <c r="D102" s="323">
        <v>0.1</v>
      </c>
      <c r="E102" s="323">
        <v>0.099</v>
      </c>
      <c r="F102" s="323">
        <v>0.097</v>
      </c>
      <c r="G102" s="324">
        <v>0.1</v>
      </c>
    </row>
    <row r="103" spans="1:7">
      <c r="A103" s="333" t="s">
        <v>267</v>
      </c>
      <c r="B103" s="322" t="s">
        <v>2933</v>
      </c>
      <c r="C103" s="323">
        <v>0.1</v>
      </c>
      <c r="D103" s="323">
        <v>0.1</v>
      </c>
      <c r="E103" s="323">
        <v>0.098</v>
      </c>
      <c r="F103" s="323">
        <v>0.1</v>
      </c>
      <c r="G103" s="324">
        <v>0.1</v>
      </c>
    </row>
    <row r="104" spans="1:7">
      <c r="A104" s="333" t="s">
        <v>267</v>
      </c>
      <c r="B104" s="322" t="s">
        <v>2943</v>
      </c>
      <c r="C104" s="323">
        <v>0.1</v>
      </c>
      <c r="D104" s="323">
        <v>0.1</v>
      </c>
      <c r="E104" s="323">
        <v>0.098</v>
      </c>
      <c r="F104" s="323">
        <v>0.1</v>
      </c>
      <c r="G104" s="324">
        <v>0.1</v>
      </c>
    </row>
    <row r="105" spans="1:7">
      <c r="A105" s="333" t="s">
        <v>267</v>
      </c>
      <c r="B105" s="322" t="s">
        <v>2953</v>
      </c>
      <c r="C105" s="323">
        <v>0.098</v>
      </c>
      <c r="D105" s="323">
        <v>0.098</v>
      </c>
      <c r="E105" s="323">
        <v>0.098</v>
      </c>
      <c r="F105" s="323">
        <v>0.1</v>
      </c>
      <c r="G105" s="324">
        <v>0.099</v>
      </c>
    </row>
    <row r="106" spans="1:7">
      <c r="A106" s="333" t="s">
        <v>267</v>
      </c>
      <c r="B106" s="322" t="s">
        <v>500</v>
      </c>
      <c r="C106" s="323">
        <v>0.097</v>
      </c>
      <c r="D106" s="323">
        <v>0.097</v>
      </c>
      <c r="E106" s="323">
        <v>0.097</v>
      </c>
      <c r="F106" s="323">
        <v>0.1</v>
      </c>
      <c r="G106" s="324">
        <v>0.099</v>
      </c>
    </row>
    <row r="107" spans="1:7">
      <c r="A107" s="333" t="s">
        <v>267</v>
      </c>
      <c r="B107" s="322" t="s">
        <v>2971</v>
      </c>
      <c r="C107" s="323">
        <v>0.1</v>
      </c>
      <c r="D107" s="323">
        <v>0.1</v>
      </c>
      <c r="E107" s="323">
        <v>0.086</v>
      </c>
      <c r="F107" s="323">
        <v>0.09</v>
      </c>
      <c r="G107" s="324">
        <v>0.1</v>
      </c>
    </row>
    <row r="108" spans="1:7">
      <c r="A108" s="333" t="s">
        <v>267</v>
      </c>
      <c r="B108" s="322" t="s">
        <v>2979</v>
      </c>
      <c r="C108" s="323">
        <v>0.1</v>
      </c>
      <c r="D108" s="323">
        <v>0.1</v>
      </c>
      <c r="E108" s="323">
        <v>0.096</v>
      </c>
      <c r="F108" s="334"/>
      <c r="G108" s="324">
        <v>0.1</v>
      </c>
    </row>
    <row r="109" spans="1:7">
      <c r="A109" s="333" t="s">
        <v>267</v>
      </c>
      <c r="B109" s="322" t="s">
        <v>2987</v>
      </c>
      <c r="C109" s="323">
        <v>0.1</v>
      </c>
      <c r="D109" s="323">
        <v>0.1</v>
      </c>
      <c r="E109" s="323">
        <v>0.1</v>
      </c>
      <c r="F109" s="334"/>
      <c r="G109" s="324">
        <v>0.1</v>
      </c>
    </row>
    <row r="110" spans="1:7">
      <c r="A110" s="333" t="s">
        <v>267</v>
      </c>
      <c r="B110" s="322" t="s">
        <v>2995</v>
      </c>
      <c r="C110" s="323">
        <v>0.1</v>
      </c>
      <c r="D110" s="323">
        <v>0.1</v>
      </c>
      <c r="E110" s="323">
        <v>0.1</v>
      </c>
      <c r="F110" s="334"/>
      <c r="G110" s="324">
        <v>0.1</v>
      </c>
    </row>
    <row r="111" spans="1:7">
      <c r="A111" s="333" t="s">
        <v>267</v>
      </c>
      <c r="B111" s="322" t="s">
        <v>3003</v>
      </c>
      <c r="C111" s="323">
        <v>0.1</v>
      </c>
      <c r="D111" s="323">
        <v>0.1</v>
      </c>
      <c r="E111" s="323">
        <v>0.095</v>
      </c>
      <c r="F111" s="334"/>
      <c r="G111" s="324">
        <v>0.1</v>
      </c>
    </row>
    <row r="112" spans="1:7">
      <c r="A112" s="333" t="s">
        <v>267</v>
      </c>
      <c r="B112" s="322" t="s">
        <v>3010</v>
      </c>
      <c r="C112" s="323">
        <v>0.097</v>
      </c>
      <c r="D112" s="323">
        <v>0.097</v>
      </c>
      <c r="E112" s="323">
        <v>0.05</v>
      </c>
      <c r="F112" s="334"/>
      <c r="G112" s="324">
        <v>0.098</v>
      </c>
    </row>
    <row r="113" spans="1:7">
      <c r="A113" s="333" t="s">
        <v>267</v>
      </c>
      <c r="B113" s="322" t="s">
        <v>3017</v>
      </c>
      <c r="C113" s="323">
        <v>0.1</v>
      </c>
      <c r="D113" s="323">
        <v>0.1</v>
      </c>
      <c r="E113" s="334"/>
      <c r="F113" s="334"/>
      <c r="G113" s="324">
        <v>0.1</v>
      </c>
    </row>
    <row r="114" spans="1:7">
      <c r="A114" s="333" t="s">
        <v>267</v>
      </c>
      <c r="B114" s="322" t="s">
        <v>3024</v>
      </c>
      <c r="C114" s="323">
        <v>0.097</v>
      </c>
      <c r="D114" s="323">
        <v>0.097</v>
      </c>
      <c r="E114" s="334"/>
      <c r="F114" s="334"/>
      <c r="G114" s="324">
        <v>0.099</v>
      </c>
    </row>
    <row r="115" spans="1:7">
      <c r="A115" s="333" t="s">
        <v>267</v>
      </c>
      <c r="B115" s="322" t="s">
        <v>3031</v>
      </c>
      <c r="C115" s="323">
        <v>0.1</v>
      </c>
      <c r="D115" s="323">
        <v>0.1</v>
      </c>
      <c r="E115" s="334"/>
      <c r="F115" s="334"/>
      <c r="G115" s="324">
        <v>0.1</v>
      </c>
    </row>
    <row r="116" spans="1:7">
      <c r="A116" s="333" t="s">
        <v>267</v>
      </c>
      <c r="B116" s="322" t="s">
        <v>3038</v>
      </c>
      <c r="C116" s="323">
        <v>0.1</v>
      </c>
      <c r="D116" s="323">
        <v>0.1</v>
      </c>
      <c r="E116" s="334"/>
      <c r="F116" s="334"/>
      <c r="G116" s="324">
        <v>0.1</v>
      </c>
    </row>
    <row r="117" spans="1:7">
      <c r="A117" s="333" t="s">
        <v>267</v>
      </c>
      <c r="B117" s="322" t="s">
        <v>3045</v>
      </c>
      <c r="C117" s="323">
        <v>0.097</v>
      </c>
      <c r="D117" s="323">
        <v>0.097</v>
      </c>
      <c r="E117" s="334"/>
      <c r="F117" s="334"/>
      <c r="G117" s="324">
        <v>0.097</v>
      </c>
    </row>
    <row r="118" spans="1:7">
      <c r="A118" s="333" t="s">
        <v>267</v>
      </c>
      <c r="B118" s="322" t="s">
        <v>3052</v>
      </c>
      <c r="C118" s="323">
        <v>0.1</v>
      </c>
      <c r="D118" s="323">
        <v>0.1</v>
      </c>
      <c r="E118" s="334"/>
      <c r="F118" s="334"/>
      <c r="G118" s="324">
        <v>0.1</v>
      </c>
    </row>
    <row r="119" spans="1:7">
      <c r="A119" s="333" t="s">
        <v>267</v>
      </c>
      <c r="B119" s="322" t="s">
        <v>3057</v>
      </c>
      <c r="C119" s="323">
        <v>0.051</v>
      </c>
      <c r="D119" s="323">
        <v>0.052</v>
      </c>
      <c r="E119" s="334"/>
      <c r="F119" s="339"/>
      <c r="G119" s="324">
        <v>0.06</v>
      </c>
    </row>
    <row r="120" spans="1:7">
      <c r="A120" s="333" t="s">
        <v>267</v>
      </c>
      <c r="B120" s="322" t="s">
        <v>3062</v>
      </c>
      <c r="C120" s="334"/>
      <c r="D120" s="334"/>
      <c r="E120" s="334"/>
      <c r="F120" s="323">
        <v>0.1</v>
      </c>
      <c r="G120" s="340"/>
    </row>
    <row r="121" spans="1:7">
      <c r="A121" s="333" t="s">
        <v>267</v>
      </c>
      <c r="B121" s="322" t="s">
        <v>3067</v>
      </c>
      <c r="C121" s="334"/>
      <c r="D121" s="334"/>
      <c r="E121" s="334"/>
      <c r="F121" s="323">
        <v>0.1</v>
      </c>
      <c r="G121" s="340"/>
    </row>
    <row r="122" spans="1:7">
      <c r="A122" s="333" t="s">
        <v>267</v>
      </c>
      <c r="B122" s="322" t="s">
        <v>3072</v>
      </c>
      <c r="C122" s="323">
        <v>0.1</v>
      </c>
      <c r="D122" s="323">
        <v>0.1</v>
      </c>
      <c r="E122" s="323">
        <v>0.098</v>
      </c>
      <c r="F122" s="323">
        <v>0.1</v>
      </c>
      <c r="G122" s="324">
        <v>0.1</v>
      </c>
    </row>
    <row r="123" spans="1:7">
      <c r="A123" s="333" t="s">
        <v>267</v>
      </c>
      <c r="B123" s="322" t="s">
        <v>3077</v>
      </c>
      <c r="C123" s="323">
        <v>0.1</v>
      </c>
      <c r="D123" s="323">
        <v>0.1</v>
      </c>
      <c r="E123" s="323">
        <v>0.098</v>
      </c>
      <c r="F123" s="323">
        <v>0.1</v>
      </c>
      <c r="G123" s="324">
        <v>0.1</v>
      </c>
    </row>
    <row r="124" spans="1:7">
      <c r="A124" s="333" t="s">
        <v>267</v>
      </c>
      <c r="B124" s="322" t="s">
        <v>3082</v>
      </c>
      <c r="C124" s="323">
        <v>0.1</v>
      </c>
      <c r="D124" s="323">
        <v>0.1</v>
      </c>
      <c r="E124" s="323">
        <v>0.098</v>
      </c>
      <c r="F124" s="339"/>
      <c r="G124" s="324">
        <v>0.1</v>
      </c>
    </row>
    <row r="125" spans="1:7">
      <c r="A125" s="333" t="s">
        <v>267</v>
      </c>
      <c r="B125" s="322" t="s">
        <v>3087</v>
      </c>
      <c r="C125" s="323">
        <v>0.098</v>
      </c>
      <c r="D125" s="323">
        <v>0.098</v>
      </c>
      <c r="E125" s="323">
        <v>0.096</v>
      </c>
      <c r="F125" s="339"/>
      <c r="G125" s="324">
        <v>0.1</v>
      </c>
    </row>
    <row r="126" ht="15.15" spans="1:7">
      <c r="A126" s="336" t="s">
        <v>267</v>
      </c>
      <c r="B126" s="326" t="s">
        <v>3092</v>
      </c>
      <c r="C126" s="327">
        <v>0.1</v>
      </c>
      <c r="D126" s="327">
        <v>0.1</v>
      </c>
      <c r="E126" s="327">
        <v>0.098</v>
      </c>
      <c r="F126" s="327">
        <v>0.1</v>
      </c>
      <c r="G126" s="329">
        <v>0.1</v>
      </c>
    </row>
    <row r="127" spans="1:7">
      <c r="A127" s="332" t="s">
        <v>273</v>
      </c>
      <c r="B127" s="318" t="s">
        <v>2760</v>
      </c>
      <c r="C127" s="319">
        <v>0.121</v>
      </c>
      <c r="D127" s="319">
        <v>0.121</v>
      </c>
      <c r="E127" s="319">
        <v>0.107</v>
      </c>
      <c r="F127" s="319">
        <v>0.13</v>
      </c>
      <c r="G127" s="320">
        <v>0.122</v>
      </c>
    </row>
    <row r="128" spans="1:7">
      <c r="A128" s="333" t="s">
        <v>273</v>
      </c>
      <c r="B128" s="322" t="s">
        <v>2773</v>
      </c>
      <c r="C128" s="323">
        <v>0.116</v>
      </c>
      <c r="D128" s="323">
        <v>0.117</v>
      </c>
      <c r="E128" s="323">
        <v>0.104</v>
      </c>
      <c r="F128" s="323">
        <v>0.13</v>
      </c>
      <c r="G128" s="324">
        <v>0.117</v>
      </c>
    </row>
    <row r="129" spans="1:7">
      <c r="A129" s="333" t="s">
        <v>273</v>
      </c>
      <c r="B129" s="322" t="s">
        <v>2787</v>
      </c>
      <c r="C129" s="323">
        <v>0.107</v>
      </c>
      <c r="D129" s="323">
        <v>0.108</v>
      </c>
      <c r="E129" s="323">
        <v>0.1</v>
      </c>
      <c r="F129" s="323">
        <v>0.13</v>
      </c>
      <c r="G129" s="324">
        <v>0.117</v>
      </c>
    </row>
    <row r="130" spans="1:7">
      <c r="A130" s="333" t="s">
        <v>273</v>
      </c>
      <c r="B130" s="322" t="s">
        <v>2799</v>
      </c>
      <c r="C130" s="323">
        <v>0.13</v>
      </c>
      <c r="D130" s="323">
        <v>0.13</v>
      </c>
      <c r="E130" s="323">
        <v>0.126</v>
      </c>
      <c r="F130" s="323">
        <v>0.13</v>
      </c>
      <c r="G130" s="324">
        <v>0.13</v>
      </c>
    </row>
    <row r="131" spans="1:7">
      <c r="A131" s="333" t="s">
        <v>273</v>
      </c>
      <c r="B131" s="322" t="s">
        <v>2811</v>
      </c>
      <c r="C131" s="323">
        <v>0.13</v>
      </c>
      <c r="D131" s="323">
        <v>0.13</v>
      </c>
      <c r="E131" s="323">
        <v>0.13</v>
      </c>
      <c r="F131" s="323">
        <v>0.13</v>
      </c>
      <c r="G131" s="324">
        <v>0.13</v>
      </c>
    </row>
    <row r="132" spans="1:7">
      <c r="A132" s="333" t="s">
        <v>273</v>
      </c>
      <c r="B132" s="322" t="s">
        <v>2822</v>
      </c>
      <c r="C132" s="323">
        <v>0.13</v>
      </c>
      <c r="D132" s="323">
        <v>0.13</v>
      </c>
      <c r="E132" s="323">
        <v>0.126</v>
      </c>
      <c r="F132" s="323">
        <v>0.13</v>
      </c>
      <c r="G132" s="324">
        <v>0.13</v>
      </c>
    </row>
    <row r="133" spans="1:7">
      <c r="A133" s="333" t="s">
        <v>273</v>
      </c>
      <c r="B133" s="322" t="s">
        <v>2833</v>
      </c>
      <c r="C133" s="323">
        <v>0.111</v>
      </c>
      <c r="D133" s="323">
        <v>0.111</v>
      </c>
      <c r="E133" s="323">
        <v>0.102</v>
      </c>
      <c r="F133" s="323">
        <v>0.13</v>
      </c>
      <c r="G133" s="324">
        <v>0.121</v>
      </c>
    </row>
    <row r="134" spans="1:7">
      <c r="A134" s="333" t="s">
        <v>273</v>
      </c>
      <c r="B134" s="322" t="s">
        <v>2844</v>
      </c>
      <c r="C134" s="323">
        <v>0.121</v>
      </c>
      <c r="D134" s="323">
        <v>0.121</v>
      </c>
      <c r="E134" s="323">
        <v>0.1</v>
      </c>
      <c r="F134" s="323">
        <v>0.13</v>
      </c>
      <c r="G134" s="324">
        <v>0.123</v>
      </c>
    </row>
    <row r="135" spans="1:7">
      <c r="A135" s="333" t="s">
        <v>273</v>
      </c>
      <c r="B135" s="322" t="s">
        <v>2854</v>
      </c>
      <c r="C135" s="323">
        <v>0.105</v>
      </c>
      <c r="D135" s="323">
        <v>0.106</v>
      </c>
      <c r="E135" s="323">
        <v>0.1</v>
      </c>
      <c r="F135" s="323">
        <v>0.13</v>
      </c>
      <c r="G135" s="324">
        <v>0.115</v>
      </c>
    </row>
    <row r="136" spans="1:7">
      <c r="A136" s="333" t="s">
        <v>273</v>
      </c>
      <c r="B136" s="322" t="s">
        <v>2864</v>
      </c>
      <c r="C136" s="323">
        <v>0.127</v>
      </c>
      <c r="D136" s="323">
        <v>0.127</v>
      </c>
      <c r="E136" s="323">
        <v>0.121</v>
      </c>
      <c r="F136" s="323">
        <v>0.123</v>
      </c>
      <c r="G136" s="324">
        <v>0.129</v>
      </c>
    </row>
    <row r="137" spans="1:7">
      <c r="A137" s="333" t="s">
        <v>273</v>
      </c>
      <c r="B137" s="322" t="s">
        <v>2874</v>
      </c>
      <c r="C137" s="323">
        <v>0.13</v>
      </c>
      <c r="D137" s="323">
        <v>0.13</v>
      </c>
      <c r="E137" s="323">
        <v>0.129</v>
      </c>
      <c r="F137" s="323">
        <v>0.13</v>
      </c>
      <c r="G137" s="324">
        <v>0.13</v>
      </c>
    </row>
    <row r="138" spans="1:7">
      <c r="A138" s="333" t="s">
        <v>273</v>
      </c>
      <c r="B138" s="322" t="s">
        <v>2884</v>
      </c>
      <c r="C138" s="323">
        <v>0.13</v>
      </c>
      <c r="D138" s="323">
        <v>0.13</v>
      </c>
      <c r="E138" s="323">
        <v>0.125</v>
      </c>
      <c r="F138" s="323">
        <v>0.13</v>
      </c>
      <c r="G138" s="324">
        <v>0.13</v>
      </c>
    </row>
    <row r="139" spans="1:7">
      <c r="A139" s="333" t="s">
        <v>273</v>
      </c>
      <c r="B139" s="322" t="s">
        <v>2894</v>
      </c>
      <c r="C139" s="323">
        <v>0.13</v>
      </c>
      <c r="D139" s="323">
        <v>0.13</v>
      </c>
      <c r="E139" s="323">
        <v>0.126</v>
      </c>
      <c r="F139" s="323">
        <v>0.13</v>
      </c>
      <c r="G139" s="324">
        <v>0.13</v>
      </c>
    </row>
    <row r="140" spans="1:7">
      <c r="A140" s="333" t="s">
        <v>273</v>
      </c>
      <c r="B140" s="322" t="s">
        <v>2904</v>
      </c>
      <c r="C140" s="323">
        <v>0.1</v>
      </c>
      <c r="D140" s="323">
        <v>0.1</v>
      </c>
      <c r="E140" s="323">
        <v>0.1</v>
      </c>
      <c r="F140" s="323">
        <v>0.123</v>
      </c>
      <c r="G140" s="324">
        <v>0.107</v>
      </c>
    </row>
    <row r="141" spans="1:7">
      <c r="A141" s="333" t="s">
        <v>273</v>
      </c>
      <c r="B141" s="322" t="s">
        <v>2914</v>
      </c>
      <c r="C141" s="323">
        <v>0.127</v>
      </c>
      <c r="D141" s="323">
        <v>0.127</v>
      </c>
      <c r="E141" s="323">
        <v>0.122</v>
      </c>
      <c r="F141" s="323">
        <v>0.1</v>
      </c>
      <c r="G141" s="324">
        <v>0.129</v>
      </c>
    </row>
    <row r="142" spans="1:7">
      <c r="A142" s="333" t="s">
        <v>273</v>
      </c>
      <c r="B142" s="322" t="s">
        <v>2924</v>
      </c>
      <c r="C142" s="323">
        <v>0.121</v>
      </c>
      <c r="D142" s="323">
        <v>0.122</v>
      </c>
      <c r="E142" s="323">
        <v>0.1</v>
      </c>
      <c r="F142" s="323">
        <v>0.123</v>
      </c>
      <c r="G142" s="324">
        <v>0.123</v>
      </c>
    </row>
    <row r="143" spans="1:7">
      <c r="A143" s="333" t="s">
        <v>273</v>
      </c>
      <c r="B143" s="322" t="s">
        <v>2934</v>
      </c>
      <c r="C143" s="323">
        <v>0.1</v>
      </c>
      <c r="D143" s="323">
        <v>0.1</v>
      </c>
      <c r="E143" s="323">
        <v>0.1</v>
      </c>
      <c r="F143" s="323">
        <v>0.13</v>
      </c>
      <c r="G143" s="324">
        <v>0.1</v>
      </c>
    </row>
    <row r="144" spans="1:7">
      <c r="A144" s="333" t="s">
        <v>273</v>
      </c>
      <c r="B144" s="322" t="s">
        <v>2944</v>
      </c>
      <c r="C144" s="323">
        <v>0.106</v>
      </c>
      <c r="D144" s="323">
        <v>0.105</v>
      </c>
      <c r="E144" s="323">
        <v>0.1</v>
      </c>
      <c r="F144" s="323">
        <v>0.13</v>
      </c>
      <c r="G144" s="324">
        <v>0.118</v>
      </c>
    </row>
    <row r="145" spans="1:7">
      <c r="A145" s="333" t="s">
        <v>273</v>
      </c>
      <c r="B145" s="322" t="s">
        <v>2954</v>
      </c>
      <c r="C145" s="323">
        <v>0.123</v>
      </c>
      <c r="D145" s="323">
        <v>0.123</v>
      </c>
      <c r="E145" s="323">
        <v>0.117</v>
      </c>
      <c r="F145" s="323">
        <v>0.13</v>
      </c>
      <c r="G145" s="324">
        <v>0.126</v>
      </c>
    </row>
    <row r="146" spans="1:7">
      <c r="A146" s="333" t="s">
        <v>273</v>
      </c>
      <c r="B146" s="322" t="s">
        <v>2963</v>
      </c>
      <c r="C146" s="323">
        <v>0.127</v>
      </c>
      <c r="D146" s="323">
        <v>0.127</v>
      </c>
      <c r="E146" s="323">
        <v>0.12</v>
      </c>
      <c r="F146" s="334"/>
      <c r="G146" s="324">
        <v>0.129</v>
      </c>
    </row>
    <row r="147" spans="1:7">
      <c r="A147" s="333" t="s">
        <v>273</v>
      </c>
      <c r="B147" s="322" t="s">
        <v>2972</v>
      </c>
      <c r="C147" s="323">
        <v>0.13</v>
      </c>
      <c r="D147" s="323">
        <v>0.13</v>
      </c>
      <c r="E147" s="323">
        <v>0.126</v>
      </c>
      <c r="F147" s="334"/>
      <c r="G147" s="324">
        <v>0.13</v>
      </c>
    </row>
    <row r="148" spans="1:7">
      <c r="A148" s="333" t="s">
        <v>273</v>
      </c>
      <c r="B148" s="322" t="s">
        <v>2980</v>
      </c>
      <c r="C148" s="323">
        <v>0.13</v>
      </c>
      <c r="D148" s="323">
        <v>0.13</v>
      </c>
      <c r="E148" s="323">
        <v>0.13</v>
      </c>
      <c r="F148" s="334"/>
      <c r="G148" s="324">
        <v>0.13</v>
      </c>
    </row>
    <row r="149" spans="1:7">
      <c r="A149" s="333" t="s">
        <v>273</v>
      </c>
      <c r="B149" s="322" t="s">
        <v>2988</v>
      </c>
      <c r="C149" s="323">
        <v>0.13</v>
      </c>
      <c r="D149" s="323">
        <v>0.13</v>
      </c>
      <c r="E149" s="323">
        <v>0.13</v>
      </c>
      <c r="F149" s="323">
        <v>0.13</v>
      </c>
      <c r="G149" s="324">
        <v>0.13</v>
      </c>
    </row>
    <row r="150" spans="1:7">
      <c r="A150" s="333" t="s">
        <v>273</v>
      </c>
      <c r="B150" s="322" t="s">
        <v>2996</v>
      </c>
      <c r="C150" s="323">
        <v>0.13</v>
      </c>
      <c r="D150" s="323">
        <v>0.13</v>
      </c>
      <c r="E150" s="323">
        <v>0.127</v>
      </c>
      <c r="F150" s="323">
        <v>0.13</v>
      </c>
      <c r="G150" s="324">
        <v>0.13</v>
      </c>
    </row>
    <row r="151" spans="1:7">
      <c r="A151" s="333" t="s">
        <v>273</v>
      </c>
      <c r="B151" s="322" t="s">
        <v>3004</v>
      </c>
      <c r="C151" s="323">
        <v>0.13</v>
      </c>
      <c r="D151" s="323">
        <v>0.13</v>
      </c>
      <c r="E151" s="323">
        <v>0.13</v>
      </c>
      <c r="F151" s="323">
        <v>0.13</v>
      </c>
      <c r="G151" s="324">
        <v>0.13</v>
      </c>
    </row>
    <row r="152" spans="1:7">
      <c r="A152" s="333" t="s">
        <v>273</v>
      </c>
      <c r="B152" s="322" t="s">
        <v>3011</v>
      </c>
      <c r="C152" s="323">
        <v>0.13</v>
      </c>
      <c r="D152" s="323">
        <v>0.13</v>
      </c>
      <c r="E152" s="323">
        <v>0.13</v>
      </c>
      <c r="F152" s="323">
        <v>0.13</v>
      </c>
      <c r="G152" s="324">
        <v>0.13</v>
      </c>
    </row>
    <row r="153" spans="1:7">
      <c r="A153" s="333" t="s">
        <v>273</v>
      </c>
      <c r="B153" s="322" t="s">
        <v>3018</v>
      </c>
      <c r="C153" s="323">
        <v>0.13</v>
      </c>
      <c r="D153" s="323">
        <v>0.13</v>
      </c>
      <c r="E153" s="323">
        <v>0.13</v>
      </c>
      <c r="F153" s="323">
        <v>0.13</v>
      </c>
      <c r="G153" s="324">
        <v>0.13</v>
      </c>
    </row>
    <row r="154" spans="1:7">
      <c r="A154" s="333" t="s">
        <v>273</v>
      </c>
      <c r="B154" s="322" t="s">
        <v>3025</v>
      </c>
      <c r="C154" s="323">
        <v>0.121</v>
      </c>
      <c r="D154" s="323">
        <v>0.121</v>
      </c>
      <c r="E154" s="323">
        <v>0.105</v>
      </c>
      <c r="F154" s="323">
        <v>0.121</v>
      </c>
      <c r="G154" s="324">
        <v>0.123</v>
      </c>
    </row>
    <row r="155" spans="1:7">
      <c r="A155" s="333" t="s">
        <v>273</v>
      </c>
      <c r="B155" s="322" t="s">
        <v>3032</v>
      </c>
      <c r="C155" s="323">
        <v>0.1</v>
      </c>
      <c r="D155" s="323">
        <v>0.1</v>
      </c>
      <c r="E155" s="323">
        <v>0.1</v>
      </c>
      <c r="F155" s="323">
        <v>0.1</v>
      </c>
      <c r="G155" s="324">
        <v>0.1</v>
      </c>
    </row>
    <row r="156" spans="1:7">
      <c r="A156" s="333" t="s">
        <v>273</v>
      </c>
      <c r="B156" s="322" t="s">
        <v>3039</v>
      </c>
      <c r="C156" s="323">
        <v>0.13</v>
      </c>
      <c r="D156" s="323">
        <v>0.13</v>
      </c>
      <c r="E156" s="323">
        <v>0.13</v>
      </c>
      <c r="F156" s="323">
        <v>0.13</v>
      </c>
      <c r="G156" s="324">
        <v>0.13</v>
      </c>
    </row>
    <row r="157" spans="1:7">
      <c r="A157" s="333" t="s">
        <v>273</v>
      </c>
      <c r="B157" s="322" t="s">
        <v>3046</v>
      </c>
      <c r="C157" s="323">
        <v>0.13</v>
      </c>
      <c r="D157" s="323">
        <v>0.13</v>
      </c>
      <c r="E157" s="323">
        <v>0.125</v>
      </c>
      <c r="F157" s="323">
        <v>0.13</v>
      </c>
      <c r="G157" s="324">
        <v>0.13</v>
      </c>
    </row>
    <row r="158" spans="1:7">
      <c r="A158" s="333" t="s">
        <v>273</v>
      </c>
      <c r="B158" s="322" t="s">
        <v>3053</v>
      </c>
      <c r="C158" s="323">
        <v>0.124</v>
      </c>
      <c r="D158" s="323">
        <v>0.124</v>
      </c>
      <c r="E158" s="323">
        <v>0.117</v>
      </c>
      <c r="F158" s="323">
        <v>0.121</v>
      </c>
      <c r="G158" s="324">
        <v>0.124</v>
      </c>
    </row>
    <row r="159" spans="1:7">
      <c r="A159" s="333" t="s">
        <v>273</v>
      </c>
      <c r="B159" s="322" t="s">
        <v>3058</v>
      </c>
      <c r="C159" s="323">
        <v>0.127</v>
      </c>
      <c r="D159" s="323">
        <v>0.127</v>
      </c>
      <c r="E159" s="323">
        <v>0.122</v>
      </c>
      <c r="F159" s="323">
        <v>0.13</v>
      </c>
      <c r="G159" s="324">
        <v>0.129</v>
      </c>
    </row>
    <row r="160" spans="1:7">
      <c r="A160" s="333" t="s">
        <v>273</v>
      </c>
      <c r="B160" s="322" t="s">
        <v>3063</v>
      </c>
      <c r="C160" s="323">
        <v>0.13</v>
      </c>
      <c r="D160" s="323">
        <v>0.13</v>
      </c>
      <c r="E160" s="323">
        <v>0.124</v>
      </c>
      <c r="F160" s="323">
        <v>0.126</v>
      </c>
      <c r="G160" s="324">
        <v>0.13</v>
      </c>
    </row>
    <row r="161" spans="1:7">
      <c r="A161" s="333" t="s">
        <v>273</v>
      </c>
      <c r="B161" s="322" t="s">
        <v>3068</v>
      </c>
      <c r="C161" s="323">
        <v>0.13</v>
      </c>
      <c r="D161" s="323">
        <v>0.13</v>
      </c>
      <c r="E161" s="323">
        <v>0.124</v>
      </c>
      <c r="F161" s="323">
        <v>0.127</v>
      </c>
      <c r="G161" s="324">
        <v>0.13</v>
      </c>
    </row>
    <row r="162" spans="1:7">
      <c r="A162" s="333" t="s">
        <v>273</v>
      </c>
      <c r="B162" s="322" t="s">
        <v>3073</v>
      </c>
      <c r="C162" s="323">
        <v>0.1</v>
      </c>
      <c r="D162" s="323">
        <v>0.1</v>
      </c>
      <c r="E162" s="323">
        <v>0.1</v>
      </c>
      <c r="F162" s="323">
        <v>0.121</v>
      </c>
      <c r="G162" s="324">
        <v>0.105</v>
      </c>
    </row>
    <row r="163" spans="1:7">
      <c r="A163" s="333" t="s">
        <v>273</v>
      </c>
      <c r="B163" s="322" t="s">
        <v>3078</v>
      </c>
      <c r="C163" s="323">
        <v>0.1</v>
      </c>
      <c r="D163" s="323">
        <v>0.1</v>
      </c>
      <c r="E163" s="323">
        <v>0.1</v>
      </c>
      <c r="F163" s="323">
        <v>0.1</v>
      </c>
      <c r="G163" s="324">
        <v>0.1</v>
      </c>
    </row>
    <row r="164" spans="1:7">
      <c r="A164" s="333" t="s">
        <v>273</v>
      </c>
      <c r="B164" s="322" t="s">
        <v>3083</v>
      </c>
      <c r="C164" s="339"/>
      <c r="D164" s="339"/>
      <c r="E164" s="339"/>
      <c r="F164" s="323">
        <v>0.1</v>
      </c>
      <c r="G164" s="335"/>
    </row>
    <row r="165" spans="1:7">
      <c r="A165" s="333" t="s">
        <v>273</v>
      </c>
      <c r="B165" s="322" t="s">
        <v>3088</v>
      </c>
      <c r="C165" s="323">
        <v>0.126</v>
      </c>
      <c r="D165" s="323">
        <v>0.126</v>
      </c>
      <c r="E165" s="323">
        <v>0.119</v>
      </c>
      <c r="F165" s="323">
        <v>0.13</v>
      </c>
      <c r="G165" s="324">
        <v>0.128</v>
      </c>
    </row>
    <row r="166" spans="1:7">
      <c r="A166" s="333" t="s">
        <v>273</v>
      </c>
      <c r="B166" s="322" t="s">
        <v>3093</v>
      </c>
      <c r="C166" s="323">
        <v>0.129</v>
      </c>
      <c r="D166" s="323">
        <v>0.129</v>
      </c>
      <c r="E166" s="323">
        <v>0.123</v>
      </c>
      <c r="F166" s="323">
        <v>0.128</v>
      </c>
      <c r="G166" s="324">
        <v>0.13</v>
      </c>
    </row>
    <row r="167" spans="1:7">
      <c r="A167" s="333" t="s">
        <v>273</v>
      </c>
      <c r="B167" s="322" t="s">
        <v>3097</v>
      </c>
      <c r="C167" s="323">
        <v>0.125</v>
      </c>
      <c r="D167" s="323">
        <v>0.125</v>
      </c>
      <c r="E167" s="323">
        <v>0.117</v>
      </c>
      <c r="F167" s="323">
        <v>0.13</v>
      </c>
      <c r="G167" s="324">
        <v>0.126</v>
      </c>
    </row>
    <row r="168" spans="1:7">
      <c r="A168" s="333" t="s">
        <v>273</v>
      </c>
      <c r="B168" s="322" t="s">
        <v>3101</v>
      </c>
      <c r="C168" s="323">
        <v>0.128</v>
      </c>
      <c r="D168" s="323">
        <v>0.128</v>
      </c>
      <c r="E168" s="323">
        <v>0.123</v>
      </c>
      <c r="F168" s="334"/>
      <c r="G168" s="324">
        <v>0.13</v>
      </c>
    </row>
    <row r="169" spans="1:7">
      <c r="A169" s="333" t="s">
        <v>273</v>
      </c>
      <c r="B169" s="322" t="s">
        <v>3105</v>
      </c>
      <c r="C169" s="339"/>
      <c r="D169" s="339"/>
      <c r="E169" s="339"/>
      <c r="F169" s="323">
        <v>0.05</v>
      </c>
      <c r="G169" s="335"/>
    </row>
    <row r="170" spans="1:7">
      <c r="A170" s="333" t="s">
        <v>273</v>
      </c>
      <c r="B170" s="322" t="s">
        <v>3109</v>
      </c>
      <c r="C170" s="339"/>
      <c r="D170" s="339"/>
      <c r="E170" s="339"/>
      <c r="F170" s="323">
        <v>0.05</v>
      </c>
      <c r="G170" s="335"/>
    </row>
    <row r="171" spans="1:7">
      <c r="A171" s="333" t="s">
        <v>273</v>
      </c>
      <c r="B171" s="322" t="s">
        <v>3112</v>
      </c>
      <c r="C171" s="339"/>
      <c r="D171" s="339"/>
      <c r="E171" s="339"/>
      <c r="F171" s="323">
        <v>0.05</v>
      </c>
      <c r="G171" s="340"/>
    </row>
    <row r="172" spans="1:7">
      <c r="A172" s="333" t="s">
        <v>273</v>
      </c>
      <c r="B172" s="322" t="s">
        <v>3114</v>
      </c>
      <c r="C172" s="339"/>
      <c r="D172" s="339"/>
      <c r="E172" s="339"/>
      <c r="F172" s="323">
        <v>0.05</v>
      </c>
      <c r="G172" s="340"/>
    </row>
    <row r="173" spans="1:7">
      <c r="A173" s="333" t="s">
        <v>273</v>
      </c>
      <c r="B173" s="322" t="s">
        <v>3116</v>
      </c>
      <c r="C173" s="339"/>
      <c r="D173" s="339"/>
      <c r="E173" s="339"/>
      <c r="F173" s="323">
        <v>0.05</v>
      </c>
      <c r="G173" s="335"/>
    </row>
    <row r="174" spans="1:7">
      <c r="A174" s="333" t="s">
        <v>273</v>
      </c>
      <c r="B174" s="322" t="s">
        <v>3118</v>
      </c>
      <c r="C174" s="339"/>
      <c r="D174" s="339"/>
      <c r="E174" s="339"/>
      <c r="F174" s="323">
        <v>0.05</v>
      </c>
      <c r="G174" s="335"/>
    </row>
    <row r="175" spans="1:7">
      <c r="A175" s="333" t="s">
        <v>273</v>
      </c>
      <c r="B175" s="322" t="s">
        <v>3120</v>
      </c>
      <c r="C175" s="339"/>
      <c r="D175" s="339"/>
      <c r="E175" s="339"/>
      <c r="F175" s="323">
        <v>0.05</v>
      </c>
      <c r="G175" s="335"/>
    </row>
    <row r="176" spans="1:7">
      <c r="A176" s="333" t="s">
        <v>273</v>
      </c>
      <c r="B176" s="322" t="s">
        <v>3122</v>
      </c>
      <c r="C176" s="339"/>
      <c r="D176" s="339"/>
      <c r="E176" s="339"/>
      <c r="F176" s="323">
        <v>0.05</v>
      </c>
      <c r="G176" s="335"/>
    </row>
    <row r="177" spans="1:7">
      <c r="A177" s="333" t="s">
        <v>273</v>
      </c>
      <c r="B177" s="322" t="s">
        <v>3124</v>
      </c>
      <c r="C177" s="334"/>
      <c r="D177" s="334"/>
      <c r="E177" s="334"/>
      <c r="F177" s="323">
        <v>0.05</v>
      </c>
      <c r="G177" s="340"/>
    </row>
    <row r="178" spans="1:7">
      <c r="A178" s="333" t="s">
        <v>273</v>
      </c>
      <c r="B178" s="322" t="s">
        <v>3125</v>
      </c>
      <c r="C178" s="334"/>
      <c r="D178" s="334"/>
      <c r="E178" s="334"/>
      <c r="F178" s="323">
        <v>0.05</v>
      </c>
      <c r="G178" s="340"/>
    </row>
    <row r="179" spans="1:7">
      <c r="A179" s="333" t="s">
        <v>273</v>
      </c>
      <c r="B179" s="322" t="s">
        <v>3126</v>
      </c>
      <c r="C179" s="334"/>
      <c r="D179" s="334"/>
      <c r="E179" s="334"/>
      <c r="F179" s="323">
        <v>0.05</v>
      </c>
      <c r="G179" s="340"/>
    </row>
    <row r="180" spans="1:7">
      <c r="A180" s="333" t="s">
        <v>273</v>
      </c>
      <c r="B180" s="322" t="s">
        <v>3127</v>
      </c>
      <c r="C180" s="334"/>
      <c r="D180" s="334"/>
      <c r="E180" s="334"/>
      <c r="F180" s="323">
        <v>0.05</v>
      </c>
      <c r="G180" s="340"/>
    </row>
    <row r="181" spans="1:7">
      <c r="A181" s="333" t="s">
        <v>273</v>
      </c>
      <c r="B181" s="322" t="s">
        <v>3128</v>
      </c>
      <c r="C181" s="334"/>
      <c r="D181" s="334"/>
      <c r="E181" s="334"/>
      <c r="F181" s="323">
        <v>0.05</v>
      </c>
      <c r="G181" s="340"/>
    </row>
    <row r="182" spans="1:7">
      <c r="A182" s="333" t="s">
        <v>273</v>
      </c>
      <c r="B182" s="322" t="s">
        <v>3129</v>
      </c>
      <c r="C182" s="334"/>
      <c r="D182" s="334"/>
      <c r="E182" s="334"/>
      <c r="F182" s="323">
        <v>0.05</v>
      </c>
      <c r="G182" s="340"/>
    </row>
    <row r="183" spans="1:7">
      <c r="A183" s="333" t="s">
        <v>273</v>
      </c>
      <c r="B183" s="322" t="s">
        <v>3130</v>
      </c>
      <c r="C183" s="334"/>
      <c r="D183" s="334"/>
      <c r="E183" s="334"/>
      <c r="F183" s="323">
        <v>0.05</v>
      </c>
      <c r="G183" s="340"/>
    </row>
    <row r="184" spans="1:7">
      <c r="A184" s="333" t="s">
        <v>273</v>
      </c>
      <c r="B184" s="322" t="s">
        <v>3131</v>
      </c>
      <c r="C184" s="334"/>
      <c r="D184" s="334"/>
      <c r="E184" s="334"/>
      <c r="F184" s="323">
        <v>0.05</v>
      </c>
      <c r="G184" s="340"/>
    </row>
    <row r="185" spans="1:7">
      <c r="A185" s="333" t="s">
        <v>273</v>
      </c>
      <c r="B185" s="322" t="s">
        <v>3132</v>
      </c>
      <c r="C185" s="334"/>
      <c r="D185" s="334"/>
      <c r="E185" s="334"/>
      <c r="F185" s="323">
        <v>0.05</v>
      </c>
      <c r="G185" s="340"/>
    </row>
    <row r="186" spans="1:7">
      <c r="A186" s="333" t="s">
        <v>273</v>
      </c>
      <c r="B186" s="322" t="s">
        <v>3133</v>
      </c>
      <c r="C186" s="334"/>
      <c r="D186" s="334"/>
      <c r="E186" s="334"/>
      <c r="F186" s="323">
        <v>0.05</v>
      </c>
      <c r="G186" s="340"/>
    </row>
    <row r="187" spans="1:7">
      <c r="A187" s="333" t="s">
        <v>273</v>
      </c>
      <c r="B187" s="322" t="s">
        <v>3134</v>
      </c>
      <c r="C187" s="334"/>
      <c r="D187" s="334"/>
      <c r="E187" s="334"/>
      <c r="F187" s="323">
        <v>0.05</v>
      </c>
      <c r="G187" s="340"/>
    </row>
    <row r="188" spans="1:7">
      <c r="A188" s="333" t="s">
        <v>273</v>
      </c>
      <c r="B188" s="322" t="s">
        <v>3135</v>
      </c>
      <c r="C188" s="334"/>
      <c r="D188" s="334"/>
      <c r="E188" s="334"/>
      <c r="F188" s="323">
        <v>0.05</v>
      </c>
      <c r="G188" s="340"/>
    </row>
    <row r="189" ht="15.15" spans="1:7">
      <c r="A189" s="336" t="s">
        <v>273</v>
      </c>
      <c r="B189" s="326" t="s">
        <v>3136</v>
      </c>
      <c r="C189" s="328"/>
      <c r="D189" s="328"/>
      <c r="E189" s="328"/>
      <c r="F189" s="327">
        <v>0.05</v>
      </c>
      <c r="G189" s="341"/>
    </row>
    <row r="190" spans="1:7">
      <c r="A190" s="332" t="s">
        <v>278</v>
      </c>
      <c r="B190" s="318" t="s">
        <v>2761</v>
      </c>
      <c r="C190" s="319">
        <v>0.124</v>
      </c>
      <c r="D190" s="319">
        <v>0.124</v>
      </c>
      <c r="E190" s="319">
        <v>0.129</v>
      </c>
      <c r="F190" s="319">
        <v>0.13</v>
      </c>
      <c r="G190" s="320">
        <v>0.127</v>
      </c>
    </row>
    <row r="191" spans="1:7">
      <c r="A191" s="333" t="s">
        <v>278</v>
      </c>
      <c r="B191" s="322" t="s">
        <v>2774</v>
      </c>
      <c r="C191" s="323">
        <v>0.13</v>
      </c>
      <c r="D191" s="323">
        <v>0.13</v>
      </c>
      <c r="E191" s="323">
        <v>0.13</v>
      </c>
      <c r="F191" s="323">
        <v>0.13</v>
      </c>
      <c r="G191" s="324">
        <v>0.13</v>
      </c>
    </row>
    <row r="192" spans="1:7">
      <c r="A192" s="333" t="s">
        <v>278</v>
      </c>
      <c r="B192" s="322" t="s">
        <v>2788</v>
      </c>
      <c r="C192" s="323">
        <v>0.13</v>
      </c>
      <c r="D192" s="323">
        <v>0.13</v>
      </c>
      <c r="E192" s="323">
        <v>0.13</v>
      </c>
      <c r="F192" s="323">
        <v>0.13</v>
      </c>
      <c r="G192" s="324">
        <v>0.13</v>
      </c>
    </row>
    <row r="193" spans="1:7">
      <c r="A193" s="333" t="s">
        <v>278</v>
      </c>
      <c r="B193" s="322" t="s">
        <v>2800</v>
      </c>
      <c r="C193" s="323">
        <v>0.13</v>
      </c>
      <c r="D193" s="323">
        <v>0.13</v>
      </c>
      <c r="E193" s="323">
        <v>0.13</v>
      </c>
      <c r="F193" s="323">
        <v>0.13</v>
      </c>
      <c r="G193" s="324">
        <v>0.13</v>
      </c>
    </row>
    <row r="194" spans="1:7">
      <c r="A194" s="333" t="s">
        <v>278</v>
      </c>
      <c r="B194" s="322" t="s">
        <v>2812</v>
      </c>
      <c r="C194" s="323">
        <v>0.123</v>
      </c>
      <c r="D194" s="323">
        <v>0.123</v>
      </c>
      <c r="E194" s="323">
        <v>0.128</v>
      </c>
      <c r="F194" s="323">
        <v>0.13</v>
      </c>
      <c r="G194" s="324">
        <v>0.126</v>
      </c>
    </row>
    <row r="195" spans="1:7">
      <c r="A195" s="333" t="s">
        <v>278</v>
      </c>
      <c r="B195" s="322" t="s">
        <v>2823</v>
      </c>
      <c r="C195" s="323">
        <v>0.127</v>
      </c>
      <c r="D195" s="323">
        <v>0.127</v>
      </c>
      <c r="E195" s="323">
        <v>0.121</v>
      </c>
      <c r="F195" s="323">
        <v>0.129</v>
      </c>
      <c r="G195" s="324">
        <v>0.129</v>
      </c>
    </row>
    <row r="196" spans="1:7">
      <c r="A196" s="333" t="s">
        <v>278</v>
      </c>
      <c r="B196" s="322" t="s">
        <v>2834</v>
      </c>
      <c r="C196" s="323">
        <v>0.127</v>
      </c>
      <c r="D196" s="323">
        <v>0.128</v>
      </c>
      <c r="E196" s="323">
        <v>0.122</v>
      </c>
      <c r="F196" s="323">
        <v>0.13</v>
      </c>
      <c r="G196" s="324">
        <v>0.129</v>
      </c>
    </row>
    <row r="197" spans="1:7">
      <c r="A197" s="333" t="s">
        <v>278</v>
      </c>
      <c r="B197" s="322" t="s">
        <v>2845</v>
      </c>
      <c r="C197" s="323">
        <v>0.126</v>
      </c>
      <c r="D197" s="323">
        <v>0.126</v>
      </c>
      <c r="E197" s="323">
        <v>0.119</v>
      </c>
      <c r="F197" s="323">
        <v>0.13</v>
      </c>
      <c r="G197" s="324">
        <v>0.128</v>
      </c>
    </row>
    <row r="198" spans="1:7">
      <c r="A198" s="333" t="s">
        <v>278</v>
      </c>
      <c r="B198" s="322" t="s">
        <v>2855</v>
      </c>
      <c r="C198" s="323">
        <v>0.13</v>
      </c>
      <c r="D198" s="323">
        <v>0.13</v>
      </c>
      <c r="E198" s="323">
        <v>0.126</v>
      </c>
      <c r="F198" s="339"/>
      <c r="G198" s="324">
        <v>0.13</v>
      </c>
    </row>
    <row r="199" spans="1:7">
      <c r="A199" s="333" t="s">
        <v>278</v>
      </c>
      <c r="B199" s="322" t="s">
        <v>2865</v>
      </c>
      <c r="C199" s="323">
        <v>0.13</v>
      </c>
      <c r="D199" s="323">
        <v>0.13</v>
      </c>
      <c r="E199" s="323">
        <v>0.13</v>
      </c>
      <c r="F199" s="323">
        <v>0.13</v>
      </c>
      <c r="G199" s="324">
        <v>0.13</v>
      </c>
    </row>
    <row r="200" spans="1:7">
      <c r="A200" s="333" t="s">
        <v>278</v>
      </c>
      <c r="B200" s="322" t="s">
        <v>2875</v>
      </c>
      <c r="C200" s="339"/>
      <c r="D200" s="339"/>
      <c r="E200" s="339"/>
      <c r="F200" s="323">
        <v>0.13</v>
      </c>
      <c r="G200" s="335"/>
    </row>
    <row r="201" spans="1:7">
      <c r="A201" s="333" t="s">
        <v>278</v>
      </c>
      <c r="B201" s="322" t="s">
        <v>2885</v>
      </c>
      <c r="C201" s="323">
        <v>0.13</v>
      </c>
      <c r="D201" s="323">
        <v>0.13</v>
      </c>
      <c r="E201" s="323">
        <v>0.13</v>
      </c>
      <c r="F201" s="323">
        <v>0.129</v>
      </c>
      <c r="G201" s="324">
        <v>0.13</v>
      </c>
    </row>
    <row r="202" spans="1:7">
      <c r="A202" s="333" t="s">
        <v>278</v>
      </c>
      <c r="B202" s="322" t="s">
        <v>2895</v>
      </c>
      <c r="C202" s="323">
        <v>0.13</v>
      </c>
      <c r="D202" s="323">
        <v>0.13</v>
      </c>
      <c r="E202" s="323">
        <v>0.13</v>
      </c>
      <c r="F202" s="323">
        <v>0.13</v>
      </c>
      <c r="G202" s="324">
        <v>0.13</v>
      </c>
    </row>
    <row r="203" spans="1:7">
      <c r="A203" s="333" t="s">
        <v>278</v>
      </c>
      <c r="B203" s="322" t="s">
        <v>2905</v>
      </c>
      <c r="C203" s="323">
        <v>0.129</v>
      </c>
      <c r="D203" s="323">
        <v>0.129</v>
      </c>
      <c r="E203" s="323">
        <v>0.13</v>
      </c>
      <c r="F203" s="323">
        <v>0.13</v>
      </c>
      <c r="G203" s="324">
        <v>0.13</v>
      </c>
    </row>
    <row r="204" spans="1:7">
      <c r="A204" s="333" t="s">
        <v>278</v>
      </c>
      <c r="B204" s="322" t="s">
        <v>2915</v>
      </c>
      <c r="C204" s="323">
        <v>0.129</v>
      </c>
      <c r="D204" s="323">
        <v>0.129</v>
      </c>
      <c r="E204" s="323">
        <v>0.123</v>
      </c>
      <c r="F204" s="323">
        <v>0.13</v>
      </c>
      <c r="G204" s="324">
        <v>0.13</v>
      </c>
    </row>
    <row r="205" spans="1:7">
      <c r="A205" s="333" t="s">
        <v>278</v>
      </c>
      <c r="B205" s="322" t="s">
        <v>2925</v>
      </c>
      <c r="C205" s="323">
        <v>0.13</v>
      </c>
      <c r="D205" s="323">
        <v>0.13</v>
      </c>
      <c r="E205" s="323">
        <v>0.13</v>
      </c>
      <c r="F205" s="323">
        <v>0.13</v>
      </c>
      <c r="G205" s="324">
        <v>0.13</v>
      </c>
    </row>
    <row r="206" spans="1:7">
      <c r="A206" s="333" t="s">
        <v>278</v>
      </c>
      <c r="B206" s="322" t="s">
        <v>2935</v>
      </c>
      <c r="C206" s="323">
        <v>0.13</v>
      </c>
      <c r="D206" s="323">
        <v>0.13</v>
      </c>
      <c r="E206" s="323">
        <v>0.13</v>
      </c>
      <c r="F206" s="323">
        <v>0.128</v>
      </c>
      <c r="G206" s="324">
        <v>0.13</v>
      </c>
    </row>
    <row r="207" spans="1:7">
      <c r="A207" s="333" t="s">
        <v>278</v>
      </c>
      <c r="B207" s="322" t="s">
        <v>2945</v>
      </c>
      <c r="C207" s="323">
        <v>0.13</v>
      </c>
      <c r="D207" s="323">
        <v>0.13</v>
      </c>
      <c r="E207" s="323">
        <v>0.13</v>
      </c>
      <c r="F207" s="323">
        <v>0.13</v>
      </c>
      <c r="G207" s="324">
        <v>0.13</v>
      </c>
    </row>
    <row r="208" spans="1:7">
      <c r="A208" s="333" t="s">
        <v>278</v>
      </c>
      <c r="B208" s="322" t="s">
        <v>2955</v>
      </c>
      <c r="C208" s="323">
        <v>0.13</v>
      </c>
      <c r="D208" s="323">
        <v>0.13</v>
      </c>
      <c r="E208" s="323">
        <v>0.13</v>
      </c>
      <c r="F208" s="323">
        <v>0.13</v>
      </c>
      <c r="G208" s="324">
        <v>0.13</v>
      </c>
    </row>
    <row r="209" spans="1:7">
      <c r="A209" s="333" t="s">
        <v>278</v>
      </c>
      <c r="B209" s="322" t="s">
        <v>2964</v>
      </c>
      <c r="C209" s="323">
        <v>0.13</v>
      </c>
      <c r="D209" s="323">
        <v>0.13</v>
      </c>
      <c r="E209" s="323">
        <v>0.13</v>
      </c>
      <c r="F209" s="323">
        <v>0.13</v>
      </c>
      <c r="G209" s="324">
        <v>0.13</v>
      </c>
    </row>
    <row r="210" spans="1:7">
      <c r="A210" s="333" t="s">
        <v>278</v>
      </c>
      <c r="B210" s="322" t="s">
        <v>2973</v>
      </c>
      <c r="C210" s="323">
        <v>0.121</v>
      </c>
      <c r="D210" s="323">
        <v>0.121</v>
      </c>
      <c r="E210" s="323">
        <v>0.125</v>
      </c>
      <c r="F210" s="323">
        <v>0.13</v>
      </c>
      <c r="G210" s="324">
        <v>0.123</v>
      </c>
    </row>
    <row r="211" spans="1:7">
      <c r="A211" s="333" t="s">
        <v>278</v>
      </c>
      <c r="B211" s="322" t="s">
        <v>2981</v>
      </c>
      <c r="C211" s="323">
        <v>0.123</v>
      </c>
      <c r="D211" s="323">
        <v>0.123</v>
      </c>
      <c r="E211" s="323">
        <v>0.127</v>
      </c>
      <c r="F211" s="323">
        <v>0.115</v>
      </c>
      <c r="G211" s="324">
        <v>0.126</v>
      </c>
    </row>
    <row r="212" spans="1:7">
      <c r="A212" s="333" t="s">
        <v>278</v>
      </c>
      <c r="B212" s="322" t="s">
        <v>2989</v>
      </c>
      <c r="C212" s="323">
        <v>0.126</v>
      </c>
      <c r="D212" s="323">
        <v>0.126</v>
      </c>
      <c r="E212" s="323">
        <v>0.13</v>
      </c>
      <c r="F212" s="323">
        <v>0.13</v>
      </c>
      <c r="G212" s="324">
        <v>0.129</v>
      </c>
    </row>
    <row r="213" spans="1:7">
      <c r="A213" s="333" t="s">
        <v>278</v>
      </c>
      <c r="B213" s="322" t="s">
        <v>2997</v>
      </c>
      <c r="C213" s="323">
        <v>0.129</v>
      </c>
      <c r="D213" s="323">
        <v>0.13</v>
      </c>
      <c r="E213" s="323">
        <v>0.127</v>
      </c>
      <c r="F213" s="323">
        <v>0.13</v>
      </c>
      <c r="G213" s="324">
        <v>0.13</v>
      </c>
    </row>
    <row r="214" spans="1:7">
      <c r="A214" s="333" t="s">
        <v>278</v>
      </c>
      <c r="B214" s="322" t="s">
        <v>3005</v>
      </c>
      <c r="C214" s="323">
        <v>0.128</v>
      </c>
      <c r="D214" s="323">
        <v>0.128</v>
      </c>
      <c r="E214" s="323">
        <v>0.13</v>
      </c>
      <c r="F214" s="323">
        <v>0.13</v>
      </c>
      <c r="G214" s="324">
        <v>0.13</v>
      </c>
    </row>
    <row r="215" spans="1:7">
      <c r="A215" s="333" t="s">
        <v>278</v>
      </c>
      <c r="B215" s="322" t="s">
        <v>3012</v>
      </c>
      <c r="C215" s="323">
        <v>0.13</v>
      </c>
      <c r="D215" s="323">
        <v>0.13</v>
      </c>
      <c r="E215" s="323">
        <v>0.13</v>
      </c>
      <c r="F215" s="323">
        <v>0.129</v>
      </c>
      <c r="G215" s="324">
        <v>0.13</v>
      </c>
    </row>
    <row r="216" spans="1:7">
      <c r="A216" s="333" t="s">
        <v>278</v>
      </c>
      <c r="B216" s="322" t="s">
        <v>3019</v>
      </c>
      <c r="C216" s="323">
        <v>0.13</v>
      </c>
      <c r="D216" s="323">
        <v>0.13</v>
      </c>
      <c r="E216" s="323">
        <v>0.13</v>
      </c>
      <c r="F216" s="323">
        <v>0.13</v>
      </c>
      <c r="G216" s="324">
        <v>0.13</v>
      </c>
    </row>
    <row r="217" spans="1:7">
      <c r="A217" s="333" t="s">
        <v>278</v>
      </c>
      <c r="B217" s="322" t="s">
        <v>3026</v>
      </c>
      <c r="C217" s="323">
        <v>0.129</v>
      </c>
      <c r="D217" s="323">
        <v>0.129</v>
      </c>
      <c r="E217" s="323">
        <v>0.13</v>
      </c>
      <c r="F217" s="323">
        <v>0.13</v>
      </c>
      <c r="G217" s="324">
        <v>0.13</v>
      </c>
    </row>
    <row r="218" spans="1:7">
      <c r="A218" s="333" t="s">
        <v>278</v>
      </c>
      <c r="B218" s="322" t="s">
        <v>3033</v>
      </c>
      <c r="C218" s="334"/>
      <c r="D218" s="334"/>
      <c r="E218" s="334"/>
      <c r="F218" s="323">
        <v>0.05</v>
      </c>
      <c r="G218" s="340"/>
    </row>
    <row r="219" spans="1:7">
      <c r="A219" s="333" t="s">
        <v>278</v>
      </c>
      <c r="B219" s="322" t="s">
        <v>3040</v>
      </c>
      <c r="C219" s="334"/>
      <c r="D219" s="334"/>
      <c r="E219" s="334"/>
      <c r="F219" s="323">
        <v>0.05</v>
      </c>
      <c r="G219" s="340"/>
    </row>
    <row r="220" spans="1:7">
      <c r="A220" s="333" t="s">
        <v>278</v>
      </c>
      <c r="B220" s="322" t="s">
        <v>3047</v>
      </c>
      <c r="C220" s="334"/>
      <c r="D220" s="334"/>
      <c r="E220" s="334"/>
      <c r="F220" s="323">
        <v>0.05</v>
      </c>
      <c r="G220" s="340"/>
    </row>
    <row r="221" spans="1:7">
      <c r="A221" s="333" t="s">
        <v>278</v>
      </c>
      <c r="B221" s="322" t="s">
        <v>3054</v>
      </c>
      <c r="C221" s="334"/>
      <c r="D221" s="334"/>
      <c r="E221" s="334"/>
      <c r="F221" s="323">
        <v>0.05</v>
      </c>
      <c r="G221" s="340"/>
    </row>
    <row r="222" spans="1:7">
      <c r="A222" s="333" t="s">
        <v>278</v>
      </c>
      <c r="B222" s="322" t="s">
        <v>3059</v>
      </c>
      <c r="C222" s="334"/>
      <c r="D222" s="334"/>
      <c r="E222" s="334"/>
      <c r="F222" s="323">
        <v>0.05</v>
      </c>
      <c r="G222" s="340"/>
    </row>
    <row r="223" spans="1:7">
      <c r="A223" s="333" t="s">
        <v>278</v>
      </c>
      <c r="B223" s="322" t="s">
        <v>3064</v>
      </c>
      <c r="C223" s="334"/>
      <c r="D223" s="334"/>
      <c r="E223" s="334"/>
      <c r="F223" s="323">
        <v>0.05</v>
      </c>
      <c r="G223" s="340"/>
    </row>
    <row r="224" spans="1:7">
      <c r="A224" s="333" t="s">
        <v>278</v>
      </c>
      <c r="B224" s="322" t="s">
        <v>3069</v>
      </c>
      <c r="C224" s="334"/>
      <c r="D224" s="334"/>
      <c r="E224" s="334"/>
      <c r="F224" s="323">
        <v>0.05</v>
      </c>
      <c r="G224" s="340"/>
    </row>
    <row r="225" spans="1:7">
      <c r="A225" s="333" t="s">
        <v>278</v>
      </c>
      <c r="B225" s="322" t="s">
        <v>3074</v>
      </c>
      <c r="C225" s="334"/>
      <c r="D225" s="334"/>
      <c r="E225" s="334"/>
      <c r="F225" s="323">
        <v>0.05</v>
      </c>
      <c r="G225" s="340"/>
    </row>
    <row r="226" spans="1:7">
      <c r="A226" s="333" t="s">
        <v>278</v>
      </c>
      <c r="B226" s="322" t="s">
        <v>3079</v>
      </c>
      <c r="C226" s="334"/>
      <c r="D226" s="334"/>
      <c r="E226" s="334"/>
      <c r="F226" s="323">
        <v>0.05</v>
      </c>
      <c r="G226" s="340"/>
    </row>
    <row r="227" spans="1:7">
      <c r="A227" s="333" t="s">
        <v>278</v>
      </c>
      <c r="B227" s="322" t="s">
        <v>3138</v>
      </c>
      <c r="C227" s="334"/>
      <c r="D227" s="334"/>
      <c r="E227" s="334"/>
      <c r="F227" s="323">
        <v>0.05</v>
      </c>
      <c r="G227" s="340"/>
    </row>
    <row r="228" spans="1:7">
      <c r="A228" s="333" t="s">
        <v>278</v>
      </c>
      <c r="B228" s="322" t="s">
        <v>3139</v>
      </c>
      <c r="C228" s="334"/>
      <c r="D228" s="334"/>
      <c r="E228" s="334"/>
      <c r="F228" s="323">
        <v>0.05</v>
      </c>
      <c r="G228" s="340"/>
    </row>
    <row r="229" spans="1:7">
      <c r="A229" s="333" t="s">
        <v>278</v>
      </c>
      <c r="B229" s="322" t="s">
        <v>3140</v>
      </c>
      <c r="C229" s="334"/>
      <c r="D229" s="334"/>
      <c r="E229" s="334"/>
      <c r="F229" s="323">
        <v>0.05</v>
      </c>
      <c r="G229" s="340"/>
    </row>
    <row r="230" spans="1:7">
      <c r="A230" s="333" t="s">
        <v>278</v>
      </c>
      <c r="B230" s="322" t="s">
        <v>3098</v>
      </c>
      <c r="C230" s="334"/>
      <c r="D230" s="334"/>
      <c r="E230" s="334"/>
      <c r="F230" s="323">
        <v>0.05</v>
      </c>
      <c r="G230" s="340"/>
    </row>
    <row r="231" spans="1:7">
      <c r="A231" s="333" t="s">
        <v>278</v>
      </c>
      <c r="B231" s="322" t="s">
        <v>3102</v>
      </c>
      <c r="C231" s="334"/>
      <c r="D231" s="334"/>
      <c r="E231" s="334"/>
      <c r="F231" s="323">
        <v>0.05</v>
      </c>
      <c r="G231" s="340"/>
    </row>
    <row r="232" spans="1:7">
      <c r="A232" s="333" t="s">
        <v>278</v>
      </c>
      <c r="B232" s="322" t="s">
        <v>3141</v>
      </c>
      <c r="C232" s="334"/>
      <c r="D232" s="334"/>
      <c r="E232" s="334"/>
      <c r="F232" s="323">
        <v>0.05</v>
      </c>
      <c r="G232" s="340"/>
    </row>
    <row r="233" ht="15.15" spans="1:7">
      <c r="A233" s="336" t="s">
        <v>278</v>
      </c>
      <c r="B233" s="326" t="s">
        <v>3110</v>
      </c>
      <c r="C233" s="328"/>
      <c r="D233" s="328"/>
      <c r="E233" s="328"/>
      <c r="F233" s="327">
        <v>0.05</v>
      </c>
      <c r="G233" s="341"/>
    </row>
    <row r="234" spans="1:7">
      <c r="A234" s="332" t="s">
        <v>284</v>
      </c>
      <c r="B234" s="318" t="s">
        <v>2762</v>
      </c>
      <c r="C234" s="319">
        <v>0.13</v>
      </c>
      <c r="D234" s="319">
        <v>0.128</v>
      </c>
      <c r="E234" s="319">
        <v>0.142</v>
      </c>
      <c r="F234" s="319">
        <v>0.147</v>
      </c>
      <c r="G234" s="320">
        <v>0.14</v>
      </c>
    </row>
    <row r="235" spans="1:7">
      <c r="A235" s="333" t="s">
        <v>284</v>
      </c>
      <c r="B235" s="322" t="s">
        <v>2775</v>
      </c>
      <c r="C235" s="323">
        <v>0.136</v>
      </c>
      <c r="D235" s="323">
        <v>0.138</v>
      </c>
      <c r="E235" s="323">
        <v>0.145</v>
      </c>
      <c r="F235" s="323">
        <v>0.143</v>
      </c>
      <c r="G235" s="324">
        <v>0.141</v>
      </c>
    </row>
    <row r="236" spans="1:7">
      <c r="A236" s="333" t="s">
        <v>284</v>
      </c>
      <c r="B236" s="322" t="s">
        <v>2789</v>
      </c>
      <c r="C236" s="323">
        <v>0.15</v>
      </c>
      <c r="D236" s="323">
        <v>0.15</v>
      </c>
      <c r="E236" s="323">
        <v>0.15</v>
      </c>
      <c r="F236" s="323">
        <v>0.15</v>
      </c>
      <c r="G236" s="324">
        <v>0.15</v>
      </c>
    </row>
    <row r="237" spans="1:7">
      <c r="A237" s="333" t="s">
        <v>284</v>
      </c>
      <c r="B237" s="322" t="s">
        <v>2801</v>
      </c>
      <c r="C237" s="323">
        <v>0.15</v>
      </c>
      <c r="D237" s="323">
        <v>0.15</v>
      </c>
      <c r="E237" s="323">
        <v>0.15</v>
      </c>
      <c r="F237" s="323">
        <v>0.15</v>
      </c>
      <c r="G237" s="324">
        <v>0.15</v>
      </c>
    </row>
    <row r="238" spans="1:7">
      <c r="A238" s="333" t="s">
        <v>284</v>
      </c>
      <c r="B238" s="322" t="s">
        <v>2813</v>
      </c>
      <c r="C238" s="323">
        <v>0.149</v>
      </c>
      <c r="D238" s="323">
        <v>0.149</v>
      </c>
      <c r="E238" s="323">
        <v>0.15</v>
      </c>
      <c r="F238" s="323">
        <v>0.15</v>
      </c>
      <c r="G238" s="324">
        <v>0.15</v>
      </c>
    </row>
    <row r="239" spans="1:7">
      <c r="A239" s="333" t="s">
        <v>284</v>
      </c>
      <c r="B239" s="322" t="s">
        <v>2824</v>
      </c>
      <c r="C239" s="323">
        <v>0.15</v>
      </c>
      <c r="D239" s="323">
        <v>0.15</v>
      </c>
      <c r="E239" s="323">
        <v>0.15</v>
      </c>
      <c r="F239" s="323">
        <v>0.15</v>
      </c>
      <c r="G239" s="324">
        <v>0.15</v>
      </c>
    </row>
    <row r="240" spans="1:7">
      <c r="A240" s="333" t="s">
        <v>284</v>
      </c>
      <c r="B240" s="322" t="s">
        <v>2835</v>
      </c>
      <c r="C240" s="323">
        <v>0.15</v>
      </c>
      <c r="D240" s="323">
        <v>0.15</v>
      </c>
      <c r="E240" s="323">
        <v>0.15</v>
      </c>
      <c r="F240" s="323">
        <v>0.15</v>
      </c>
      <c r="G240" s="324">
        <v>0.15</v>
      </c>
    </row>
    <row r="241" spans="1:7">
      <c r="A241" s="333" t="s">
        <v>284</v>
      </c>
      <c r="B241" s="322" t="s">
        <v>2846</v>
      </c>
      <c r="C241" s="323">
        <v>0.141</v>
      </c>
      <c r="D241" s="323">
        <v>0.142</v>
      </c>
      <c r="E241" s="323">
        <v>0.149</v>
      </c>
      <c r="F241" s="323">
        <v>0.15</v>
      </c>
      <c r="G241" s="324">
        <v>0.144</v>
      </c>
    </row>
    <row r="242" spans="1:7">
      <c r="A242" s="333" t="s">
        <v>284</v>
      </c>
      <c r="B242" s="322" t="s">
        <v>2856</v>
      </c>
      <c r="C242" s="323">
        <v>0.141</v>
      </c>
      <c r="D242" s="323">
        <v>0.142</v>
      </c>
      <c r="E242" s="323">
        <v>0.148</v>
      </c>
      <c r="F242" s="323">
        <v>0.127</v>
      </c>
      <c r="G242" s="324">
        <v>0.144</v>
      </c>
    </row>
    <row r="243" spans="1:7">
      <c r="A243" s="333" t="s">
        <v>284</v>
      </c>
      <c r="B243" s="322" t="s">
        <v>2866</v>
      </c>
      <c r="C243" s="323">
        <v>0.147</v>
      </c>
      <c r="D243" s="323">
        <v>0.147</v>
      </c>
      <c r="E243" s="323">
        <v>0.15</v>
      </c>
      <c r="F243" s="323">
        <v>0.15</v>
      </c>
      <c r="G243" s="324">
        <v>0.149</v>
      </c>
    </row>
    <row r="244" spans="1:7">
      <c r="A244" s="333" t="s">
        <v>284</v>
      </c>
      <c r="B244" s="322" t="s">
        <v>2876</v>
      </c>
      <c r="C244" s="323">
        <v>0.15</v>
      </c>
      <c r="D244" s="323">
        <v>0.15</v>
      </c>
      <c r="E244" s="323">
        <v>0.15</v>
      </c>
      <c r="F244" s="323">
        <v>0.15</v>
      </c>
      <c r="G244" s="324">
        <v>0.15</v>
      </c>
    </row>
    <row r="245" spans="1:7">
      <c r="A245" s="333" t="s">
        <v>284</v>
      </c>
      <c r="B245" s="322" t="s">
        <v>2886</v>
      </c>
      <c r="C245" s="323">
        <v>0.142</v>
      </c>
      <c r="D245" s="323">
        <v>0.142</v>
      </c>
      <c r="E245" s="323">
        <v>0.15</v>
      </c>
      <c r="F245" s="323">
        <v>0.15</v>
      </c>
      <c r="G245" s="324">
        <v>0.145</v>
      </c>
    </row>
    <row r="246" spans="1:7">
      <c r="A246" s="333" t="s">
        <v>284</v>
      </c>
      <c r="B246" s="322" t="s">
        <v>2896</v>
      </c>
      <c r="C246" s="323">
        <v>0.142</v>
      </c>
      <c r="D246" s="323">
        <v>0.143</v>
      </c>
      <c r="E246" s="323">
        <v>0.15</v>
      </c>
      <c r="F246" s="323">
        <v>0.142</v>
      </c>
      <c r="G246" s="324">
        <v>0.144</v>
      </c>
    </row>
    <row r="247" spans="1:7">
      <c r="A247" s="333" t="s">
        <v>284</v>
      </c>
      <c r="B247" s="322" t="s">
        <v>2906</v>
      </c>
      <c r="C247" s="323">
        <v>0.149</v>
      </c>
      <c r="D247" s="323">
        <v>0.149</v>
      </c>
      <c r="E247" s="323">
        <v>0.15</v>
      </c>
      <c r="F247" s="323">
        <v>0.15</v>
      </c>
      <c r="G247" s="324">
        <v>0.15</v>
      </c>
    </row>
    <row r="248" spans="1:7">
      <c r="A248" s="333" t="s">
        <v>284</v>
      </c>
      <c r="B248" s="322" t="s">
        <v>2916</v>
      </c>
      <c r="C248" s="323">
        <v>0.144</v>
      </c>
      <c r="D248" s="323">
        <v>0.144</v>
      </c>
      <c r="E248" s="323">
        <v>0.149</v>
      </c>
      <c r="F248" s="323">
        <v>0.148</v>
      </c>
      <c r="G248" s="324">
        <v>0.146</v>
      </c>
    </row>
    <row r="249" spans="1:7">
      <c r="A249" s="333" t="s">
        <v>284</v>
      </c>
      <c r="B249" s="322" t="s">
        <v>2926</v>
      </c>
      <c r="C249" s="323">
        <v>0.14</v>
      </c>
      <c r="D249" s="323">
        <v>0.14</v>
      </c>
      <c r="E249" s="323">
        <v>0.147</v>
      </c>
      <c r="F249" s="323">
        <v>0.149</v>
      </c>
      <c r="G249" s="324">
        <v>0.142</v>
      </c>
    </row>
    <row r="250" spans="1:7">
      <c r="A250" s="333" t="s">
        <v>284</v>
      </c>
      <c r="B250" s="322" t="s">
        <v>2936</v>
      </c>
      <c r="C250" s="323">
        <v>0.144</v>
      </c>
      <c r="D250" s="323">
        <v>0.143</v>
      </c>
      <c r="E250" s="323">
        <v>0.149</v>
      </c>
      <c r="F250" s="323">
        <v>0.15</v>
      </c>
      <c r="G250" s="324">
        <v>0.146</v>
      </c>
    </row>
    <row r="251" spans="1:7">
      <c r="A251" s="333" t="s">
        <v>284</v>
      </c>
      <c r="B251" s="322" t="s">
        <v>2946</v>
      </c>
      <c r="C251" s="339"/>
      <c r="D251" s="334"/>
      <c r="E251" s="334"/>
      <c r="F251" s="323">
        <v>0.1</v>
      </c>
      <c r="G251" s="340"/>
    </row>
    <row r="252" spans="1:7">
      <c r="A252" s="333" t="s">
        <v>284</v>
      </c>
      <c r="B252" s="322" t="s">
        <v>2956</v>
      </c>
      <c r="C252" s="323">
        <v>0.144</v>
      </c>
      <c r="D252" s="323">
        <v>0.144</v>
      </c>
      <c r="E252" s="323">
        <v>0.15</v>
      </c>
      <c r="F252" s="323">
        <v>0.149</v>
      </c>
      <c r="G252" s="324">
        <v>0.146</v>
      </c>
    </row>
    <row r="253" spans="1:7">
      <c r="A253" s="333" t="s">
        <v>284</v>
      </c>
      <c r="B253" s="322" t="s">
        <v>2965</v>
      </c>
      <c r="C253" s="323">
        <v>0.142</v>
      </c>
      <c r="D253" s="323">
        <v>0.142</v>
      </c>
      <c r="E253" s="323">
        <v>0.146</v>
      </c>
      <c r="F253" s="323">
        <v>0.148</v>
      </c>
      <c r="G253" s="324">
        <v>0.145</v>
      </c>
    </row>
    <row r="254" spans="1:7">
      <c r="A254" s="333" t="s">
        <v>284</v>
      </c>
      <c r="B254" s="322" t="s">
        <v>2974</v>
      </c>
      <c r="C254" s="323">
        <v>0.15</v>
      </c>
      <c r="D254" s="323">
        <v>0.15</v>
      </c>
      <c r="E254" s="323">
        <v>0.15</v>
      </c>
      <c r="F254" s="323">
        <v>0.15</v>
      </c>
      <c r="G254" s="324">
        <v>0.15</v>
      </c>
    </row>
    <row r="255" spans="1:7">
      <c r="A255" s="333" t="s">
        <v>284</v>
      </c>
      <c r="B255" s="322" t="s">
        <v>2982</v>
      </c>
      <c r="C255" s="323">
        <v>0.143</v>
      </c>
      <c r="D255" s="323">
        <v>0.143</v>
      </c>
      <c r="E255" s="323">
        <v>0.15</v>
      </c>
      <c r="F255" s="323">
        <v>0.15</v>
      </c>
      <c r="G255" s="324">
        <v>0.145</v>
      </c>
    </row>
    <row r="256" spans="1:7">
      <c r="A256" s="333" t="s">
        <v>284</v>
      </c>
      <c r="B256" s="322" t="s">
        <v>2990</v>
      </c>
      <c r="C256" s="323">
        <v>0.15</v>
      </c>
      <c r="D256" s="323">
        <v>0.15</v>
      </c>
      <c r="E256" s="323">
        <v>0.15</v>
      </c>
      <c r="F256" s="323">
        <v>0.146</v>
      </c>
      <c r="G256" s="324">
        <v>0.15</v>
      </c>
    </row>
    <row r="257" spans="1:7">
      <c r="A257" s="333" t="s">
        <v>284</v>
      </c>
      <c r="B257" s="322" t="s">
        <v>2998</v>
      </c>
      <c r="C257" s="323">
        <v>0.142</v>
      </c>
      <c r="D257" s="323">
        <v>0.143</v>
      </c>
      <c r="E257" s="323">
        <v>0.148</v>
      </c>
      <c r="F257" s="323">
        <v>0.15</v>
      </c>
      <c r="G257" s="324">
        <v>0.145</v>
      </c>
    </row>
    <row r="258" spans="1:7">
      <c r="A258" s="333" t="s">
        <v>284</v>
      </c>
      <c r="B258" s="322" t="s">
        <v>3006</v>
      </c>
      <c r="C258" s="323">
        <v>0.143</v>
      </c>
      <c r="D258" s="323">
        <v>0.143</v>
      </c>
      <c r="E258" s="323">
        <v>0.15</v>
      </c>
      <c r="F258" s="323">
        <v>0.148</v>
      </c>
      <c r="G258" s="324">
        <v>0.146</v>
      </c>
    </row>
    <row r="259" spans="1:7">
      <c r="A259" s="333" t="s">
        <v>284</v>
      </c>
      <c r="B259" s="322" t="s">
        <v>3013</v>
      </c>
      <c r="C259" s="323">
        <v>0.144</v>
      </c>
      <c r="D259" s="323">
        <v>0.144</v>
      </c>
      <c r="E259" s="323">
        <v>0.149</v>
      </c>
      <c r="F259" s="323">
        <v>0.147</v>
      </c>
      <c r="G259" s="324">
        <v>0.146</v>
      </c>
    </row>
    <row r="260" spans="1:7">
      <c r="A260" s="333" t="s">
        <v>284</v>
      </c>
      <c r="B260" s="322" t="s">
        <v>3020</v>
      </c>
      <c r="C260" s="323">
        <v>0.109</v>
      </c>
      <c r="D260" s="323">
        <v>0.111</v>
      </c>
      <c r="E260" s="323">
        <v>0.131</v>
      </c>
      <c r="F260" s="323">
        <v>0.126</v>
      </c>
      <c r="G260" s="324">
        <v>0.119</v>
      </c>
    </row>
    <row r="261" spans="1:7">
      <c r="A261" s="333" t="s">
        <v>284</v>
      </c>
      <c r="B261" s="322" t="s">
        <v>3027</v>
      </c>
      <c r="C261" s="323">
        <v>0.1</v>
      </c>
      <c r="D261" s="323">
        <v>0.1</v>
      </c>
      <c r="E261" s="323">
        <v>0.118</v>
      </c>
      <c r="F261" s="323">
        <v>0.108</v>
      </c>
      <c r="G261" s="324">
        <v>0.107</v>
      </c>
    </row>
    <row r="262" spans="1:7">
      <c r="A262" s="333" t="s">
        <v>284</v>
      </c>
      <c r="B262" s="322" t="s">
        <v>3034</v>
      </c>
      <c r="C262" s="323">
        <v>0.1</v>
      </c>
      <c r="D262" s="323">
        <v>0.1</v>
      </c>
      <c r="E262" s="323">
        <v>0.1</v>
      </c>
      <c r="F262" s="323">
        <v>0.141</v>
      </c>
      <c r="G262" s="324">
        <v>0.1</v>
      </c>
    </row>
    <row r="263" spans="1:7">
      <c r="A263" s="333" t="s">
        <v>284</v>
      </c>
      <c r="B263" s="322" t="s">
        <v>3041</v>
      </c>
      <c r="C263" s="323">
        <v>0.148</v>
      </c>
      <c r="D263" s="323">
        <v>0.148</v>
      </c>
      <c r="E263" s="323">
        <v>0.15</v>
      </c>
      <c r="F263" s="323">
        <v>0.147</v>
      </c>
      <c r="G263" s="324">
        <v>0.15</v>
      </c>
    </row>
    <row r="264" spans="1:7">
      <c r="A264" s="333" t="s">
        <v>284</v>
      </c>
      <c r="B264" s="322" t="s">
        <v>3048</v>
      </c>
      <c r="C264" s="323">
        <v>0.143</v>
      </c>
      <c r="D264" s="323">
        <v>0.143</v>
      </c>
      <c r="E264" s="323">
        <v>0.15</v>
      </c>
      <c r="F264" s="323">
        <v>0.149</v>
      </c>
      <c r="G264" s="324">
        <v>0.146</v>
      </c>
    </row>
    <row r="265" spans="1:7">
      <c r="A265" s="333" t="s">
        <v>284</v>
      </c>
      <c r="B265" s="322" t="s">
        <v>3055</v>
      </c>
      <c r="C265" s="334"/>
      <c r="D265" s="334"/>
      <c r="E265" s="334"/>
      <c r="F265" s="323">
        <v>0.05</v>
      </c>
      <c r="G265" s="340"/>
    </row>
    <row r="266" spans="1:7">
      <c r="A266" s="333" t="s">
        <v>284</v>
      </c>
      <c r="B266" s="322" t="s">
        <v>3060</v>
      </c>
      <c r="C266" s="334"/>
      <c r="D266" s="334"/>
      <c r="E266" s="334"/>
      <c r="F266" s="323">
        <v>0.05</v>
      </c>
      <c r="G266" s="340"/>
    </row>
    <row r="267" spans="1:7">
      <c r="A267" s="333" t="s">
        <v>284</v>
      </c>
      <c r="B267" s="322" t="s">
        <v>3065</v>
      </c>
      <c r="C267" s="334"/>
      <c r="D267" s="334"/>
      <c r="E267" s="334"/>
      <c r="F267" s="323">
        <v>0.05</v>
      </c>
      <c r="G267" s="340"/>
    </row>
    <row r="268" spans="1:7">
      <c r="A268" s="333" t="s">
        <v>284</v>
      </c>
      <c r="B268" s="322" t="s">
        <v>3070</v>
      </c>
      <c r="C268" s="334"/>
      <c r="D268" s="334"/>
      <c r="E268" s="334"/>
      <c r="F268" s="323">
        <v>0.05</v>
      </c>
      <c r="G268" s="340"/>
    </row>
    <row r="269" spans="1:7">
      <c r="A269" s="333" t="s">
        <v>284</v>
      </c>
      <c r="B269" s="322" t="s">
        <v>3075</v>
      </c>
      <c r="C269" s="334"/>
      <c r="D269" s="334"/>
      <c r="E269" s="334"/>
      <c r="F269" s="323">
        <v>0.05</v>
      </c>
      <c r="G269" s="340"/>
    </row>
    <row r="270" spans="1:7">
      <c r="A270" s="333" t="s">
        <v>284</v>
      </c>
      <c r="B270" s="322" t="s">
        <v>3080</v>
      </c>
      <c r="C270" s="334"/>
      <c r="D270" s="334"/>
      <c r="E270" s="334"/>
      <c r="F270" s="323">
        <v>0.05</v>
      </c>
      <c r="G270" s="340"/>
    </row>
    <row r="271" spans="1:7">
      <c r="A271" s="333" t="s">
        <v>284</v>
      </c>
      <c r="B271" s="322" t="s">
        <v>3085</v>
      </c>
      <c r="C271" s="334"/>
      <c r="D271" s="334"/>
      <c r="E271" s="334"/>
      <c r="F271" s="323">
        <v>0.05</v>
      </c>
      <c r="G271" s="340"/>
    </row>
    <row r="272" spans="1:7">
      <c r="A272" s="333" t="s">
        <v>284</v>
      </c>
      <c r="B272" s="322" t="s">
        <v>3090</v>
      </c>
      <c r="C272" s="334"/>
      <c r="D272" s="334"/>
      <c r="E272" s="334"/>
      <c r="F272" s="323">
        <v>0.05</v>
      </c>
      <c r="G272" s="340"/>
    </row>
    <row r="273" spans="1:7">
      <c r="A273" s="333" t="s">
        <v>284</v>
      </c>
      <c r="B273" s="322" t="s">
        <v>3095</v>
      </c>
      <c r="C273" s="334"/>
      <c r="D273" s="334"/>
      <c r="E273" s="334"/>
      <c r="F273" s="323">
        <v>0.05</v>
      </c>
      <c r="G273" s="340"/>
    </row>
    <row r="274" spans="1:7">
      <c r="A274" s="333" t="s">
        <v>284</v>
      </c>
      <c r="B274" s="322" t="s">
        <v>3099</v>
      </c>
      <c r="C274" s="334"/>
      <c r="D274" s="334"/>
      <c r="E274" s="334"/>
      <c r="F274" s="323">
        <v>0.05</v>
      </c>
      <c r="G274" s="340"/>
    </row>
    <row r="275" spans="1:7">
      <c r="A275" s="333" t="s">
        <v>284</v>
      </c>
      <c r="B275" s="322" t="s">
        <v>3103</v>
      </c>
      <c r="C275" s="334"/>
      <c r="D275" s="334"/>
      <c r="E275" s="334"/>
      <c r="F275" s="323">
        <v>0.05</v>
      </c>
      <c r="G275" s="340"/>
    </row>
    <row r="276" ht="15.15" spans="1:7">
      <c r="A276" s="336" t="s">
        <v>284</v>
      </c>
      <c r="B276" s="326" t="s">
        <v>3107</v>
      </c>
      <c r="C276" s="328"/>
      <c r="D276" s="328"/>
      <c r="E276" s="328"/>
      <c r="F276" s="327">
        <v>0.05</v>
      </c>
      <c r="G276" s="341"/>
    </row>
    <row r="277" spans="1:7">
      <c r="A277" s="332" t="s">
        <v>288</v>
      </c>
      <c r="B277" s="318" t="s">
        <v>2763</v>
      </c>
      <c r="C277" s="319">
        <v>0.15</v>
      </c>
      <c r="D277" s="319">
        <v>0.15</v>
      </c>
      <c r="E277" s="319">
        <v>0.15</v>
      </c>
      <c r="F277" s="319">
        <v>0.15</v>
      </c>
      <c r="G277" s="320">
        <v>0.15</v>
      </c>
    </row>
    <row r="278" spans="1:7">
      <c r="A278" s="333" t="s">
        <v>288</v>
      </c>
      <c r="B278" s="322" t="s">
        <v>2776</v>
      </c>
      <c r="C278" s="323">
        <v>0.15</v>
      </c>
      <c r="D278" s="323">
        <v>0.15</v>
      </c>
      <c r="E278" s="323">
        <v>0.15</v>
      </c>
      <c r="F278" s="323">
        <v>0.15</v>
      </c>
      <c r="G278" s="324">
        <v>0.15</v>
      </c>
    </row>
    <row r="279" spans="1:7">
      <c r="A279" s="333" t="s">
        <v>288</v>
      </c>
      <c r="B279" s="322" t="s">
        <v>2790</v>
      </c>
      <c r="C279" s="323">
        <v>0.15</v>
      </c>
      <c r="D279" s="323">
        <v>0.15</v>
      </c>
      <c r="E279" s="323">
        <v>0.15</v>
      </c>
      <c r="F279" s="323">
        <v>0.15</v>
      </c>
      <c r="G279" s="324">
        <v>0.15</v>
      </c>
    </row>
    <row r="280" spans="1:7">
      <c r="A280" s="333" t="s">
        <v>288</v>
      </c>
      <c r="B280" s="322" t="s">
        <v>2802</v>
      </c>
      <c r="C280" s="323">
        <v>0.15</v>
      </c>
      <c r="D280" s="323">
        <v>0.15</v>
      </c>
      <c r="E280" s="323">
        <v>0.15</v>
      </c>
      <c r="F280" s="323">
        <v>0.15</v>
      </c>
      <c r="G280" s="324">
        <v>0.15</v>
      </c>
    </row>
    <row r="281" spans="1:7">
      <c r="A281" s="333" t="s">
        <v>288</v>
      </c>
      <c r="B281" s="322" t="s">
        <v>2814</v>
      </c>
      <c r="C281" s="323">
        <v>0.15</v>
      </c>
      <c r="D281" s="323">
        <v>0.15</v>
      </c>
      <c r="E281" s="323">
        <v>0.15</v>
      </c>
      <c r="F281" s="323">
        <v>0.15</v>
      </c>
      <c r="G281" s="324">
        <v>0.15</v>
      </c>
    </row>
    <row r="282" spans="1:7">
      <c r="A282" s="333" t="s">
        <v>288</v>
      </c>
      <c r="B282" s="322" t="s">
        <v>2825</v>
      </c>
      <c r="C282" s="323">
        <v>0.15</v>
      </c>
      <c r="D282" s="323">
        <v>0.15</v>
      </c>
      <c r="E282" s="323">
        <v>0.15</v>
      </c>
      <c r="F282" s="323">
        <v>0.145</v>
      </c>
      <c r="G282" s="324">
        <v>0.15</v>
      </c>
    </row>
    <row r="283" spans="1:7">
      <c r="A283" s="333" t="s">
        <v>288</v>
      </c>
      <c r="B283" s="322" t="s">
        <v>2836</v>
      </c>
      <c r="C283" s="323">
        <v>0.15</v>
      </c>
      <c r="D283" s="323">
        <v>0.15</v>
      </c>
      <c r="E283" s="323">
        <v>0.15</v>
      </c>
      <c r="F283" s="323">
        <v>0.142</v>
      </c>
      <c r="G283" s="324">
        <v>0.15</v>
      </c>
    </row>
    <row r="284" spans="1:7">
      <c r="A284" s="333" t="s">
        <v>288</v>
      </c>
      <c r="B284" s="322" t="s">
        <v>2847</v>
      </c>
      <c r="C284" s="323">
        <v>0.15</v>
      </c>
      <c r="D284" s="323">
        <v>0.15</v>
      </c>
      <c r="E284" s="323">
        <v>0.15</v>
      </c>
      <c r="F284" s="323">
        <v>0.15</v>
      </c>
      <c r="G284" s="324">
        <v>0.15</v>
      </c>
    </row>
    <row r="285" spans="1:7">
      <c r="A285" s="333" t="s">
        <v>288</v>
      </c>
      <c r="B285" s="322" t="s">
        <v>2857</v>
      </c>
      <c r="C285" s="323">
        <v>0.15</v>
      </c>
      <c r="D285" s="323">
        <v>0.15</v>
      </c>
      <c r="E285" s="323">
        <v>0.15</v>
      </c>
      <c r="F285" s="323">
        <v>0.15</v>
      </c>
      <c r="G285" s="324">
        <v>0.15</v>
      </c>
    </row>
    <row r="286" spans="1:7">
      <c r="A286" s="333" t="s">
        <v>288</v>
      </c>
      <c r="B286" s="322" t="s">
        <v>2867</v>
      </c>
      <c r="C286" s="323">
        <v>0.145</v>
      </c>
      <c r="D286" s="323">
        <v>0.145</v>
      </c>
      <c r="E286" s="323">
        <v>0.15</v>
      </c>
      <c r="F286" s="323">
        <v>0.141</v>
      </c>
      <c r="G286" s="324">
        <v>0.145</v>
      </c>
    </row>
    <row r="287" spans="1:7">
      <c r="A287" s="333" t="s">
        <v>288</v>
      </c>
      <c r="B287" s="322" t="s">
        <v>2877</v>
      </c>
      <c r="C287" s="323">
        <v>0.11</v>
      </c>
      <c r="D287" s="323">
        <v>0.111</v>
      </c>
      <c r="E287" s="323">
        <v>0.141</v>
      </c>
      <c r="F287" s="323">
        <v>0.11</v>
      </c>
      <c r="G287" s="324">
        <v>0.12</v>
      </c>
    </row>
    <row r="288" spans="1:7">
      <c r="A288" s="333" t="s">
        <v>288</v>
      </c>
      <c r="B288" s="322" t="s">
        <v>2887</v>
      </c>
      <c r="C288" s="323">
        <v>0.142</v>
      </c>
      <c r="D288" s="323">
        <v>0.143</v>
      </c>
      <c r="E288" s="323">
        <v>0.15</v>
      </c>
      <c r="F288" s="323">
        <v>0.142</v>
      </c>
      <c r="G288" s="324">
        <v>0.144</v>
      </c>
    </row>
    <row r="289" spans="1:7">
      <c r="A289" s="333" t="s">
        <v>288</v>
      </c>
      <c r="B289" s="322" t="s">
        <v>2897</v>
      </c>
      <c r="C289" s="323">
        <v>0.143</v>
      </c>
      <c r="D289" s="323">
        <v>0.143</v>
      </c>
      <c r="E289" s="323">
        <v>0.148</v>
      </c>
      <c r="F289" s="323">
        <v>0.144</v>
      </c>
      <c r="G289" s="324">
        <v>0.144</v>
      </c>
    </row>
    <row r="290" spans="1:7">
      <c r="A290" s="333" t="s">
        <v>288</v>
      </c>
      <c r="B290" s="322" t="s">
        <v>2907</v>
      </c>
      <c r="C290" s="323">
        <v>0.148</v>
      </c>
      <c r="D290" s="323">
        <v>0.149</v>
      </c>
      <c r="E290" s="323">
        <v>0.15</v>
      </c>
      <c r="F290" s="323">
        <v>0.127</v>
      </c>
      <c r="G290" s="324">
        <v>0.15</v>
      </c>
    </row>
    <row r="291" spans="1:7">
      <c r="A291" s="333" t="s">
        <v>288</v>
      </c>
      <c r="B291" s="322" t="s">
        <v>2917</v>
      </c>
      <c r="C291" s="323">
        <v>0.15</v>
      </c>
      <c r="D291" s="323">
        <v>0.15</v>
      </c>
      <c r="E291" s="323">
        <v>0.15</v>
      </c>
      <c r="F291" s="323">
        <v>0.149</v>
      </c>
      <c r="G291" s="324">
        <v>0.15</v>
      </c>
    </row>
    <row r="292" spans="1:7">
      <c r="A292" s="333" t="s">
        <v>288</v>
      </c>
      <c r="B292" s="322" t="s">
        <v>2927</v>
      </c>
      <c r="C292" s="323">
        <v>0.15</v>
      </c>
      <c r="D292" s="323">
        <v>0.15</v>
      </c>
      <c r="E292" s="323">
        <v>0.15</v>
      </c>
      <c r="F292" s="323">
        <v>0.144</v>
      </c>
      <c r="G292" s="324">
        <v>0.15</v>
      </c>
    </row>
    <row r="293" spans="1:7">
      <c r="A293" s="333" t="s">
        <v>288</v>
      </c>
      <c r="B293" s="322" t="s">
        <v>2937</v>
      </c>
      <c r="C293" s="323">
        <v>0.15</v>
      </c>
      <c r="D293" s="323">
        <v>0.15</v>
      </c>
      <c r="E293" s="323">
        <v>0.15</v>
      </c>
      <c r="F293" s="323">
        <v>0.145</v>
      </c>
      <c r="G293" s="324">
        <v>0.15</v>
      </c>
    </row>
    <row r="294" spans="1:7">
      <c r="A294" s="333" t="s">
        <v>288</v>
      </c>
      <c r="B294" s="322" t="s">
        <v>2947</v>
      </c>
      <c r="C294" s="323">
        <v>0.15</v>
      </c>
      <c r="D294" s="323">
        <v>0.15</v>
      </c>
      <c r="E294" s="323">
        <v>0.15</v>
      </c>
      <c r="F294" s="323">
        <v>0.149</v>
      </c>
      <c r="G294" s="324">
        <v>0.15</v>
      </c>
    </row>
    <row r="295" spans="1:7">
      <c r="A295" s="333" t="s">
        <v>288</v>
      </c>
      <c r="B295" s="322" t="s">
        <v>2957</v>
      </c>
      <c r="C295" s="323">
        <v>0.15</v>
      </c>
      <c r="D295" s="323">
        <v>0.15</v>
      </c>
      <c r="E295" s="323">
        <v>0.15</v>
      </c>
      <c r="F295" s="323">
        <v>0.148</v>
      </c>
      <c r="G295" s="324">
        <v>0.15</v>
      </c>
    </row>
    <row r="296" spans="1:7">
      <c r="A296" s="333" t="s">
        <v>288</v>
      </c>
      <c r="B296" s="322" t="s">
        <v>2966</v>
      </c>
      <c r="C296" s="323">
        <v>0.15</v>
      </c>
      <c r="D296" s="323">
        <v>0.15</v>
      </c>
      <c r="E296" s="323">
        <v>0.15</v>
      </c>
      <c r="F296" s="323">
        <v>0.144</v>
      </c>
      <c r="G296" s="324">
        <v>0.15</v>
      </c>
    </row>
    <row r="297" spans="1:7">
      <c r="A297" s="333" t="s">
        <v>288</v>
      </c>
      <c r="B297" s="322" t="s">
        <v>2975</v>
      </c>
      <c r="C297" s="323">
        <v>0.15</v>
      </c>
      <c r="D297" s="323">
        <v>0.15</v>
      </c>
      <c r="E297" s="323">
        <v>0.15</v>
      </c>
      <c r="F297" s="323">
        <v>0.145</v>
      </c>
      <c r="G297" s="324">
        <v>0.15</v>
      </c>
    </row>
    <row r="298" spans="1:7">
      <c r="A298" s="333" t="s">
        <v>288</v>
      </c>
      <c r="B298" s="322" t="s">
        <v>2983</v>
      </c>
      <c r="C298" s="323">
        <v>0.15</v>
      </c>
      <c r="D298" s="323">
        <v>0.15</v>
      </c>
      <c r="E298" s="323">
        <v>0.15</v>
      </c>
      <c r="F298" s="323">
        <v>0.15</v>
      </c>
      <c r="G298" s="324">
        <v>0.15</v>
      </c>
    </row>
    <row r="299" spans="1:7">
      <c r="A299" s="333" t="s">
        <v>288</v>
      </c>
      <c r="B299" s="342" t="s">
        <v>2991</v>
      </c>
      <c r="C299" s="323">
        <v>0.15</v>
      </c>
      <c r="D299" s="323">
        <v>0.15</v>
      </c>
      <c r="E299" s="323">
        <v>0.15</v>
      </c>
      <c r="F299" s="323">
        <v>0.145</v>
      </c>
      <c r="G299" s="324">
        <v>0.15</v>
      </c>
    </row>
    <row r="300" spans="1:7">
      <c r="A300" s="333" t="s">
        <v>288</v>
      </c>
      <c r="B300" s="342" t="s">
        <v>2999</v>
      </c>
      <c r="C300" s="323">
        <v>0.15</v>
      </c>
      <c r="D300" s="323">
        <v>0.15</v>
      </c>
      <c r="E300" s="323">
        <v>0.15</v>
      </c>
      <c r="F300" s="323">
        <v>0.146</v>
      </c>
      <c r="G300" s="324">
        <v>0.15</v>
      </c>
    </row>
    <row r="301" spans="1:7">
      <c r="A301" s="333" t="s">
        <v>288</v>
      </c>
      <c r="B301" s="342" t="s">
        <v>3007</v>
      </c>
      <c r="C301" s="323">
        <v>0.126</v>
      </c>
      <c r="D301" s="323">
        <v>0.124</v>
      </c>
      <c r="E301" s="323">
        <v>0.141</v>
      </c>
      <c r="F301" s="323">
        <v>0.144</v>
      </c>
      <c r="G301" s="324">
        <v>0.13</v>
      </c>
    </row>
    <row r="302" spans="1:7">
      <c r="A302" s="333" t="s">
        <v>288</v>
      </c>
      <c r="B302" s="322" t="s">
        <v>3014</v>
      </c>
      <c r="C302" s="323">
        <v>0.15</v>
      </c>
      <c r="D302" s="323">
        <v>0.15</v>
      </c>
      <c r="E302" s="323">
        <v>0.15</v>
      </c>
      <c r="F302" s="323">
        <v>0.147</v>
      </c>
      <c r="G302" s="324">
        <v>0.15</v>
      </c>
    </row>
    <row r="303" spans="1:7">
      <c r="A303" s="333" t="s">
        <v>288</v>
      </c>
      <c r="B303" s="322" t="s">
        <v>3021</v>
      </c>
      <c r="C303" s="323">
        <v>0.15</v>
      </c>
      <c r="D303" s="323">
        <v>0.15</v>
      </c>
      <c r="E303" s="323">
        <v>0.15</v>
      </c>
      <c r="F303" s="323">
        <v>0.142</v>
      </c>
      <c r="G303" s="324">
        <v>0.15</v>
      </c>
    </row>
    <row r="304" spans="1:7">
      <c r="A304" s="333" t="s">
        <v>288</v>
      </c>
      <c r="B304" s="322" t="s">
        <v>3028</v>
      </c>
      <c r="C304" s="323">
        <v>0.15</v>
      </c>
      <c r="D304" s="323">
        <v>0.15</v>
      </c>
      <c r="E304" s="323">
        <v>0.15</v>
      </c>
      <c r="F304" s="323">
        <v>0.145</v>
      </c>
      <c r="G304" s="324">
        <v>0.15</v>
      </c>
    </row>
    <row r="305" spans="1:7">
      <c r="A305" s="333" t="s">
        <v>288</v>
      </c>
      <c r="B305" s="322" t="s">
        <v>3035</v>
      </c>
      <c r="C305" s="323">
        <v>0.15</v>
      </c>
      <c r="D305" s="323">
        <v>0.15</v>
      </c>
      <c r="E305" s="323">
        <v>0.15</v>
      </c>
      <c r="F305" s="323">
        <v>0.111</v>
      </c>
      <c r="G305" s="324">
        <v>0.15</v>
      </c>
    </row>
    <row r="306" spans="1:7">
      <c r="A306" s="333" t="s">
        <v>288</v>
      </c>
      <c r="B306" s="322" t="s">
        <v>3042</v>
      </c>
      <c r="C306" s="323">
        <v>0.15</v>
      </c>
      <c r="D306" s="323">
        <v>0.15</v>
      </c>
      <c r="E306" s="323">
        <v>0.15</v>
      </c>
      <c r="F306" s="323">
        <v>0.126</v>
      </c>
      <c r="G306" s="324">
        <v>0.15</v>
      </c>
    </row>
    <row r="307" spans="1:7">
      <c r="A307" s="333" t="s">
        <v>288</v>
      </c>
      <c r="B307" s="322" t="s">
        <v>3049</v>
      </c>
      <c r="C307" s="323">
        <v>0.15</v>
      </c>
      <c r="D307" s="323">
        <v>0.15</v>
      </c>
      <c r="E307" s="323">
        <v>0.15</v>
      </c>
      <c r="F307" s="323">
        <v>0.12</v>
      </c>
      <c r="G307" s="324">
        <v>0.15</v>
      </c>
    </row>
    <row r="308" spans="1:7">
      <c r="A308" s="333" t="s">
        <v>288</v>
      </c>
      <c r="B308" s="322" t="s">
        <v>3056</v>
      </c>
      <c r="C308" s="323">
        <v>0.15</v>
      </c>
      <c r="D308" s="323">
        <v>0.15</v>
      </c>
      <c r="E308" s="323">
        <v>0.15</v>
      </c>
      <c r="F308" s="323">
        <v>0.13</v>
      </c>
      <c r="G308" s="324">
        <v>0.15</v>
      </c>
    </row>
    <row r="309" spans="1:7">
      <c r="A309" s="333" t="s">
        <v>288</v>
      </c>
      <c r="B309" s="322" t="s">
        <v>3061</v>
      </c>
      <c r="C309" s="323">
        <v>0.15</v>
      </c>
      <c r="D309" s="323">
        <v>0.15</v>
      </c>
      <c r="E309" s="323">
        <v>0.15</v>
      </c>
      <c r="F309" s="323">
        <v>0.141</v>
      </c>
      <c r="G309" s="324">
        <v>0.15</v>
      </c>
    </row>
    <row r="310" spans="1:7">
      <c r="A310" s="333" t="s">
        <v>288</v>
      </c>
      <c r="B310" s="322" t="s">
        <v>3066</v>
      </c>
      <c r="C310" s="323">
        <v>0.15</v>
      </c>
      <c r="D310" s="323">
        <v>0.15</v>
      </c>
      <c r="E310" s="323">
        <v>0.15</v>
      </c>
      <c r="F310" s="323">
        <v>0.15</v>
      </c>
      <c r="G310" s="324">
        <v>0.15</v>
      </c>
    </row>
    <row r="311" spans="1:7">
      <c r="A311" s="333" t="s">
        <v>288</v>
      </c>
      <c r="B311" s="322" t="s">
        <v>3071</v>
      </c>
      <c r="C311" s="323">
        <v>0.132</v>
      </c>
      <c r="D311" s="323">
        <v>0.133</v>
      </c>
      <c r="E311" s="323">
        <v>0.145</v>
      </c>
      <c r="F311" s="323">
        <v>0.142</v>
      </c>
      <c r="G311" s="324">
        <v>0.14</v>
      </c>
    </row>
    <row r="312" spans="1:7">
      <c r="A312" s="333" t="s">
        <v>288</v>
      </c>
      <c r="B312" s="322" t="s">
        <v>3076</v>
      </c>
      <c r="C312" s="323">
        <v>0.138</v>
      </c>
      <c r="D312" s="323">
        <v>0.14</v>
      </c>
      <c r="E312" s="323">
        <v>0.146</v>
      </c>
      <c r="F312" s="323">
        <v>0.149</v>
      </c>
      <c r="G312" s="324">
        <v>0.142</v>
      </c>
    </row>
    <row r="313" spans="1:7">
      <c r="A313" s="333" t="s">
        <v>288</v>
      </c>
      <c r="B313" s="322" t="s">
        <v>3081</v>
      </c>
      <c r="C313" s="323">
        <v>0.125</v>
      </c>
      <c r="D313" s="323">
        <v>0.127</v>
      </c>
      <c r="E313" s="323">
        <v>0.144</v>
      </c>
      <c r="F313" s="323">
        <v>0.115</v>
      </c>
      <c r="G313" s="324">
        <v>0.136</v>
      </c>
    </row>
    <row r="314" spans="1:7">
      <c r="A314" s="333" t="s">
        <v>288</v>
      </c>
      <c r="B314" s="322" t="s">
        <v>3086</v>
      </c>
      <c r="C314" s="339"/>
      <c r="D314" s="339"/>
      <c r="E314" s="339"/>
      <c r="F314" s="323">
        <v>0.05</v>
      </c>
      <c r="G314" s="340"/>
    </row>
    <row r="315" spans="1:7">
      <c r="A315" s="333" t="s">
        <v>288</v>
      </c>
      <c r="B315" s="322" t="s">
        <v>3091</v>
      </c>
      <c r="C315" s="339"/>
      <c r="D315" s="339"/>
      <c r="E315" s="339"/>
      <c r="F315" s="323">
        <v>0.05</v>
      </c>
      <c r="G315" s="340"/>
    </row>
    <row r="316" spans="1:7">
      <c r="A316" s="333" t="s">
        <v>288</v>
      </c>
      <c r="B316" s="322" t="s">
        <v>3096</v>
      </c>
      <c r="C316" s="334"/>
      <c r="D316" s="334"/>
      <c r="E316" s="334"/>
      <c r="F316" s="323">
        <v>0.05</v>
      </c>
      <c r="G316" s="340"/>
    </row>
    <row r="317" spans="1:7">
      <c r="A317" s="333" t="s">
        <v>288</v>
      </c>
      <c r="B317" s="322" t="s">
        <v>3100</v>
      </c>
      <c r="C317" s="334"/>
      <c r="D317" s="334"/>
      <c r="E317" s="334"/>
      <c r="F317" s="323">
        <v>0.05</v>
      </c>
      <c r="G317" s="340"/>
    </row>
    <row r="318" spans="1:7">
      <c r="A318" s="333" t="s">
        <v>288</v>
      </c>
      <c r="B318" s="322" t="s">
        <v>3104</v>
      </c>
      <c r="C318" s="334"/>
      <c r="D318" s="334"/>
      <c r="E318" s="334"/>
      <c r="F318" s="323">
        <v>0.05</v>
      </c>
      <c r="G318" s="340"/>
    </row>
    <row r="319" spans="1:7">
      <c r="A319" s="333" t="s">
        <v>288</v>
      </c>
      <c r="B319" s="322" t="s">
        <v>3108</v>
      </c>
      <c r="C319" s="334"/>
      <c r="D319" s="334"/>
      <c r="E319" s="334"/>
      <c r="F319" s="323">
        <v>0.05</v>
      </c>
      <c r="G319" s="340"/>
    </row>
    <row r="320" spans="1:7">
      <c r="A320" s="333" t="s">
        <v>288</v>
      </c>
      <c r="B320" s="322" t="s">
        <v>3111</v>
      </c>
      <c r="C320" s="334"/>
      <c r="D320" s="334"/>
      <c r="E320" s="334"/>
      <c r="F320" s="323">
        <v>0.05</v>
      </c>
      <c r="G320" s="340"/>
    </row>
    <row r="321" spans="1:7">
      <c r="A321" s="333" t="s">
        <v>288</v>
      </c>
      <c r="B321" s="322" t="s">
        <v>3113</v>
      </c>
      <c r="C321" s="334"/>
      <c r="D321" s="334"/>
      <c r="E321" s="334"/>
      <c r="F321" s="323">
        <v>0.05</v>
      </c>
      <c r="G321" s="340"/>
    </row>
    <row r="322" spans="1:7">
      <c r="A322" s="333" t="s">
        <v>288</v>
      </c>
      <c r="B322" s="322" t="s">
        <v>3115</v>
      </c>
      <c r="C322" s="334"/>
      <c r="D322" s="334"/>
      <c r="E322" s="334"/>
      <c r="F322" s="323">
        <v>0.05</v>
      </c>
      <c r="G322" s="340"/>
    </row>
    <row r="323" spans="1:7">
      <c r="A323" s="333" t="s">
        <v>288</v>
      </c>
      <c r="B323" s="322" t="s">
        <v>3117</v>
      </c>
      <c r="C323" s="334"/>
      <c r="D323" s="334"/>
      <c r="E323" s="334"/>
      <c r="F323" s="323">
        <v>0.05</v>
      </c>
      <c r="G323" s="340"/>
    </row>
    <row r="324" spans="1:7">
      <c r="A324" s="333" t="s">
        <v>288</v>
      </c>
      <c r="B324" s="322" t="s">
        <v>3119</v>
      </c>
      <c r="C324" s="334"/>
      <c r="D324" s="334"/>
      <c r="E324" s="334"/>
      <c r="F324" s="323">
        <v>0.05</v>
      </c>
      <c r="G324" s="340"/>
    </row>
    <row r="325" spans="1:7">
      <c r="A325" s="333" t="s">
        <v>288</v>
      </c>
      <c r="B325" s="322" t="s">
        <v>3121</v>
      </c>
      <c r="C325" s="334"/>
      <c r="D325" s="334"/>
      <c r="E325" s="334"/>
      <c r="F325" s="323">
        <v>0.05</v>
      </c>
      <c r="G325" s="340"/>
    </row>
    <row r="326" ht="15.15" spans="1:7">
      <c r="A326" s="336" t="s">
        <v>288</v>
      </c>
      <c r="B326" s="326" t="s">
        <v>3123</v>
      </c>
      <c r="C326" s="328"/>
      <c r="D326" s="328"/>
      <c r="E326" s="328"/>
      <c r="F326" s="327">
        <v>0.05</v>
      </c>
      <c r="G326" s="341"/>
    </row>
    <row r="327" spans="1:7">
      <c r="A327" s="332" t="s">
        <v>292</v>
      </c>
      <c r="B327" s="318" t="s">
        <v>2764</v>
      </c>
      <c r="C327" s="319">
        <v>0.15</v>
      </c>
      <c r="D327" s="319">
        <v>0.15</v>
      </c>
      <c r="E327" s="319">
        <v>0.15</v>
      </c>
      <c r="F327" s="319">
        <v>0.15</v>
      </c>
      <c r="G327" s="320">
        <v>0.15</v>
      </c>
    </row>
    <row r="328" spans="1:7">
      <c r="A328" s="333" t="s">
        <v>292</v>
      </c>
      <c r="B328" s="322" t="s">
        <v>2777</v>
      </c>
      <c r="C328" s="323">
        <v>0.15</v>
      </c>
      <c r="D328" s="323">
        <v>0.15</v>
      </c>
      <c r="E328" s="323">
        <v>0.15</v>
      </c>
      <c r="F328" s="323">
        <v>0.126</v>
      </c>
      <c r="G328" s="324">
        <v>0.15</v>
      </c>
    </row>
    <row r="329" spans="1:7">
      <c r="A329" s="333" t="s">
        <v>292</v>
      </c>
      <c r="B329" s="322" t="s">
        <v>2791</v>
      </c>
      <c r="C329" s="323">
        <v>0.15</v>
      </c>
      <c r="D329" s="323">
        <v>0.15</v>
      </c>
      <c r="E329" s="323">
        <v>0.15</v>
      </c>
      <c r="F329" s="323">
        <v>0.15</v>
      </c>
      <c r="G329" s="324">
        <v>0.15</v>
      </c>
    </row>
    <row r="330" spans="1:7">
      <c r="A330" s="333" t="s">
        <v>292</v>
      </c>
      <c r="B330" s="322" t="s">
        <v>2803</v>
      </c>
      <c r="C330" s="323">
        <v>0.15</v>
      </c>
      <c r="D330" s="323">
        <v>0.15</v>
      </c>
      <c r="E330" s="323">
        <v>0.15</v>
      </c>
      <c r="F330" s="323">
        <v>0.15</v>
      </c>
      <c r="G330" s="324">
        <v>0.15</v>
      </c>
    </row>
    <row r="331" spans="1:7">
      <c r="A331" s="333" t="s">
        <v>292</v>
      </c>
      <c r="B331" s="322" t="s">
        <v>2815</v>
      </c>
      <c r="C331" s="323">
        <v>0.15</v>
      </c>
      <c r="D331" s="323">
        <v>0.15</v>
      </c>
      <c r="E331" s="323">
        <v>0.15</v>
      </c>
      <c r="F331" s="323">
        <v>0.15</v>
      </c>
      <c r="G331" s="324">
        <v>0.15</v>
      </c>
    </row>
    <row r="332" spans="1:7">
      <c r="A332" s="333" t="s">
        <v>292</v>
      </c>
      <c r="B332" s="322" t="s">
        <v>2826</v>
      </c>
      <c r="C332" s="323">
        <v>0.15</v>
      </c>
      <c r="D332" s="323">
        <v>0.15</v>
      </c>
      <c r="E332" s="323">
        <v>0.15</v>
      </c>
      <c r="F332" s="323">
        <v>0.15</v>
      </c>
      <c r="G332" s="324">
        <v>0.15</v>
      </c>
    </row>
    <row r="333" spans="1:7">
      <c r="A333" s="333" t="s">
        <v>292</v>
      </c>
      <c r="B333" s="322" t="s">
        <v>2837</v>
      </c>
      <c r="C333" s="323">
        <v>0.149</v>
      </c>
      <c r="D333" s="323">
        <v>0.149</v>
      </c>
      <c r="E333" s="323">
        <v>0.15</v>
      </c>
      <c r="F333" s="323">
        <v>0.116</v>
      </c>
      <c r="G333" s="324">
        <v>0.15</v>
      </c>
    </row>
    <row r="334" spans="1:7">
      <c r="A334" s="333" t="s">
        <v>292</v>
      </c>
      <c r="B334" s="322" t="s">
        <v>2848</v>
      </c>
      <c r="C334" s="323">
        <v>0.15</v>
      </c>
      <c r="D334" s="323">
        <v>0.15</v>
      </c>
      <c r="E334" s="323">
        <v>0.15</v>
      </c>
      <c r="F334" s="323">
        <v>0.13</v>
      </c>
      <c r="G334" s="324">
        <v>0.15</v>
      </c>
    </row>
    <row r="335" spans="1:7">
      <c r="A335" s="333" t="s">
        <v>292</v>
      </c>
      <c r="B335" s="322" t="s">
        <v>2858</v>
      </c>
      <c r="C335" s="323">
        <v>0.15</v>
      </c>
      <c r="D335" s="323">
        <v>0.15</v>
      </c>
      <c r="E335" s="323">
        <v>0.15</v>
      </c>
      <c r="F335" s="323">
        <v>0.144</v>
      </c>
      <c r="G335" s="324">
        <v>0.15</v>
      </c>
    </row>
    <row r="336" spans="1:7">
      <c r="A336" s="333" t="s">
        <v>292</v>
      </c>
      <c r="B336" s="322" t="s">
        <v>2868</v>
      </c>
      <c r="C336" s="323">
        <v>0.15</v>
      </c>
      <c r="D336" s="323">
        <v>0.15</v>
      </c>
      <c r="E336" s="323">
        <v>0.15</v>
      </c>
      <c r="F336" s="323">
        <v>0.142</v>
      </c>
      <c r="G336" s="324">
        <v>0.15</v>
      </c>
    </row>
    <row r="337" spans="1:7">
      <c r="A337" s="333" t="s">
        <v>292</v>
      </c>
      <c r="B337" s="322" t="s">
        <v>2878</v>
      </c>
      <c r="C337" s="323">
        <v>0.15</v>
      </c>
      <c r="D337" s="323">
        <v>0.15</v>
      </c>
      <c r="E337" s="323">
        <v>0.15</v>
      </c>
      <c r="F337" s="323">
        <v>0.145</v>
      </c>
      <c r="G337" s="324">
        <v>0.15</v>
      </c>
    </row>
    <row r="338" spans="1:7">
      <c r="A338" s="333" t="s">
        <v>292</v>
      </c>
      <c r="B338" s="322" t="s">
        <v>2888</v>
      </c>
      <c r="C338" s="323">
        <v>0.15</v>
      </c>
      <c r="D338" s="323">
        <v>0.15</v>
      </c>
      <c r="E338" s="323">
        <v>0.15</v>
      </c>
      <c r="F338" s="323">
        <v>0.15</v>
      </c>
      <c r="G338" s="324">
        <v>0.15</v>
      </c>
    </row>
    <row r="339" spans="1:7">
      <c r="A339" s="333" t="s">
        <v>292</v>
      </c>
      <c r="B339" s="322" t="s">
        <v>2898</v>
      </c>
      <c r="C339" s="323">
        <v>0.15</v>
      </c>
      <c r="D339" s="323">
        <v>0.15</v>
      </c>
      <c r="E339" s="323">
        <v>0.15</v>
      </c>
      <c r="F339" s="323">
        <v>0.147</v>
      </c>
      <c r="G339" s="324">
        <v>0.15</v>
      </c>
    </row>
    <row r="340" spans="1:7">
      <c r="A340" s="333" t="s">
        <v>292</v>
      </c>
      <c r="B340" s="322" t="s">
        <v>2908</v>
      </c>
      <c r="C340" s="323">
        <v>0.146</v>
      </c>
      <c r="D340" s="323">
        <v>0.146</v>
      </c>
      <c r="E340" s="323">
        <v>0.15</v>
      </c>
      <c r="F340" s="323">
        <v>0.141</v>
      </c>
      <c r="G340" s="324">
        <v>0.147</v>
      </c>
    </row>
    <row r="341" spans="1:7">
      <c r="A341" s="333" t="s">
        <v>292</v>
      </c>
      <c r="B341" s="322" t="s">
        <v>2918</v>
      </c>
      <c r="C341" s="323">
        <v>0.126</v>
      </c>
      <c r="D341" s="323">
        <v>0.124</v>
      </c>
      <c r="E341" s="323">
        <v>0.141</v>
      </c>
      <c r="F341" s="323">
        <v>0.144</v>
      </c>
      <c r="G341" s="324">
        <v>0.13</v>
      </c>
    </row>
    <row r="342" spans="1:7">
      <c r="A342" s="333" t="s">
        <v>292</v>
      </c>
      <c r="B342" s="322" t="s">
        <v>2928</v>
      </c>
      <c r="C342" s="323">
        <v>0.15</v>
      </c>
      <c r="D342" s="323">
        <v>0.15</v>
      </c>
      <c r="E342" s="323">
        <v>0.15</v>
      </c>
      <c r="F342" s="323">
        <v>0.144</v>
      </c>
      <c r="G342" s="324">
        <v>0.15</v>
      </c>
    </row>
    <row r="343" spans="1:7">
      <c r="A343" s="333" t="s">
        <v>292</v>
      </c>
      <c r="B343" s="322" t="s">
        <v>2938</v>
      </c>
      <c r="C343" s="323">
        <v>0.15</v>
      </c>
      <c r="D343" s="323">
        <v>0.15</v>
      </c>
      <c r="E343" s="323">
        <v>0.15</v>
      </c>
      <c r="F343" s="323">
        <v>0.128</v>
      </c>
      <c r="G343" s="324">
        <v>0.15</v>
      </c>
    </row>
    <row r="344" spans="1:7">
      <c r="A344" s="333" t="s">
        <v>292</v>
      </c>
      <c r="B344" s="322" t="s">
        <v>2948</v>
      </c>
      <c r="C344" s="323">
        <v>0.15</v>
      </c>
      <c r="D344" s="323">
        <v>0.15</v>
      </c>
      <c r="E344" s="323">
        <v>0.15</v>
      </c>
      <c r="F344" s="323">
        <v>0.148</v>
      </c>
      <c r="G344" s="324">
        <v>0.15</v>
      </c>
    </row>
    <row r="345" spans="1:7">
      <c r="A345" s="333" t="s">
        <v>292</v>
      </c>
      <c r="B345" s="322" t="s">
        <v>2958</v>
      </c>
      <c r="C345" s="323">
        <v>0.15</v>
      </c>
      <c r="D345" s="323">
        <v>0.15</v>
      </c>
      <c r="E345" s="323">
        <v>0.15</v>
      </c>
      <c r="F345" s="323">
        <v>0.138</v>
      </c>
      <c r="G345" s="324">
        <v>0.15</v>
      </c>
    </row>
    <row r="346" spans="1:7">
      <c r="A346" s="333" t="s">
        <v>292</v>
      </c>
      <c r="B346" s="322" t="s">
        <v>2967</v>
      </c>
      <c r="C346" s="323">
        <v>0.15</v>
      </c>
      <c r="D346" s="323">
        <v>0.15</v>
      </c>
      <c r="E346" s="323">
        <v>0.15</v>
      </c>
      <c r="F346" s="323">
        <v>0.144</v>
      </c>
      <c r="G346" s="324">
        <v>0.15</v>
      </c>
    </row>
    <row r="347" spans="1:7">
      <c r="A347" s="333" t="s">
        <v>292</v>
      </c>
      <c r="B347" s="322" t="s">
        <v>2976</v>
      </c>
      <c r="C347" s="323">
        <v>0.15</v>
      </c>
      <c r="D347" s="323">
        <v>0.15</v>
      </c>
      <c r="E347" s="323">
        <v>0.15</v>
      </c>
      <c r="F347" s="323">
        <v>0.146</v>
      </c>
      <c r="G347" s="324">
        <v>0.15</v>
      </c>
    </row>
    <row r="348" spans="1:7">
      <c r="A348" s="333" t="s">
        <v>292</v>
      </c>
      <c r="B348" s="322" t="s">
        <v>2984</v>
      </c>
      <c r="C348" s="323">
        <v>0.15</v>
      </c>
      <c r="D348" s="323">
        <v>0.15</v>
      </c>
      <c r="E348" s="323">
        <v>0.15</v>
      </c>
      <c r="F348" s="323">
        <v>0.144</v>
      </c>
      <c r="G348" s="324">
        <v>0.15</v>
      </c>
    </row>
    <row r="349" spans="1:7">
      <c r="A349" s="333" t="s">
        <v>292</v>
      </c>
      <c r="B349" s="322" t="s">
        <v>2992</v>
      </c>
      <c r="C349" s="323">
        <v>0.15</v>
      </c>
      <c r="D349" s="323">
        <v>0.15</v>
      </c>
      <c r="E349" s="323">
        <v>0.15</v>
      </c>
      <c r="F349" s="323">
        <v>0.15</v>
      </c>
      <c r="G349" s="324">
        <v>0.15</v>
      </c>
    </row>
    <row r="350" spans="1:7">
      <c r="A350" s="333" t="s">
        <v>292</v>
      </c>
      <c r="B350" s="322" t="s">
        <v>3000</v>
      </c>
      <c r="C350" s="323">
        <v>0.15</v>
      </c>
      <c r="D350" s="323">
        <v>0.15</v>
      </c>
      <c r="E350" s="323">
        <v>0.15</v>
      </c>
      <c r="F350" s="323">
        <v>0.147</v>
      </c>
      <c r="G350" s="324">
        <v>0.15</v>
      </c>
    </row>
    <row r="351" spans="1:7">
      <c r="A351" s="333" t="s">
        <v>292</v>
      </c>
      <c r="B351" s="322" t="s">
        <v>3008</v>
      </c>
      <c r="C351" s="323">
        <v>0.15</v>
      </c>
      <c r="D351" s="323">
        <v>0.15</v>
      </c>
      <c r="E351" s="323">
        <v>0.15</v>
      </c>
      <c r="F351" s="323">
        <v>0.13</v>
      </c>
      <c r="G351" s="324">
        <v>0.15</v>
      </c>
    </row>
    <row r="352" spans="1:7">
      <c r="A352" s="333" t="s">
        <v>292</v>
      </c>
      <c r="B352" s="322" t="s">
        <v>3015</v>
      </c>
      <c r="C352" s="323">
        <v>0.15</v>
      </c>
      <c r="D352" s="323">
        <v>0.15</v>
      </c>
      <c r="E352" s="323">
        <v>0.15</v>
      </c>
      <c r="F352" s="323">
        <v>0.146</v>
      </c>
      <c r="G352" s="324">
        <v>0.15</v>
      </c>
    </row>
    <row r="353" spans="1:7">
      <c r="A353" s="333" t="s">
        <v>292</v>
      </c>
      <c r="B353" s="322" t="s">
        <v>3022</v>
      </c>
      <c r="C353" s="323">
        <v>0.15</v>
      </c>
      <c r="D353" s="323">
        <v>0.15</v>
      </c>
      <c r="E353" s="323">
        <v>0.15</v>
      </c>
      <c r="F353" s="323">
        <v>0.145</v>
      </c>
      <c r="G353" s="324">
        <v>0.15</v>
      </c>
    </row>
    <row r="354" spans="1:7">
      <c r="A354" s="333" t="s">
        <v>292</v>
      </c>
      <c r="B354" s="322" t="s">
        <v>3029</v>
      </c>
      <c r="C354" s="323">
        <v>0.15</v>
      </c>
      <c r="D354" s="323">
        <v>0.15</v>
      </c>
      <c r="E354" s="323">
        <v>0.15</v>
      </c>
      <c r="F354" s="323">
        <v>0.141</v>
      </c>
      <c r="G354" s="324">
        <v>0.15</v>
      </c>
    </row>
    <row r="355" spans="1:7">
      <c r="A355" s="333" t="s">
        <v>292</v>
      </c>
      <c r="B355" s="322" t="s">
        <v>3036</v>
      </c>
      <c r="C355" s="323">
        <v>0.15</v>
      </c>
      <c r="D355" s="323">
        <v>0.15</v>
      </c>
      <c r="E355" s="323">
        <v>0.15</v>
      </c>
      <c r="F355" s="323">
        <v>0.15</v>
      </c>
      <c r="G355" s="324">
        <v>0.15</v>
      </c>
    </row>
    <row r="356" spans="1:7">
      <c r="A356" s="333" t="s">
        <v>292</v>
      </c>
      <c r="B356" s="322" t="s">
        <v>3043</v>
      </c>
      <c r="C356" s="323">
        <v>0.15</v>
      </c>
      <c r="D356" s="323">
        <v>0.15</v>
      </c>
      <c r="E356" s="323">
        <v>0.15</v>
      </c>
      <c r="F356" s="323">
        <v>0.15</v>
      </c>
      <c r="G356" s="324">
        <v>0.15</v>
      </c>
    </row>
    <row r="357" ht="15.15" spans="1:7">
      <c r="A357" s="336" t="s">
        <v>292</v>
      </c>
      <c r="B357" s="326" t="s">
        <v>3050</v>
      </c>
      <c r="C357" s="327">
        <v>0.126</v>
      </c>
      <c r="D357" s="327">
        <v>0.127</v>
      </c>
      <c r="E357" s="327">
        <v>0.143</v>
      </c>
      <c r="F357" s="327">
        <v>0.125</v>
      </c>
      <c r="G357" s="329">
        <v>0.129</v>
      </c>
    </row>
    <row r="358" spans="1:7">
      <c r="A358" s="332" t="s">
        <v>296</v>
      </c>
      <c r="B358" s="318" t="s">
        <v>2765</v>
      </c>
      <c r="C358" s="319">
        <v>0.15</v>
      </c>
      <c r="D358" s="319">
        <v>0.15</v>
      </c>
      <c r="E358" s="319">
        <v>0.15</v>
      </c>
      <c r="F358" s="319">
        <v>0.15</v>
      </c>
      <c r="G358" s="320">
        <v>0.15</v>
      </c>
    </row>
    <row r="359" spans="1:7">
      <c r="A359" s="333" t="s">
        <v>296</v>
      </c>
      <c r="B359" s="322" t="s">
        <v>2778</v>
      </c>
      <c r="C359" s="323">
        <v>0.1</v>
      </c>
      <c r="D359" s="323">
        <v>0.1</v>
      </c>
      <c r="E359" s="323">
        <v>0.1</v>
      </c>
      <c r="F359" s="323">
        <v>0.1</v>
      </c>
      <c r="G359" s="324">
        <v>0.1</v>
      </c>
    </row>
    <row r="360" spans="1:7">
      <c r="A360" s="333" t="s">
        <v>296</v>
      </c>
      <c r="B360" s="322" t="s">
        <v>2792</v>
      </c>
      <c r="C360" s="323">
        <v>0.15</v>
      </c>
      <c r="D360" s="323">
        <v>0.15</v>
      </c>
      <c r="E360" s="323">
        <v>0.15</v>
      </c>
      <c r="F360" s="323">
        <v>0.149</v>
      </c>
      <c r="G360" s="324">
        <v>0.15</v>
      </c>
    </row>
    <row r="361" spans="1:7">
      <c r="A361" s="333" t="s">
        <v>296</v>
      </c>
      <c r="B361" s="322" t="s">
        <v>2804</v>
      </c>
      <c r="C361" s="323">
        <v>0.15</v>
      </c>
      <c r="D361" s="323">
        <v>0.15</v>
      </c>
      <c r="E361" s="323">
        <v>0.15</v>
      </c>
      <c r="F361" s="323">
        <v>0.115</v>
      </c>
      <c r="G361" s="324">
        <v>0.15</v>
      </c>
    </row>
    <row r="362" spans="1:7">
      <c r="A362" s="333" t="s">
        <v>296</v>
      </c>
      <c r="B362" s="322" t="s">
        <v>2816</v>
      </c>
      <c r="C362" s="323">
        <v>0.15</v>
      </c>
      <c r="D362" s="323">
        <v>0.15</v>
      </c>
      <c r="E362" s="323">
        <v>0.15</v>
      </c>
      <c r="F362" s="323">
        <v>0.106</v>
      </c>
      <c r="G362" s="324">
        <v>0.15</v>
      </c>
    </row>
    <row r="363" spans="1:7">
      <c r="A363" s="333" t="s">
        <v>296</v>
      </c>
      <c r="B363" s="322" t="s">
        <v>2827</v>
      </c>
      <c r="C363" s="323">
        <v>0.15</v>
      </c>
      <c r="D363" s="323">
        <v>0.15</v>
      </c>
      <c r="E363" s="323">
        <v>0.15</v>
      </c>
      <c r="F363" s="323">
        <v>0.147</v>
      </c>
      <c r="G363" s="324">
        <v>0.15</v>
      </c>
    </row>
    <row r="364" spans="1:7">
      <c r="A364" s="333" t="s">
        <v>296</v>
      </c>
      <c r="B364" s="322" t="s">
        <v>2838</v>
      </c>
      <c r="C364" s="323">
        <v>0.15</v>
      </c>
      <c r="D364" s="323">
        <v>0.15</v>
      </c>
      <c r="E364" s="323">
        <v>0.15</v>
      </c>
      <c r="F364" s="323">
        <v>0.148</v>
      </c>
      <c r="G364" s="324">
        <v>0.15</v>
      </c>
    </row>
    <row r="365" spans="1:7">
      <c r="A365" s="333" t="s">
        <v>296</v>
      </c>
      <c r="B365" s="322" t="s">
        <v>2849</v>
      </c>
      <c r="C365" s="323">
        <v>0.15</v>
      </c>
      <c r="D365" s="323">
        <v>0.15</v>
      </c>
      <c r="E365" s="323">
        <v>0.15</v>
      </c>
      <c r="F365" s="323">
        <v>0.15</v>
      </c>
      <c r="G365" s="324">
        <v>0.15</v>
      </c>
    </row>
    <row r="366" spans="1:7">
      <c r="A366" s="333" t="s">
        <v>296</v>
      </c>
      <c r="B366" s="322" t="s">
        <v>2859</v>
      </c>
      <c r="C366" s="323">
        <v>0.15</v>
      </c>
      <c r="D366" s="323">
        <v>0.15</v>
      </c>
      <c r="E366" s="323">
        <v>0.15</v>
      </c>
      <c r="F366" s="323">
        <v>0.15</v>
      </c>
      <c r="G366" s="324">
        <v>0.15</v>
      </c>
    </row>
    <row r="367" spans="1:7">
      <c r="A367" s="333" t="s">
        <v>296</v>
      </c>
      <c r="B367" s="322" t="s">
        <v>2869</v>
      </c>
      <c r="C367" s="323">
        <v>0.15</v>
      </c>
      <c r="D367" s="323">
        <v>0.15</v>
      </c>
      <c r="E367" s="323">
        <v>0.15</v>
      </c>
      <c r="F367" s="323">
        <v>0.147</v>
      </c>
      <c r="G367" s="324">
        <v>0.15</v>
      </c>
    </row>
    <row r="368" spans="1:7">
      <c r="A368" s="333" t="s">
        <v>296</v>
      </c>
      <c r="B368" s="322" t="s">
        <v>2879</v>
      </c>
      <c r="C368" s="323">
        <v>0.15</v>
      </c>
      <c r="D368" s="323">
        <v>0.15</v>
      </c>
      <c r="E368" s="323">
        <v>0.15</v>
      </c>
      <c r="F368" s="323">
        <v>0.136</v>
      </c>
      <c r="G368" s="324">
        <v>0.15</v>
      </c>
    </row>
    <row r="369" spans="1:7">
      <c r="A369" s="333" t="s">
        <v>296</v>
      </c>
      <c r="B369" s="322" t="s">
        <v>2889</v>
      </c>
      <c r="C369" s="323">
        <v>0.15</v>
      </c>
      <c r="D369" s="323">
        <v>0.15</v>
      </c>
      <c r="E369" s="323">
        <v>0.15</v>
      </c>
      <c r="F369" s="323">
        <v>0.144</v>
      </c>
      <c r="G369" s="324">
        <v>0.15</v>
      </c>
    </row>
    <row r="370" spans="1:7">
      <c r="A370" s="333" t="s">
        <v>296</v>
      </c>
      <c r="B370" s="322" t="s">
        <v>2899</v>
      </c>
      <c r="C370" s="323">
        <v>0.15</v>
      </c>
      <c r="D370" s="323">
        <v>0.15</v>
      </c>
      <c r="E370" s="323">
        <v>0.15</v>
      </c>
      <c r="F370" s="323">
        <v>0.146</v>
      </c>
      <c r="G370" s="324">
        <v>0.15</v>
      </c>
    </row>
    <row r="371" spans="1:7">
      <c r="A371" s="333" t="s">
        <v>296</v>
      </c>
      <c r="B371" s="322" t="s">
        <v>2909</v>
      </c>
      <c r="C371" s="323">
        <v>0.15</v>
      </c>
      <c r="D371" s="323">
        <v>0.15</v>
      </c>
      <c r="E371" s="323">
        <v>0.15</v>
      </c>
      <c r="F371" s="323">
        <v>0.12</v>
      </c>
      <c r="G371" s="324">
        <v>0.15</v>
      </c>
    </row>
    <row r="372" spans="1:7">
      <c r="A372" s="333" t="s">
        <v>296</v>
      </c>
      <c r="B372" s="322" t="s">
        <v>2919</v>
      </c>
      <c r="C372" s="323">
        <v>0.15</v>
      </c>
      <c r="D372" s="323">
        <v>0.15</v>
      </c>
      <c r="E372" s="323">
        <v>0.15</v>
      </c>
      <c r="F372" s="323">
        <v>0.143</v>
      </c>
      <c r="G372" s="324">
        <v>0.15</v>
      </c>
    </row>
    <row r="373" spans="1:7">
      <c r="A373" s="333" t="s">
        <v>296</v>
      </c>
      <c r="B373" s="322" t="s">
        <v>2929</v>
      </c>
      <c r="C373" s="323">
        <v>0.15</v>
      </c>
      <c r="D373" s="323">
        <v>0.15</v>
      </c>
      <c r="E373" s="323">
        <v>0.15</v>
      </c>
      <c r="F373" s="323">
        <v>0.146</v>
      </c>
      <c r="G373" s="324">
        <v>0.15</v>
      </c>
    </row>
    <row r="374" spans="1:7">
      <c r="A374" s="333" t="s">
        <v>296</v>
      </c>
      <c r="B374" s="322" t="s">
        <v>2939</v>
      </c>
      <c r="C374" s="323">
        <v>0.15</v>
      </c>
      <c r="D374" s="323">
        <v>0.15</v>
      </c>
      <c r="E374" s="323">
        <v>0.15</v>
      </c>
      <c r="F374" s="323">
        <v>0.144</v>
      </c>
      <c r="G374" s="324">
        <v>0.15</v>
      </c>
    </row>
    <row r="375" spans="1:7">
      <c r="A375" s="333" t="s">
        <v>296</v>
      </c>
      <c r="B375" s="322" t="s">
        <v>2949</v>
      </c>
      <c r="C375" s="323">
        <v>0.15</v>
      </c>
      <c r="D375" s="323">
        <v>0.15</v>
      </c>
      <c r="E375" s="323">
        <v>0.15</v>
      </c>
      <c r="F375" s="323">
        <v>0.13</v>
      </c>
      <c r="G375" s="324">
        <v>0.15</v>
      </c>
    </row>
    <row r="376" spans="1:7">
      <c r="A376" s="333" t="s">
        <v>296</v>
      </c>
      <c r="B376" s="322" t="s">
        <v>2959</v>
      </c>
      <c r="C376" s="323">
        <v>0.15</v>
      </c>
      <c r="D376" s="323">
        <v>0.15</v>
      </c>
      <c r="E376" s="323">
        <v>0.15</v>
      </c>
      <c r="F376" s="323">
        <v>0.142</v>
      </c>
      <c r="G376" s="324">
        <v>0.15</v>
      </c>
    </row>
    <row r="377" ht="15.15" spans="1:7">
      <c r="A377" s="336" t="s">
        <v>296</v>
      </c>
      <c r="B377" s="326" t="s">
        <v>2968</v>
      </c>
      <c r="C377" s="327">
        <v>0.15</v>
      </c>
      <c r="D377" s="327">
        <v>0.15</v>
      </c>
      <c r="E377" s="327">
        <v>0.15</v>
      </c>
      <c r="F377" s="327">
        <v>0.14</v>
      </c>
      <c r="G377" s="329">
        <v>0.15</v>
      </c>
    </row>
    <row r="378" spans="1:7">
      <c r="A378" s="332" t="s">
        <v>300</v>
      </c>
      <c r="B378" s="318" t="s">
        <v>2766</v>
      </c>
      <c r="C378" s="319">
        <v>0.15</v>
      </c>
      <c r="D378" s="319">
        <v>0.15</v>
      </c>
      <c r="E378" s="319">
        <v>0.15</v>
      </c>
      <c r="F378" s="319">
        <v>0.107</v>
      </c>
      <c r="G378" s="320">
        <v>0.15</v>
      </c>
    </row>
    <row r="379" spans="1:7">
      <c r="A379" s="333" t="s">
        <v>300</v>
      </c>
      <c r="B379" s="322" t="s">
        <v>2779</v>
      </c>
      <c r="C379" s="323">
        <v>0.15</v>
      </c>
      <c r="D379" s="323">
        <v>0.15</v>
      </c>
      <c r="E379" s="323">
        <v>0.15</v>
      </c>
      <c r="F379" s="323">
        <v>0.115</v>
      </c>
      <c r="G379" s="324">
        <v>0.149</v>
      </c>
    </row>
    <row r="380" spans="1:7">
      <c r="A380" s="333" t="s">
        <v>300</v>
      </c>
      <c r="B380" s="322" t="s">
        <v>2793</v>
      </c>
      <c r="C380" s="323">
        <v>0.15</v>
      </c>
      <c r="D380" s="323">
        <v>0.15</v>
      </c>
      <c r="E380" s="323">
        <v>0.15</v>
      </c>
      <c r="F380" s="323">
        <v>0.1</v>
      </c>
      <c r="G380" s="324">
        <v>0.148</v>
      </c>
    </row>
    <row r="381" spans="1:7">
      <c r="A381" s="333" t="s">
        <v>300</v>
      </c>
      <c r="B381" s="322" t="s">
        <v>2805</v>
      </c>
      <c r="C381" s="323">
        <v>0.15</v>
      </c>
      <c r="D381" s="323">
        <v>0.15</v>
      </c>
      <c r="E381" s="323">
        <v>0.15</v>
      </c>
      <c r="F381" s="323">
        <v>0.126</v>
      </c>
      <c r="G381" s="324">
        <v>0.15</v>
      </c>
    </row>
    <row r="382" spans="1:7">
      <c r="A382" s="333" t="s">
        <v>300</v>
      </c>
      <c r="B382" s="322" t="s">
        <v>2817</v>
      </c>
      <c r="C382" s="323">
        <v>0.15</v>
      </c>
      <c r="D382" s="323">
        <v>0.15</v>
      </c>
      <c r="E382" s="323">
        <v>0.15</v>
      </c>
      <c r="F382" s="323">
        <v>0.15</v>
      </c>
      <c r="G382" s="324">
        <v>0.15</v>
      </c>
    </row>
    <row r="383" spans="1:7">
      <c r="A383" s="333" t="s">
        <v>300</v>
      </c>
      <c r="B383" s="322" t="s">
        <v>2828</v>
      </c>
      <c r="C383" s="323">
        <v>0.15</v>
      </c>
      <c r="D383" s="323">
        <v>0.15</v>
      </c>
      <c r="E383" s="323">
        <v>0.15</v>
      </c>
      <c r="F383" s="323">
        <v>0.147</v>
      </c>
      <c r="G383" s="324">
        <v>0.15</v>
      </c>
    </row>
    <row r="384" ht="15.15" spans="1:7">
      <c r="A384" s="343" t="s">
        <v>300</v>
      </c>
      <c r="B384" s="344" t="s">
        <v>2839</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3142</v>
      </c>
      <c r="B1" s="301"/>
      <c r="C1" s="301"/>
      <c r="D1" s="301"/>
      <c r="E1" s="301"/>
      <c r="F1" s="302"/>
    </row>
    <row r="2" spans="1:6">
      <c r="A2" s="303" t="s">
        <v>3143</v>
      </c>
      <c r="B2" s="304"/>
      <c r="C2" s="304"/>
      <c r="D2" s="304"/>
      <c r="E2" s="304"/>
      <c r="F2" s="304"/>
    </row>
    <row r="3" spans="1:6">
      <c r="A3" s="303" t="s">
        <v>3144</v>
      </c>
      <c r="B3" s="304"/>
      <c r="C3" s="304"/>
      <c r="D3" s="304"/>
      <c r="E3" s="304"/>
      <c r="F3" s="305" t="s">
        <v>3145</v>
      </c>
    </row>
    <row r="4" spans="1:6">
      <c r="A4" s="306" t="s">
        <v>404</v>
      </c>
      <c r="B4" s="306" t="s">
        <v>2432</v>
      </c>
      <c r="C4" s="306" t="s">
        <v>549</v>
      </c>
      <c r="D4" s="306" t="s">
        <v>3146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45022</v>
      </c>
      <c r="B1" s="226" t="s">
        <v>3147</v>
      </c>
      <c r="C1" s="227"/>
      <c r="D1" s="227"/>
      <c r="E1" s="227"/>
      <c r="F1" s="227"/>
      <c r="G1" s="227"/>
      <c r="H1" s="227"/>
      <c r="I1" s="227"/>
      <c r="J1" s="253"/>
      <c r="K1" s="227" t="s">
        <v>3148</v>
      </c>
      <c r="L1" s="227"/>
      <c r="M1" s="227"/>
      <c r="N1" s="227"/>
      <c r="O1" s="227"/>
      <c r="P1" s="227"/>
      <c r="Q1" s="253"/>
      <c r="R1" s="273" t="s">
        <v>3149</v>
      </c>
      <c r="S1" s="224"/>
      <c r="T1" s="224"/>
      <c r="U1" s="224"/>
      <c r="V1" s="224"/>
      <c r="W1" s="224"/>
      <c r="X1" s="253"/>
      <c r="Y1" s="273" t="s">
        <v>3150</v>
      </c>
      <c r="Z1" s="224"/>
      <c r="AA1" s="224"/>
      <c r="AB1" s="224"/>
      <c r="AC1" s="224"/>
      <c r="AD1" s="224"/>
    </row>
    <row r="2" s="217" customFormat="1" ht="15.15" spans="2:30">
      <c r="B2" s="228"/>
      <c r="C2" s="229"/>
      <c r="D2" s="230" t="s">
        <v>3151</v>
      </c>
      <c r="E2" s="231" t="s">
        <v>2432</v>
      </c>
      <c r="F2" s="231" t="s">
        <v>549</v>
      </c>
      <c r="G2" s="231" t="s">
        <v>412</v>
      </c>
      <c r="H2" s="231" t="s">
        <v>408</v>
      </c>
      <c r="I2" s="231" t="s">
        <v>280</v>
      </c>
      <c r="J2" s="254"/>
      <c r="K2" s="230" t="s">
        <v>3151</v>
      </c>
      <c r="L2" s="231" t="s">
        <v>2432</v>
      </c>
      <c r="M2" s="231" t="s">
        <v>549</v>
      </c>
      <c r="N2" s="231" t="s">
        <v>412</v>
      </c>
      <c r="O2" s="231" t="s">
        <v>408</v>
      </c>
      <c r="P2" s="231" t="s">
        <v>280</v>
      </c>
      <c r="Q2" s="254"/>
      <c r="R2" s="230" t="s">
        <v>3151</v>
      </c>
      <c r="S2" s="231" t="s">
        <v>2432</v>
      </c>
      <c r="T2" s="231" t="s">
        <v>549</v>
      </c>
      <c r="U2" s="231" t="s">
        <v>412</v>
      </c>
      <c r="V2" s="231" t="s">
        <v>408</v>
      </c>
      <c r="W2" s="231" t="s">
        <v>280</v>
      </c>
      <c r="X2" s="254"/>
      <c r="Y2" s="230" t="s">
        <v>3151</v>
      </c>
      <c r="Z2" s="231" t="s">
        <v>2432</v>
      </c>
      <c r="AA2" s="231" t="s">
        <v>549</v>
      </c>
      <c r="AB2" s="231" t="s">
        <v>412</v>
      </c>
      <c r="AC2" s="231" t="s">
        <v>408</v>
      </c>
      <c r="AD2" s="231" t="s">
        <v>280</v>
      </c>
    </row>
    <row r="3" s="218" customFormat="1" ht="13.2" spans="1:30">
      <c r="A3" s="232" t="s">
        <v>3152</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3153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3154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3155</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3156</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3157</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3158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3159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3160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3161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3162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3163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3164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3165</v>
      </c>
    </row>
    <row r="19" s="223" customFormat="1" spans="9:9">
      <c r="I19" s="272" t="s">
        <v>1446</v>
      </c>
    </row>
    <row r="20" s="223" customFormat="1"/>
    <row r="21" s="224" customFormat="1" ht="13.2" spans="2:25">
      <c r="B21" s="226" t="s">
        <v>3166</v>
      </c>
      <c r="C21" s="227"/>
      <c r="D21" s="227"/>
      <c r="E21" s="227"/>
      <c r="F21" s="227"/>
      <c r="G21" s="227"/>
      <c r="H21" s="227"/>
      <c r="I21" s="227"/>
      <c r="J21" s="253"/>
      <c r="K21" s="227" t="s">
        <v>3148</v>
      </c>
      <c r="L21" s="227"/>
      <c r="M21" s="227"/>
      <c r="N21" s="227"/>
      <c r="O21" s="227"/>
      <c r="P21" s="227"/>
      <c r="Q21" s="253"/>
      <c r="R21" s="273" t="s">
        <v>3149</v>
      </c>
      <c r="X21" s="253"/>
      <c r="Y21" s="273" t="s">
        <v>3150</v>
      </c>
    </row>
    <row r="22" s="217" customFormat="1" ht="15.15" spans="2:30">
      <c r="B22" s="228"/>
      <c r="C22" s="229"/>
      <c r="D22" s="230" t="s">
        <v>3151</v>
      </c>
      <c r="E22" s="231" t="s">
        <v>2432</v>
      </c>
      <c r="F22" s="231" t="s">
        <v>549</v>
      </c>
      <c r="G22" s="231" t="s">
        <v>412</v>
      </c>
      <c r="H22" s="231"/>
      <c r="I22" s="231" t="s">
        <v>280</v>
      </c>
      <c r="J22" s="254"/>
      <c r="K22" s="230" t="s">
        <v>3151</v>
      </c>
      <c r="L22" s="231" t="s">
        <v>2432</v>
      </c>
      <c r="M22" s="231" t="s">
        <v>549</v>
      </c>
      <c r="N22" s="231" t="s">
        <v>412</v>
      </c>
      <c r="O22" s="231"/>
      <c r="P22" s="231" t="s">
        <v>280</v>
      </c>
      <c r="Q22" s="254"/>
      <c r="R22" s="230" t="s">
        <v>3151</v>
      </c>
      <c r="S22" s="231" t="s">
        <v>2432</v>
      </c>
      <c r="T22" s="231" t="s">
        <v>549</v>
      </c>
      <c r="U22" s="231" t="s">
        <v>412</v>
      </c>
      <c r="V22" s="231"/>
      <c r="W22" s="231" t="s">
        <v>280</v>
      </c>
      <c r="X22" s="254"/>
      <c r="Y22" s="230" t="s">
        <v>3151</v>
      </c>
      <c r="Z22" s="231" t="s">
        <v>2432</v>
      </c>
      <c r="AA22" s="231" t="s">
        <v>549</v>
      </c>
      <c r="AB22" s="231" t="s">
        <v>412</v>
      </c>
      <c r="AC22" s="231"/>
      <c r="AD22" s="231" t="s">
        <v>280</v>
      </c>
    </row>
    <row r="23" s="218" customFormat="1" ht="13.2" spans="1:30">
      <c r="A23" s="232" t="s">
        <v>3152</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3153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3154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3155</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3156</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3157</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3158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3159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3160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3161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3162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3163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3164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3167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3168</v>
      </c>
      <c r="C1" s="85"/>
      <c r="D1" s="85"/>
      <c r="E1" s="85"/>
      <c r="F1" s="85"/>
      <c r="G1" s="74" t="s">
        <v>3169</v>
      </c>
      <c r="N1" s="74" t="s">
        <v>3148</v>
      </c>
      <c r="S1" s="74" t="s">
        <v>3170</v>
      </c>
      <c r="X1" s="158" t="s">
        <v>3149</v>
      </c>
      <c r="AD1" s="158" t="s">
        <v>3150</v>
      </c>
    </row>
    <row r="2" s="75" customFormat="1" ht="15.15" spans="2:34">
      <c r="B2" s="86" t="s">
        <v>3171</v>
      </c>
      <c r="C2" s="86" t="s">
        <v>3172</v>
      </c>
      <c r="D2" s="87" t="s">
        <v>549</v>
      </c>
      <c r="E2" s="87" t="s">
        <v>412</v>
      </c>
      <c r="F2" s="86" t="s">
        <v>3173</v>
      </c>
      <c r="G2" s="88"/>
      <c r="I2" s="86" t="s">
        <v>3171</v>
      </c>
      <c r="J2" s="87" t="s">
        <v>2441</v>
      </c>
      <c r="K2" s="87" t="s">
        <v>412</v>
      </c>
      <c r="L2" s="86" t="s">
        <v>3173</v>
      </c>
      <c r="N2" s="86" t="s">
        <v>3171</v>
      </c>
      <c r="O2" s="87" t="s">
        <v>2441</v>
      </c>
      <c r="P2" s="87" t="s">
        <v>412</v>
      </c>
      <c r="Q2" s="86" t="s">
        <v>3173</v>
      </c>
      <c r="S2" s="86" t="s">
        <v>3171</v>
      </c>
      <c r="T2" s="87" t="s">
        <v>2441</v>
      </c>
      <c r="U2" s="87" t="s">
        <v>412</v>
      </c>
      <c r="V2" s="86" t="s">
        <v>3173</v>
      </c>
      <c r="X2" s="86" t="s">
        <v>3171</v>
      </c>
      <c r="Y2" s="86" t="s">
        <v>3172</v>
      </c>
      <c r="Z2" s="87" t="s">
        <v>549</v>
      </c>
      <c r="AA2" s="87" t="s">
        <v>412</v>
      </c>
      <c r="AB2" s="86" t="s">
        <v>3173</v>
      </c>
      <c r="AD2" s="86" t="s">
        <v>3171</v>
      </c>
      <c r="AE2" s="86" t="s">
        <v>3172</v>
      </c>
      <c r="AF2" s="87" t="s">
        <v>549</v>
      </c>
      <c r="AG2" s="87" t="s">
        <v>412</v>
      </c>
      <c r="AH2" s="86" t="s">
        <v>3173</v>
      </c>
    </row>
    <row r="3" s="76" customFormat="1" ht="14.4" spans="1:34">
      <c r="A3" s="89" t="s">
        <v>3152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3157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3158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3174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3159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3160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3161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3162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3163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3164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3175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3176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3177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3178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3179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3180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3181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3182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3183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3184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3185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3186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3187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3188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3189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3190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3191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3192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3193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3194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3195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3196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3197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3198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3199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3200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3201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3202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3203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3204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3205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3206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3207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3208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3209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3210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3211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3212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3213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3214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3215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3216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3217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3218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3219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3220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3221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3222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3223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3224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3225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3226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3227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3228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3229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3230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3231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3232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3233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3234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3235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3236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3237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3238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3239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3240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3241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3242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3243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3244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3245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3246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3247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3248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3249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3250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3251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3252</v>
      </c>
      <c r="G91" s="192"/>
      <c r="N91" s="192"/>
      <c r="S91" s="192"/>
    </row>
    <row r="92" s="82" customFormat="1" spans="1:19">
      <c r="A92" s="82" t="s">
        <v>3253</v>
      </c>
      <c r="G92" s="192"/>
      <c r="N92" s="192"/>
      <c r="S92" s="192"/>
    </row>
    <row r="93" s="82" customFormat="1" spans="1:22">
      <c r="A93" s="82" t="s">
        <v>3254</v>
      </c>
      <c r="G93" s="192"/>
      <c r="I93" s="204"/>
      <c r="J93" s="204"/>
      <c r="K93" s="204"/>
      <c r="L93" s="204"/>
      <c r="N93" s="205"/>
      <c r="O93" s="204"/>
      <c r="P93" s="204"/>
      <c r="Q93" s="204"/>
      <c r="S93" s="205"/>
      <c r="T93" s="204"/>
      <c r="U93" s="204"/>
      <c r="V93" s="204"/>
    </row>
    <row r="94" s="82" customFormat="1" spans="1:19">
      <c r="A94" s="82" t="s">
        <v>3255</v>
      </c>
      <c r="G94" s="192"/>
      <c r="N94" s="192"/>
      <c r="S94" s="192"/>
    </row>
    <row r="101" ht="13.95"/>
    <row r="102" spans="7:22">
      <c r="G102" s="83"/>
      <c r="S102" s="209" t="s">
        <v>3256</v>
      </c>
      <c r="T102" s="210" t="s">
        <v>3257</v>
      </c>
      <c r="U102" s="210" t="s">
        <v>3258</v>
      </c>
      <c r="V102" s="210" t="s">
        <v>3259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45022</v>
      </c>
      <c r="D1" s="7" t="s">
        <v>3260</v>
      </c>
      <c r="E1" s="9">
        <f>'数据-取费表'!B22</f>
        <v>1.5</v>
      </c>
      <c r="F1" s="7" t="s">
        <v>3261</v>
      </c>
      <c r="G1" s="10">
        <f ca="1">INDIRECT("d"&amp;$K$1)/100</f>
        <v>0.0365</v>
      </c>
      <c r="H1" s="7" t="s">
        <v>3262</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3261</v>
      </c>
      <c r="E2" s="11"/>
      <c r="F2" s="11" t="s">
        <v>3263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3264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3265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3266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3267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3268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3269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3270</v>
      </c>
      <c r="C10" s="35"/>
      <c r="D10" s="35"/>
      <c r="E10" s="35"/>
      <c r="F10" s="35"/>
      <c r="G10" s="35"/>
      <c r="H10" s="35"/>
      <c r="I10" s="3"/>
      <c r="J10" s="3"/>
      <c r="K10" s="35"/>
      <c r="L10" s="36" t="s">
        <v>3271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3272</v>
      </c>
      <c r="C11" s="39" t="s">
        <v>3273</v>
      </c>
      <c r="D11" s="40" t="s">
        <v>3274</v>
      </c>
      <c r="E11" s="41"/>
      <c r="F11" s="40" t="s">
        <v>3275</v>
      </c>
      <c r="G11" s="42"/>
      <c r="H11" s="41"/>
      <c r="I11" s="40" t="s">
        <v>3276</v>
      </c>
      <c r="J11" s="41"/>
      <c r="K11" s="37"/>
      <c r="L11" s="38" t="s">
        <v>3272</v>
      </c>
      <c r="M11" s="39" t="s">
        <v>3273</v>
      </c>
      <c r="N11" s="38" t="s">
        <v>3277</v>
      </c>
      <c r="O11" s="40" t="s">
        <v>3278</v>
      </c>
      <c r="P11" s="42"/>
      <c r="Q11" s="42"/>
      <c r="R11" s="42"/>
      <c r="S11" s="42"/>
      <c r="T11" s="41"/>
      <c r="U11" s="40" t="s">
        <v>3279</v>
      </c>
      <c r="V11" s="42"/>
      <c r="W11" s="41"/>
      <c r="X11" s="38" t="s">
        <v>3280</v>
      </c>
      <c r="Y11" s="38" t="s">
        <v>3281</v>
      </c>
      <c r="Z11" s="38" t="s">
        <v>3282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3283</v>
      </c>
      <c r="E12" s="46" t="s">
        <v>3265</v>
      </c>
      <c r="F12" s="46" t="s">
        <v>3266</v>
      </c>
      <c r="G12" s="46" t="s">
        <v>3267</v>
      </c>
      <c r="H12" s="46" t="s">
        <v>3268</v>
      </c>
      <c r="I12" s="60" t="s">
        <v>3284</v>
      </c>
      <c r="J12" s="60" t="s">
        <v>3284</v>
      </c>
      <c r="K12" s="43"/>
      <c r="L12" s="44"/>
      <c r="M12" s="45"/>
      <c r="N12" s="44"/>
      <c r="O12" s="60" t="s">
        <v>3285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3286</v>
      </c>
      <c r="C13" s="49">
        <v>44795</v>
      </c>
      <c r="D13" s="50">
        <v>3.65</v>
      </c>
      <c r="E13" s="50">
        <f>D13</f>
        <v>3.65</v>
      </c>
      <c r="F13" s="50">
        <f>D13</f>
        <v>3.65</v>
      </c>
      <c r="G13" s="50">
        <f>D13</f>
        <v>3.65</v>
      </c>
      <c r="H13" s="50">
        <v>4.3</v>
      </c>
      <c r="I13" s="50"/>
      <c r="J13" s="50"/>
      <c r="K13" s="47"/>
      <c r="L13" s="48" t="s">
        <v>3286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3287</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3288</v>
      </c>
      <c r="Y42" s="52" t="s">
        <v>3288</v>
      </c>
      <c r="Z42" s="52" t="s">
        <v>3288</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3288</v>
      </c>
      <c r="Y43" s="52" t="s">
        <v>3288</v>
      </c>
      <c r="Z43" s="52" t="s">
        <v>3288</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3288</v>
      </c>
      <c r="Y44" s="52" t="s">
        <v>3288</v>
      </c>
      <c r="Z44" s="52" t="s">
        <v>3288</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3288</v>
      </c>
      <c r="Y45" s="52" t="s">
        <v>3288</v>
      </c>
      <c r="Z45" s="52" t="s">
        <v>3288</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3288</v>
      </c>
      <c r="Y46" s="52" t="s">
        <v>3288</v>
      </c>
      <c r="Z46" s="52" t="s">
        <v>3288</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3288</v>
      </c>
      <c r="Y47" s="52" t="s">
        <v>3288</v>
      </c>
      <c r="Z47" s="52" t="s">
        <v>3288</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3288</v>
      </c>
      <c r="Y48" s="52" t="s">
        <v>3288</v>
      </c>
      <c r="Z48" s="52" t="s">
        <v>3288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3288</v>
      </c>
      <c r="Y49" s="52" t="s">
        <v>3288</v>
      </c>
      <c r="Z49" s="52" t="s">
        <v>3288</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3288</v>
      </c>
      <c r="Y50" s="52" t="s">
        <v>3288</v>
      </c>
      <c r="Z50" s="52" t="s">
        <v>3288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3288</v>
      </c>
      <c r="V51" s="52" t="s">
        <v>3288</v>
      </c>
      <c r="W51" s="52" t="s">
        <v>3288</v>
      </c>
      <c r="X51" s="52" t="s">
        <v>3288</v>
      </c>
      <c r="Y51" s="52" t="s">
        <v>3288</v>
      </c>
      <c r="Z51" s="52" t="s">
        <v>3288</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3288</v>
      </c>
      <c r="J64" s="52" t="s">
        <v>3288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021" customWidth="1"/>
    <col min="2" max="9" width="12.1111111111111" style="1021" customWidth="1"/>
    <col min="10" max="16384" width="9" style="1021"/>
  </cols>
  <sheetData>
    <row r="1" ht="18.15" spans="1:9">
      <c r="A1" s="3675" t="str">
        <f>IF(项目基本情况!B9="房地产市场价值","估价结果一览表","结果表-2")</f>
        <v>结果表-2</v>
      </c>
      <c r="B1" s="3675"/>
      <c r="C1" s="3675"/>
      <c r="D1" s="3675"/>
      <c r="E1" s="3675"/>
      <c r="F1" s="3675"/>
      <c r="G1" s="3675"/>
      <c r="H1" s="3675"/>
      <c r="I1" s="3675"/>
    </row>
    <row r="2" ht="30" customHeight="1" spans="1:9">
      <c r="A2" s="3676" t="s">
        <v>107</v>
      </c>
      <c r="B2" s="3676" t="s">
        <v>108</v>
      </c>
      <c r="C2" s="3676" t="s">
        <v>109</v>
      </c>
      <c r="D2" s="3676" t="str">
        <f>结果表!D116</f>
        <v>出让国有建设用地使用权价值</v>
      </c>
      <c r="E2" s="3676"/>
      <c r="F2" s="3676" t="str">
        <f>结果表!F116</f>
        <v>在建建筑物价值</v>
      </c>
      <c r="G2" s="3676"/>
      <c r="H2" s="3676" t="str">
        <f>IF(项目基本情况!B9="房地产市场价值","房地产市场价值","房地产价值")</f>
        <v>房地产价值</v>
      </c>
      <c r="I2" s="3676"/>
    </row>
    <row r="3" ht="15.6" spans="1:9">
      <c r="A3" s="3677"/>
      <c r="B3" s="3677"/>
      <c r="C3" s="3677"/>
      <c r="D3" s="3677" t="s">
        <v>110</v>
      </c>
      <c r="E3" s="3677" t="s">
        <v>111</v>
      </c>
      <c r="F3" s="3677" t="s">
        <v>110</v>
      </c>
      <c r="G3" s="3677" t="s">
        <v>111</v>
      </c>
      <c r="H3" s="3677" t="s">
        <v>110</v>
      </c>
      <c r="I3" s="3677" t="s">
        <v>111</v>
      </c>
    </row>
    <row r="4" ht="15.6" spans="1:9">
      <c r="A4" s="3678" t="str">
        <f>项目基本情况!S2</f>
        <v>北京市房地产</v>
      </c>
      <c r="B4" s="3677">
        <f>项目基本情况!C17</f>
        <v>10109.15</v>
      </c>
      <c r="C4" s="3677">
        <f>项目基本情况!C18</f>
        <v>3208.2</v>
      </c>
      <c r="D4" s="3677">
        <f ca="1">结果表!D118</f>
        <v>17505</v>
      </c>
      <c r="E4" s="3677">
        <f ca="1">结果表!E118</f>
        <v>17316</v>
      </c>
      <c r="F4" s="3677">
        <f ca="1">结果表!F118</f>
        <v>9846</v>
      </c>
      <c r="G4" s="3677">
        <f ca="1">结果表!G118</f>
        <v>9740</v>
      </c>
      <c r="H4" s="3677">
        <f ca="1">结果表!H118</f>
        <v>27351</v>
      </c>
      <c r="I4" s="3677">
        <f ca="1">结果表!I118</f>
        <v>27056</v>
      </c>
    </row>
    <row r="5" ht="30" customHeight="1" spans="1:9">
      <c r="A5" s="3677" t="s">
        <v>112</v>
      </c>
      <c r="B5" s="3677"/>
      <c r="C5" s="3677"/>
      <c r="D5" s="3677" t="str">
        <f ca="1">结果表!D119</f>
        <v>壹亿柒仟伍佰零伍万元整</v>
      </c>
      <c r="E5" s="3677"/>
      <c r="F5" s="3677" t="str">
        <f ca="1">结果表!F119</f>
        <v>玖仟捌佰肆拾陆万元整</v>
      </c>
      <c r="G5" s="3677"/>
      <c r="H5" s="3677" t="str">
        <f ca="1">结果表!H119</f>
        <v>贰亿柒仟叁佰伍拾壹万元整</v>
      </c>
      <c r="I5" s="3677"/>
    </row>
    <row r="6" ht="15.6" spans="1:9">
      <c r="A6" s="3679" t="str">
        <f>结果表!A120</f>
        <v>估价师知悉的法定优先受偿款</v>
      </c>
      <c r="B6" s="3679"/>
      <c r="C6" s="3679"/>
      <c r="D6" s="3679">
        <f>结果表!D120</f>
        <v>0</v>
      </c>
      <c r="E6" s="3679"/>
      <c r="F6" s="3679"/>
      <c r="G6" s="3679"/>
      <c r="H6" s="3679"/>
      <c r="I6" s="3679"/>
    </row>
    <row r="7" ht="15" spans="1:9">
      <c r="A7" s="3677" t="s">
        <v>112</v>
      </c>
      <c r="B7" s="3677"/>
      <c r="C7" s="3677"/>
      <c r="D7" s="3680" t="str">
        <f>结果表!D121</f>
        <v>零元整</v>
      </c>
      <c r="E7" s="3681"/>
      <c r="F7" s="3681"/>
      <c r="G7" s="3681"/>
      <c r="H7" s="3681"/>
      <c r="I7" s="3685"/>
    </row>
    <row r="8" ht="15.6" spans="1:9">
      <c r="A8" s="3679" t="str">
        <f>结果表!A122</f>
        <v/>
      </c>
      <c r="B8" s="3679"/>
      <c r="C8" s="3679"/>
      <c r="D8" s="3679" t="str">
        <f ca="1">结果表!D122</f>
        <v>——</v>
      </c>
      <c r="E8" s="3679"/>
      <c r="F8" s="3679"/>
      <c r="G8" s="3679"/>
      <c r="H8" s="3679"/>
      <c r="I8" s="3679"/>
    </row>
    <row r="9" ht="15" spans="1:9">
      <c r="A9" s="3677" t="s">
        <v>112</v>
      </c>
      <c r="B9" s="3677"/>
      <c r="C9" s="3677"/>
      <c r="D9" s="3677" t="e">
        <f ca="1">结果表!D123</f>
        <v>#VALUE!</v>
      </c>
      <c r="E9" s="3677"/>
      <c r="F9" s="3677"/>
      <c r="G9" s="3677"/>
      <c r="H9" s="3677"/>
      <c r="I9" s="3677"/>
    </row>
    <row r="10" ht="15.6" spans="1:9">
      <c r="A10" s="3679" t="str">
        <f>结果表!A124</f>
        <v>抵押担保权已注销时的房地产抵押价值</v>
      </c>
      <c r="B10" s="3679"/>
      <c r="C10" s="3679"/>
      <c r="D10" s="3679">
        <f ca="1">结果表!D124</f>
        <v>27351</v>
      </c>
      <c r="E10" s="3679"/>
      <c r="F10" s="3679"/>
      <c r="G10" s="3679"/>
      <c r="H10" s="3679"/>
      <c r="I10" s="3679"/>
    </row>
    <row r="11" ht="15" spans="1:9">
      <c r="A11" s="3677" t="s">
        <v>112</v>
      </c>
      <c r="B11" s="3677"/>
      <c r="C11" s="3677"/>
      <c r="D11" s="3677" t="str">
        <f ca="1">结果表!D125</f>
        <v>贰亿柒仟叁佰伍拾壹万元整</v>
      </c>
      <c r="E11" s="3677"/>
      <c r="F11" s="3677"/>
      <c r="G11" s="3677"/>
      <c r="H11" s="3677"/>
      <c r="I11" s="3677"/>
    </row>
    <row r="12" ht="15.6" spans="1:9">
      <c r="A12" s="3679" t="str">
        <f>结果表!A126</f>
        <v/>
      </c>
      <c r="B12" s="3679"/>
      <c r="C12" s="3679"/>
      <c r="D12" s="3679" t="str">
        <f ca="1">结果表!D126</f>
        <v>——</v>
      </c>
      <c r="E12" s="3679"/>
      <c r="F12" s="3679"/>
      <c r="G12" s="3679"/>
      <c r="H12" s="3679"/>
      <c r="I12" s="3679"/>
    </row>
    <row r="13" ht="15.75" spans="1:9">
      <c r="A13" s="3682" t="s">
        <v>112</v>
      </c>
      <c r="B13" s="3682"/>
      <c r="C13" s="3682"/>
      <c r="D13" s="3682" t="e">
        <f ca="1">结果表!D127</f>
        <v>#VALUE!</v>
      </c>
      <c r="E13" s="3682"/>
      <c r="F13" s="3682"/>
      <c r="G13" s="3682"/>
      <c r="H13" s="3682"/>
      <c r="I13" s="3682"/>
    </row>
    <row r="14" ht="14.55" spans="1:9">
      <c r="A14" s="3683" t="s">
        <v>113</v>
      </c>
      <c r="B14" s="3683"/>
      <c r="C14" s="3683"/>
      <c r="D14" s="3683"/>
      <c r="E14" s="3683"/>
      <c r="F14" s="3683"/>
      <c r="G14" s="3683"/>
      <c r="H14" s="3683"/>
      <c r="I14" s="3683"/>
    </row>
    <row r="16" ht="17.4" spans="1:9">
      <c r="A16" s="3684" t="s">
        <v>106</v>
      </c>
      <c r="B16" s="1914"/>
      <c r="C16" s="1914"/>
      <c r="D16" s="1914"/>
      <c r="E16" s="1914"/>
      <c r="F16" s="1914"/>
      <c r="G16" s="1914"/>
      <c r="H16" s="1914"/>
      <c r="I16" s="1914"/>
    </row>
    <row r="17" spans="1:9">
      <c r="A17" s="1914"/>
      <c r="B17" s="1914"/>
      <c r="C17" s="1914"/>
      <c r="D17" s="1914"/>
      <c r="E17" s="1914"/>
      <c r="F17" s="1914"/>
      <c r="G17" s="1914"/>
      <c r="H17" s="1914"/>
      <c r="I17" s="1914"/>
    </row>
    <row r="18" spans="1:9">
      <c r="A18" s="1914"/>
      <c r="B18" s="1914"/>
      <c r="C18" s="1914"/>
      <c r="D18" s="1914"/>
      <c r="E18" s="1914"/>
      <c r="F18" s="1914"/>
      <c r="G18" s="1914"/>
      <c r="H18" s="1914"/>
      <c r="I18" s="1914"/>
    </row>
    <row r="19" spans="1:9">
      <c r="A19" s="1914"/>
      <c r="B19" s="1914"/>
      <c r="C19" s="1914"/>
      <c r="D19" s="1914"/>
      <c r="E19" s="1914"/>
      <c r="F19" s="1914"/>
      <c r="G19" s="1914"/>
      <c r="H19" s="1914"/>
      <c r="I19" s="1914"/>
    </row>
    <row r="20" spans="1:9">
      <c r="A20" s="1914"/>
      <c r="B20" s="1914"/>
      <c r="C20" s="1914"/>
      <c r="D20" s="1914"/>
      <c r="E20" s="1914"/>
      <c r="F20" s="1914"/>
      <c r="G20" s="1914"/>
      <c r="H20" s="1914"/>
      <c r="I20" s="1914"/>
    </row>
    <row r="21" spans="1:9">
      <c r="A21" s="1914"/>
      <c r="B21" s="1914"/>
      <c r="C21" s="1914"/>
      <c r="D21" s="1914"/>
      <c r="E21" s="1914"/>
      <c r="F21" s="1914"/>
      <c r="G21" s="1914"/>
      <c r="H21" s="1914"/>
      <c r="I21" s="1914"/>
    </row>
    <row r="22" spans="1:9">
      <c r="A22" s="1914"/>
      <c r="B22" s="1914"/>
      <c r="C22" s="1914"/>
      <c r="D22" s="1914"/>
      <c r="E22" s="1914"/>
      <c r="F22" s="1914"/>
      <c r="G22" s="1914"/>
      <c r="H22" s="1914"/>
      <c r="I22" s="191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021" customWidth="1"/>
    <col min="2" max="3" width="22.3333333333333" style="1021" customWidth="1"/>
    <col min="4" max="4" width="23" style="1021" customWidth="1"/>
    <col min="5" max="16384" width="9" style="1021"/>
  </cols>
  <sheetData>
    <row r="1" ht="17.4" spans="1:4">
      <c r="A1" s="3655" t="s">
        <v>114</v>
      </c>
      <c r="B1" s="3655"/>
      <c r="C1" s="3655"/>
      <c r="D1" s="3655"/>
    </row>
    <row r="2" ht="17.4" spans="1:4">
      <c r="A2" s="3656" t="s">
        <v>115</v>
      </c>
      <c r="B2" s="3656"/>
      <c r="C2" s="3656"/>
      <c r="D2" s="3656"/>
    </row>
    <row r="3" ht="17.4" spans="1:4">
      <c r="A3" s="3657" t="s">
        <v>116</v>
      </c>
      <c r="B3" s="3657" t="s">
        <v>117</v>
      </c>
      <c r="C3" s="3657" t="s">
        <v>118</v>
      </c>
      <c r="D3" s="3657" t="s">
        <v>119</v>
      </c>
    </row>
    <row r="4" ht="56.25" customHeight="1" spans="1:4">
      <c r="A4" s="3658">
        <f>项目基本情况!B4</f>
        <v>0</v>
      </c>
      <c r="B4" s="3659">
        <f ca="1">项目基本情况!C4</f>
        <v>0</v>
      </c>
      <c r="C4" s="3660"/>
      <c r="D4" s="3661" t="s">
        <v>120</v>
      </c>
    </row>
    <row r="5" ht="56.25" customHeight="1" spans="1:4">
      <c r="A5" s="3658">
        <f>项目基本情况!D4</f>
        <v>0</v>
      </c>
      <c r="B5" s="3659">
        <f ca="1">项目基本情况!E4</f>
        <v>0</v>
      </c>
      <c r="C5" s="3662"/>
      <c r="D5" s="3661" t="s">
        <v>120</v>
      </c>
    </row>
    <row r="6" ht="17.4" spans="1:4">
      <c r="A6" s="3656" t="s">
        <v>121</v>
      </c>
      <c r="B6" s="3656"/>
      <c r="C6" s="3656"/>
      <c r="D6" s="3656"/>
    </row>
    <row r="7" ht="17.4" spans="1:4">
      <c r="A7" s="3657" t="s">
        <v>116</v>
      </c>
      <c r="B7" s="3659" t="s">
        <v>122</v>
      </c>
      <c r="C7" s="3657" t="s">
        <v>118</v>
      </c>
      <c r="D7" s="3657" t="s">
        <v>119</v>
      </c>
    </row>
    <row r="8" ht="56.25" customHeight="1" spans="1:4">
      <c r="A8" s="3663" t="s">
        <v>123</v>
      </c>
      <c r="B8" s="3663" t="s">
        <v>124</v>
      </c>
      <c r="C8" s="3660"/>
      <c r="D8" s="3661" t="s">
        <v>120</v>
      </c>
    </row>
    <row r="9" spans="1:4">
      <c r="A9" s="3664"/>
      <c r="B9" s="3664"/>
      <c r="C9" s="3664"/>
      <c r="D9" s="3664"/>
    </row>
    <row r="10" ht="17.4" spans="1:4">
      <c r="A10" s="3655" t="s">
        <v>125</v>
      </c>
      <c r="B10" s="3664"/>
      <c r="C10" s="3664"/>
      <c r="D10" s="3664"/>
    </row>
    <row r="11" ht="30" customHeight="1" spans="1:4">
      <c r="A11" s="3665" t="s">
        <v>126</v>
      </c>
      <c r="B11" s="3666"/>
      <c r="C11" s="3666"/>
      <c r="D11" s="3666"/>
    </row>
    <row r="12" ht="15" spans="1:4">
      <c r="A12" s="36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7"/>
      <c r="C12" s="3667"/>
      <c r="D12" s="3667"/>
    </row>
    <row r="13" ht="30" customHeight="1" spans="1:4">
      <c r="A13" s="36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7"/>
      <c r="C13" s="3667"/>
      <c r="D13" s="3667"/>
    </row>
    <row r="14" ht="15.75" customHeight="1" spans="1:4">
      <c r="A14" s="3666" t="str">
        <f>IF(项目基本情况!B8="抵押","4.本次评估估价师所知悉的法定优先受偿款情况说明如下：","——")</f>
        <v>4.本次评估估价师所知悉的法定优先受偿款情况说明如下：</v>
      </c>
      <c r="B14" s="3667"/>
      <c r="C14" s="3667"/>
      <c r="D14" s="3667"/>
    </row>
    <row r="15" ht="42" customHeight="1" spans="1:4">
      <c r="A15" s="36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6"/>
      <c r="C15" s="3666"/>
      <c r="D15" s="3666"/>
    </row>
    <row r="16" ht="30" customHeight="1" spans="1:4">
      <c r="A16" s="3668" t="s">
        <v>127</v>
      </c>
      <c r="B16" s="3668"/>
      <c r="C16" s="3668"/>
      <c r="D16" s="3668"/>
    </row>
    <row r="17" ht="144" customHeight="1" spans="1:4">
      <c r="A17" s="3668" t="s">
        <v>128</v>
      </c>
      <c r="B17" s="3668"/>
      <c r="C17" s="3668"/>
      <c r="D17" s="3668"/>
    </row>
    <row r="18" ht="15.75" customHeight="1" spans="1:4">
      <c r="A18" s="3666" t="str">
        <f>IF(项目基本情况!B8="抵押",结果表!K120,"——")</f>
        <v>故，本次评估不存在估价师知悉的法定优先受偿款</v>
      </c>
      <c r="B18" s="3666"/>
      <c r="C18" s="3666"/>
      <c r="D18" s="3666"/>
    </row>
    <row r="19" ht="46.5" customHeight="1" spans="1:4">
      <c r="A19" s="36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6"/>
      <c r="C19" s="3666"/>
      <c r="D19" s="3666"/>
    </row>
    <row r="20" ht="57.75" customHeight="1" spans="1:4">
      <c r="A20" s="36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6"/>
      <c r="C20" s="3666"/>
      <c r="D20" s="3666"/>
    </row>
    <row r="21" ht="57.75" customHeight="1" spans="1:4">
      <c r="A21" s="36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9"/>
      <c r="C21" s="3669"/>
      <c r="D21" s="3669"/>
    </row>
    <row r="22" ht="18.75" customHeight="1" spans="1:4">
      <c r="A22" s="3670" t="s">
        <v>129</v>
      </c>
      <c r="B22" s="3670"/>
      <c r="C22" s="3670"/>
      <c r="D22" s="3670"/>
    </row>
    <row r="23" spans="1:4">
      <c r="A23" s="3671"/>
      <c r="B23" s="1914"/>
      <c r="C23" s="1914"/>
      <c r="D23" s="1914"/>
    </row>
    <row r="24" spans="1:4">
      <c r="A24" s="3671"/>
      <c r="B24" s="1914"/>
      <c r="C24" s="1914"/>
      <c r="D24" s="1914"/>
    </row>
    <row r="25" ht="17.4" spans="1:1">
      <c r="A25" s="3672" t="s">
        <v>130</v>
      </c>
    </row>
    <row r="26" ht="17.4" spans="1:1">
      <c r="A26" s="3673"/>
    </row>
    <row r="27" ht="17.4" spans="1:1">
      <c r="A27" s="3673" t="s">
        <v>131</v>
      </c>
    </row>
    <row r="30" ht="17.4" spans="4:4">
      <c r="D30" s="3672" t="s">
        <v>132</v>
      </c>
    </row>
    <row r="31" ht="13.5" customHeight="1" spans="3:4">
      <c r="C31" s="3674">
        <v>42551</v>
      </c>
      <c r="D31" s="367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51" customWidth="1"/>
    <col min="3" max="10" width="12.4444444444444" style="3651" customWidth="1"/>
    <col min="11" max="16384" width="9" style="3651"/>
  </cols>
  <sheetData>
    <row r="1" ht="17.4" spans="1:10">
      <c r="A1" s="3652" t="s">
        <v>133</v>
      </c>
      <c r="B1" s="3653"/>
      <c r="C1" s="3653"/>
      <c r="D1" s="3653"/>
      <c r="E1" s="3653"/>
      <c r="F1" s="3653"/>
      <c r="G1" s="3653"/>
      <c r="H1" s="3653"/>
      <c r="I1" s="3653"/>
      <c r="J1" s="3653"/>
    </row>
    <row r="2" ht="17.4" spans="1:10">
      <c r="A2" s="3654"/>
      <c r="B2" s="3653"/>
      <c r="C2" s="3653"/>
      <c r="D2" s="3653"/>
      <c r="E2" s="3653"/>
      <c r="F2" s="3653"/>
      <c r="G2" s="3653"/>
      <c r="H2" s="3653"/>
      <c r="I2" s="3653"/>
      <c r="J2" s="3653"/>
    </row>
    <row r="3" spans="1:10">
      <c r="A3" s="3653"/>
      <c r="B3" s="3653"/>
      <c r="C3" s="3653"/>
      <c r="D3" s="3653"/>
      <c r="E3" s="3653"/>
      <c r="F3" s="3653"/>
      <c r="G3" s="3653"/>
      <c r="H3" s="3653"/>
      <c r="I3" s="3653"/>
      <c r="J3" s="3653"/>
    </row>
    <row r="4" spans="1:10">
      <c r="A4" s="3653"/>
      <c r="B4" s="3653"/>
      <c r="C4" s="3653"/>
      <c r="D4" s="3653"/>
      <c r="E4" s="3653"/>
      <c r="F4" s="3653"/>
      <c r="G4" s="3653"/>
      <c r="H4" s="3653"/>
      <c r="I4" s="3653"/>
      <c r="J4" s="3653"/>
    </row>
    <row r="5" spans="1:10">
      <c r="A5" s="3653"/>
      <c r="B5" s="3653"/>
      <c r="C5" s="3653"/>
      <c r="D5" s="3653"/>
      <c r="E5" s="3653"/>
      <c r="F5" s="3653"/>
      <c r="G5" s="3653"/>
      <c r="H5" s="3653"/>
      <c r="I5" s="3653"/>
      <c r="J5" s="3653"/>
    </row>
    <row r="6" spans="1:10">
      <c r="A6" s="3653"/>
      <c r="B6" s="3653"/>
      <c r="C6" s="3653"/>
      <c r="D6" s="3653"/>
      <c r="E6" s="3653"/>
      <c r="F6" s="3653"/>
      <c r="G6" s="3653"/>
      <c r="H6" s="3653"/>
      <c r="I6" s="3653"/>
      <c r="J6" s="3653"/>
    </row>
    <row r="7" spans="1:10">
      <c r="A7" s="3653"/>
      <c r="B7" s="3653"/>
      <c r="C7" s="3653"/>
      <c r="D7" s="3653"/>
      <c r="E7" s="3653"/>
      <c r="F7" s="3653"/>
      <c r="G7" s="3653"/>
      <c r="H7" s="3653"/>
      <c r="I7" s="3653"/>
      <c r="J7" s="3653"/>
    </row>
    <row r="8" spans="1:10">
      <c r="A8" s="3653"/>
      <c r="B8" s="3653"/>
      <c r="C8" s="3653"/>
      <c r="D8" s="3653"/>
      <c r="E8" s="3653"/>
      <c r="F8" s="3653"/>
      <c r="G8" s="3653"/>
      <c r="H8" s="3653"/>
      <c r="I8" s="3653"/>
      <c r="J8" s="3653"/>
    </row>
    <row r="9" spans="1:10">
      <c r="A9" s="3653"/>
      <c r="B9" s="3653"/>
      <c r="C9" s="3653"/>
      <c r="D9" s="3653"/>
      <c r="E9" s="3653"/>
      <c r="F9" s="3653"/>
      <c r="G9" s="3653"/>
      <c r="H9" s="3653"/>
      <c r="I9" s="3653"/>
      <c r="J9" s="3653"/>
    </row>
    <row r="10" spans="1:10">
      <c r="A10" s="3653"/>
      <c r="B10" s="3653"/>
      <c r="C10" s="3653"/>
      <c r="D10" s="3653"/>
      <c r="E10" s="3653"/>
      <c r="F10" s="3653"/>
      <c r="G10" s="3653"/>
      <c r="H10" s="3653"/>
      <c r="I10" s="3653"/>
      <c r="J10" s="3653"/>
    </row>
    <row r="11" spans="1:10">
      <c r="A11" s="3653"/>
      <c r="B11" s="3653"/>
      <c r="C11" s="3653"/>
      <c r="D11" s="3653"/>
      <c r="E11" s="3653"/>
      <c r="F11" s="3653"/>
      <c r="G11" s="3653"/>
      <c r="H11" s="3653"/>
      <c r="I11" s="3653"/>
      <c r="J11" s="3653"/>
    </row>
    <row r="12" spans="1:10">
      <c r="A12" s="3653"/>
      <c r="B12" s="3653"/>
      <c r="C12" s="3653"/>
      <c r="D12" s="3653"/>
      <c r="E12" s="3653"/>
      <c r="F12" s="3653"/>
      <c r="G12" s="3653"/>
      <c r="H12" s="3653"/>
      <c r="I12" s="3653"/>
      <c r="J12" s="3653"/>
    </row>
    <row r="13" spans="1:10">
      <c r="A13" s="3653"/>
      <c r="B13" s="3653"/>
      <c r="C13" s="3653"/>
      <c r="D13" s="3653"/>
      <c r="E13" s="3653"/>
      <c r="F13" s="3653"/>
      <c r="G13" s="3653"/>
      <c r="H13" s="3653"/>
      <c r="I13" s="3653"/>
      <c r="J13" s="3653"/>
    </row>
    <row r="14" spans="1:10">
      <c r="A14" s="3653"/>
      <c r="B14" s="3653"/>
      <c r="C14" s="3653"/>
      <c r="D14" s="3653"/>
      <c r="E14" s="3653"/>
      <c r="F14" s="3653"/>
      <c r="G14" s="3653"/>
      <c r="H14" s="3653"/>
      <c r="I14" s="3653"/>
      <c r="J14" s="3653"/>
    </row>
    <row r="15" spans="1:10">
      <c r="A15" s="3653"/>
      <c r="B15" s="3653"/>
      <c r="C15" s="3653"/>
      <c r="D15" s="3653"/>
      <c r="E15" s="3653"/>
      <c r="F15" s="3653"/>
      <c r="G15" s="3653"/>
      <c r="H15" s="3653"/>
      <c r="I15" s="3653"/>
      <c r="J15" s="3653"/>
    </row>
    <row r="16" spans="1:10">
      <c r="A16" s="3653"/>
      <c r="B16" s="3653"/>
      <c r="C16" s="3653"/>
      <c r="D16" s="3653"/>
      <c r="E16" s="3653"/>
      <c r="F16" s="3653"/>
      <c r="G16" s="3653"/>
      <c r="H16" s="3653"/>
      <c r="I16" s="3653"/>
      <c r="J16" s="3653"/>
    </row>
    <row r="17" spans="1:10">
      <c r="A17" s="3653"/>
      <c r="B17" s="3653"/>
      <c r="C17" s="3653"/>
      <c r="D17" s="3653"/>
      <c r="E17" s="3653"/>
      <c r="F17" s="3653"/>
      <c r="G17" s="3653"/>
      <c r="H17" s="3653"/>
      <c r="I17" s="3653"/>
      <c r="J17" s="3653"/>
    </row>
    <row r="18" spans="1:10">
      <c r="A18" s="3653"/>
      <c r="B18" s="3653"/>
      <c r="C18" s="3653"/>
      <c r="D18" s="3653"/>
      <c r="E18" s="3653"/>
      <c r="F18" s="3653"/>
      <c r="G18" s="3653"/>
      <c r="H18" s="3653"/>
      <c r="I18" s="3653"/>
      <c r="J18" s="3653"/>
    </row>
    <row r="19" spans="1:10">
      <c r="A19" s="3653"/>
      <c r="B19" s="3653"/>
      <c r="C19" s="3653"/>
      <c r="D19" s="3653"/>
      <c r="E19" s="3653"/>
      <c r="F19" s="3653"/>
      <c r="G19" s="3653"/>
      <c r="H19" s="3653"/>
      <c r="I19" s="3653"/>
      <c r="J19" s="3653"/>
    </row>
    <row r="20" spans="1:10">
      <c r="A20" s="3653"/>
      <c r="B20" s="3653"/>
      <c r="C20" s="3653"/>
      <c r="D20" s="3653"/>
      <c r="E20" s="3653"/>
      <c r="F20" s="3653"/>
      <c r="G20" s="3653"/>
      <c r="H20" s="3653"/>
      <c r="I20" s="3653"/>
      <c r="J20" s="3653"/>
    </row>
    <row r="21" spans="1:10">
      <c r="A21" s="3653"/>
      <c r="B21" s="3653"/>
      <c r="C21" s="3653"/>
      <c r="D21" s="3653"/>
      <c r="E21" s="3653"/>
      <c r="F21" s="3653"/>
      <c r="G21" s="3653"/>
      <c r="H21" s="3653"/>
      <c r="I21" s="3653"/>
      <c r="J21" s="3653"/>
    </row>
    <row r="22" spans="1:10">
      <c r="A22" s="3653"/>
      <c r="B22" s="3653"/>
      <c r="C22" s="3653"/>
      <c r="D22" s="3653"/>
      <c r="E22" s="3653"/>
      <c r="F22" s="3653"/>
      <c r="G22" s="3653"/>
      <c r="H22" s="3653"/>
      <c r="I22" s="3653"/>
      <c r="J22" s="3653"/>
    </row>
    <row r="23" spans="1:10">
      <c r="A23" s="3653"/>
      <c r="B23" s="3653"/>
      <c r="C23" s="3653"/>
      <c r="D23" s="3653"/>
      <c r="E23" s="3653"/>
      <c r="F23" s="3653"/>
      <c r="G23" s="3653"/>
      <c r="H23" s="3653"/>
      <c r="I23" s="3653"/>
      <c r="J23" s="3653"/>
    </row>
    <row r="24" spans="1:10">
      <c r="A24" s="3653"/>
      <c r="B24" s="3653"/>
      <c r="C24" s="3653"/>
      <c r="D24" s="3653"/>
      <c r="E24" s="3653"/>
      <c r="F24" s="3653"/>
      <c r="G24" s="3653"/>
      <c r="H24" s="3653"/>
      <c r="I24" s="3653"/>
      <c r="J24" s="3653"/>
    </row>
    <row r="25" spans="1:10">
      <c r="A25" s="3653"/>
      <c r="B25" s="3653"/>
      <c r="C25" s="3653"/>
      <c r="D25" s="3653"/>
      <c r="E25" s="3653"/>
      <c r="F25" s="3653"/>
      <c r="G25" s="3653"/>
      <c r="H25" s="3653"/>
      <c r="I25" s="3653"/>
      <c r="J25" s="3653"/>
    </row>
    <row r="26" spans="1:10">
      <c r="A26" s="3653"/>
      <c r="B26" s="3653"/>
      <c r="C26" s="3653"/>
      <c r="D26" s="3653"/>
      <c r="E26" s="3653"/>
      <c r="F26" s="3653"/>
      <c r="G26" s="3653"/>
      <c r="H26" s="3653"/>
      <c r="I26" s="3653"/>
      <c r="J26" s="3653"/>
    </row>
    <row r="27" spans="1:10">
      <c r="A27" s="3653"/>
      <c r="B27" s="3653"/>
      <c r="C27" s="3653"/>
      <c r="D27" s="3653"/>
      <c r="E27" s="3653"/>
      <c r="F27" s="3653"/>
      <c r="G27" s="3653"/>
      <c r="H27" s="3653"/>
      <c r="I27" s="3653"/>
      <c r="J27" s="3653"/>
    </row>
    <row r="28" spans="1:10">
      <c r="A28" s="3653"/>
      <c r="B28" s="3653"/>
      <c r="C28" s="3653"/>
      <c r="D28" s="3653"/>
      <c r="E28" s="3653"/>
      <c r="F28" s="3653"/>
      <c r="G28" s="3653"/>
      <c r="H28" s="3653"/>
      <c r="I28" s="3653"/>
      <c r="J28" s="3653"/>
    </row>
    <row r="29" spans="1:10">
      <c r="A29" s="3653"/>
      <c r="B29" s="3653"/>
      <c r="C29" s="3653"/>
      <c r="D29" s="3653"/>
      <c r="E29" s="3653"/>
      <c r="F29" s="3653"/>
      <c r="G29" s="3653"/>
      <c r="H29" s="3653"/>
      <c r="I29" s="3653"/>
      <c r="J29" s="3653"/>
    </row>
    <row r="30" spans="1:10">
      <c r="A30" s="3653"/>
      <c r="B30" s="3653"/>
      <c r="C30" s="3653"/>
      <c r="D30" s="3653"/>
      <c r="E30" s="3653"/>
      <c r="F30" s="3653"/>
      <c r="G30" s="3653"/>
      <c r="H30" s="3653"/>
      <c r="I30" s="3653"/>
      <c r="J30" s="3653"/>
    </row>
    <row r="31" spans="1:10">
      <c r="A31" s="3653"/>
      <c r="B31" s="3653"/>
      <c r="C31" s="3653"/>
      <c r="D31" s="3653"/>
      <c r="E31" s="3653"/>
      <c r="F31" s="3653"/>
      <c r="G31" s="3653"/>
      <c r="H31" s="3653"/>
      <c r="I31" s="3653"/>
      <c r="J31" s="365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27" customWidth="1"/>
    <col min="2" max="16384" width="14.4444444444444" style="3576"/>
  </cols>
  <sheetData>
    <row r="1" s="3626" customFormat="1" ht="17.4" spans="1:1">
      <c r="A1" s="3628" t="s">
        <v>134</v>
      </c>
    </row>
    <row r="3" spans="1:7">
      <c r="A3" s="3629" t="s">
        <v>135</v>
      </c>
      <c r="B3" s="3576" t="s">
        <v>136</v>
      </c>
      <c r="G3" s="3630"/>
    </row>
    <row r="4" spans="7:7">
      <c r="G4" s="3630"/>
    </row>
    <row r="5" spans="1:7">
      <c r="A5" s="3631" t="s">
        <v>137</v>
      </c>
      <c r="B5" s="3576" t="s">
        <v>138</v>
      </c>
      <c r="G5" s="3630"/>
    </row>
    <row r="6" spans="7:7">
      <c r="G6" s="3630"/>
    </row>
    <row r="7" spans="1:7">
      <c r="A7" s="3632" t="s">
        <v>139</v>
      </c>
      <c r="B7" s="3576" t="s">
        <v>140</v>
      </c>
      <c r="G7" s="3630"/>
    </row>
    <row r="8" spans="7:7">
      <c r="G8" s="3630"/>
    </row>
    <row r="9" spans="1:2">
      <c r="A9" s="3633" t="s">
        <v>141</v>
      </c>
      <c r="B9" s="3576" t="s">
        <v>142</v>
      </c>
    </row>
    <row r="11" spans="1:2">
      <c r="A11" s="3634" t="s">
        <v>143</v>
      </c>
      <c r="B11" s="3635" t="s">
        <v>144</v>
      </c>
    </row>
    <row r="13" spans="1:1">
      <c r="A13" s="3636" t="s">
        <v>145</v>
      </c>
    </row>
    <row r="15" ht="14.4" spans="1:3">
      <c r="A15" s="3637" t="s">
        <v>146</v>
      </c>
      <c r="B15" s="3638" t="s">
        <v>147</v>
      </c>
      <c r="C15" s="3639"/>
    </row>
    <row r="16" ht="14.4" spans="1:3">
      <c r="A16" s="3640"/>
      <c r="B16" s="3638" t="s">
        <v>148</v>
      </c>
      <c r="C16" s="3639"/>
    </row>
    <row r="17" ht="14.4" spans="1:3">
      <c r="A17" s="3640"/>
      <c r="B17" s="3641" t="s">
        <v>149</v>
      </c>
      <c r="C17" s="3641" t="s">
        <v>146</v>
      </c>
    </row>
    <row r="18" ht="14.4" spans="1:3">
      <c r="A18" s="3640"/>
      <c r="B18" s="3641"/>
      <c r="C18" s="3641" t="s">
        <v>150</v>
      </c>
    </row>
    <row r="19" ht="14.4" spans="1:3">
      <c r="A19" s="3640"/>
      <c r="B19" s="3641"/>
      <c r="C19" s="3641" t="s">
        <v>151</v>
      </c>
    </row>
    <row r="20" ht="14.4" spans="1:3">
      <c r="A20" s="3642"/>
      <c r="B20" s="3643" t="s">
        <v>152</v>
      </c>
      <c r="C20" s="3639"/>
    </row>
    <row r="21" ht="14.4" spans="1:3">
      <c r="A21" s="3644" t="s">
        <v>153</v>
      </c>
      <c r="B21" s="3645"/>
      <c r="C21" s="3646"/>
    </row>
    <row r="22" ht="14.4" spans="1:3">
      <c r="A22" s="3647" t="s">
        <v>154</v>
      </c>
      <c r="B22" s="3643" t="s">
        <v>155</v>
      </c>
      <c r="C22" s="3639"/>
    </row>
    <row r="23" ht="14.4" spans="1:3">
      <c r="A23" s="3647"/>
      <c r="B23" s="3643" t="s">
        <v>156</v>
      </c>
      <c r="C23" s="3639"/>
    </row>
    <row r="24" ht="14.4" spans="1:3">
      <c r="A24" s="3647"/>
      <c r="B24" s="3643" t="s">
        <v>157</v>
      </c>
      <c r="C24" s="3639"/>
    </row>
    <row r="25" ht="14.4" spans="1:3">
      <c r="A25" s="3647"/>
      <c r="B25" s="3641" t="s">
        <v>158</v>
      </c>
      <c r="C25" s="3641" t="s">
        <v>159</v>
      </c>
    </row>
    <row r="26" ht="14.4" spans="1:3">
      <c r="A26" s="3647"/>
      <c r="B26" s="3641"/>
      <c r="C26" s="3641" t="s">
        <v>160</v>
      </c>
    </row>
    <row r="27" ht="14.4" spans="1:3">
      <c r="A27" s="3647"/>
      <c r="B27" s="3641"/>
      <c r="C27" s="3641" t="s">
        <v>161</v>
      </c>
    </row>
    <row r="28" ht="14.4" spans="1:3">
      <c r="A28" s="3647"/>
      <c r="B28" s="3641"/>
      <c r="C28" s="3641" t="s">
        <v>162</v>
      </c>
    </row>
    <row r="29" ht="14.4" spans="1:3">
      <c r="A29" s="3647"/>
      <c r="B29" s="3641"/>
      <c r="C29" s="3641" t="s">
        <v>163</v>
      </c>
    </row>
    <row r="30" ht="14.4" spans="1:3">
      <c r="A30" s="3647"/>
      <c r="B30" s="3641"/>
      <c r="C30" s="3641" t="s">
        <v>164</v>
      </c>
    </row>
    <row r="31" ht="14.4" spans="1:3">
      <c r="A31" s="3647"/>
      <c r="B31" s="3641"/>
      <c r="C31" s="3641" t="s">
        <v>165</v>
      </c>
    </row>
    <row r="32" ht="14.4" spans="1:3">
      <c r="A32" s="3647"/>
      <c r="B32" s="3641"/>
      <c r="C32" s="3641" t="s">
        <v>166</v>
      </c>
    </row>
    <row r="33" ht="14.4" spans="1:3">
      <c r="A33" s="3647"/>
      <c r="B33" s="3641"/>
      <c r="C33" s="3641" t="s">
        <v>167</v>
      </c>
    </row>
    <row r="34" spans="1:1">
      <c r="A34" s="3648" t="s">
        <v>168</v>
      </c>
    </row>
    <row r="37" spans="1:1">
      <c r="A37" s="3648" t="s">
        <v>169</v>
      </c>
    </row>
    <row r="38" ht="14.4" spans="1:1">
      <c r="A38" s="3649" t="s">
        <v>170</v>
      </c>
    </row>
    <row r="39" ht="14.4" spans="1:1">
      <c r="A39" s="3649" t="s">
        <v>171</v>
      </c>
    </row>
    <row r="40" ht="14.4" spans="1:1">
      <c r="A40" s="3649" t="s">
        <v>172</v>
      </c>
    </row>
    <row r="41" ht="14.4" spans="1:1">
      <c r="A41" s="3650" t="s">
        <v>173</v>
      </c>
    </row>
    <row r="42" ht="14.4" spans="1:1">
      <c r="A42" s="364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95" customWidth="1"/>
    <col min="2" max="2" width="38.6666666666667" style="3595" customWidth="1"/>
    <col min="3" max="3" width="26" style="3595" customWidth="1"/>
    <col min="4" max="4" width="35" style="3595" hidden="1" customWidth="1"/>
    <col min="5" max="5" width="30.1111111111111" style="3595" customWidth="1"/>
    <col min="6" max="6" width="35.4444444444444" style="3595" customWidth="1"/>
    <col min="7" max="7" width="31" style="3595" customWidth="1"/>
    <col min="8" max="8" width="37.4444444444444" style="3595" hidden="1" customWidth="1"/>
    <col min="9" max="16384" width="22.6666666666667" style="3595"/>
  </cols>
  <sheetData>
    <row r="1" customHeight="1" spans="1:8">
      <c r="A1" s="3596"/>
      <c r="B1" s="3596"/>
      <c r="C1" s="3596"/>
      <c r="D1" s="3596"/>
      <c r="E1" s="3596"/>
      <c r="F1" s="3596"/>
      <c r="G1" s="3596"/>
      <c r="H1" s="3596"/>
    </row>
    <row r="2" customHeight="1" spans="1:8">
      <c r="A2" s="3597" t="s">
        <v>175</v>
      </c>
      <c r="B2" s="3598">
        <f ca="1">TODAY()</f>
        <v>45023</v>
      </c>
      <c r="C2" s="3599" t="s">
        <v>176</v>
      </c>
      <c r="D2" s="3599"/>
      <c r="E2" s="3599"/>
      <c r="F2" s="3596"/>
      <c r="G2" s="3596"/>
      <c r="H2" s="3596"/>
    </row>
    <row r="3" customHeight="1" spans="1:8">
      <c r="A3" s="3600" t="s">
        <v>177</v>
      </c>
      <c r="B3" s="3601" t="s">
        <v>178</v>
      </c>
      <c r="C3" s="3601" t="s">
        <v>179</v>
      </c>
      <c r="D3" s="3602" t="s">
        <v>180</v>
      </c>
      <c r="E3" s="3603" t="s">
        <v>181</v>
      </c>
      <c r="F3" s="3604" t="s">
        <v>182</v>
      </c>
      <c r="G3" s="3601" t="s">
        <v>179</v>
      </c>
      <c r="H3" s="3602" t="s">
        <v>183</v>
      </c>
    </row>
    <row r="4" customHeight="1" spans="1:8">
      <c r="A4" s="3604" t="s">
        <v>184</v>
      </c>
      <c r="B4" s="3604">
        <f ca="1">IF(C4&lt;B2,"已过期",1119970066)</f>
        <v>1119970066</v>
      </c>
      <c r="C4" s="3605">
        <v>45937</v>
      </c>
      <c r="D4" s="3606" t="str">
        <f ca="1">A4&amp;"（注册号："&amp;B4&amp;"）"</f>
        <v>梁津（注册号：1119970066）</v>
      </c>
      <c r="E4" s="3607" t="s">
        <v>184</v>
      </c>
      <c r="F4" s="3604">
        <f ca="1">IF(G4&lt;B2,"已过期",96010014)</f>
        <v>96010014</v>
      </c>
      <c r="G4" s="3608">
        <v>47118</v>
      </c>
      <c r="H4" s="3609" t="str">
        <f ca="1">E4&amp;"（注册号："&amp;F4&amp;"）"</f>
        <v>梁津（注册号：96010014）</v>
      </c>
    </row>
    <row r="5" customHeight="1" spans="1:8">
      <c r="A5" s="3604" t="s">
        <v>185</v>
      </c>
      <c r="B5" s="3604">
        <f ca="1">IF(C5&lt;B2,"已过期",1119970111)</f>
        <v>1119970111</v>
      </c>
      <c r="C5" s="3605">
        <v>45937</v>
      </c>
      <c r="D5" s="3606" t="str">
        <f ca="1" t="shared" ref="D5:D16" si="0">A5&amp;"（注册号："&amp;B5&amp;"）"</f>
        <v>叶凌（注册号：1119970111）</v>
      </c>
      <c r="E5" s="3607" t="s">
        <v>185</v>
      </c>
      <c r="F5" s="3604">
        <f ca="1">IF(G5&lt;B2,"已过期",94010078)</f>
        <v>94010078</v>
      </c>
      <c r="G5" s="3608">
        <v>46387</v>
      </c>
      <c r="H5" s="3609" t="str">
        <f ca="1" t="shared" ref="H5:H16" si="1">E5&amp;"（注册号："&amp;F5&amp;"）"</f>
        <v>叶凌（注册号：94010078）</v>
      </c>
    </row>
    <row r="6" customHeight="1" spans="1:8">
      <c r="A6" s="3604" t="s">
        <v>186</v>
      </c>
      <c r="B6" s="3604">
        <f ca="1">IF(C6&lt;B2,"已过期",1120050019)</f>
        <v>1120050019</v>
      </c>
      <c r="C6" s="3605">
        <v>45410</v>
      </c>
      <c r="D6" s="3606" t="str">
        <f ca="1" t="shared" si="0"/>
        <v>王鹏（注册号：1120050019）</v>
      </c>
      <c r="E6" s="3607" t="s">
        <v>186</v>
      </c>
      <c r="F6" s="3604">
        <f ca="1">IF(G6&lt;B2,"已过期",2002110030)</f>
        <v>2002110030</v>
      </c>
      <c r="G6" s="3608">
        <v>46387</v>
      </c>
      <c r="H6" s="3609" t="str">
        <f ca="1" t="shared" si="1"/>
        <v>王鹏（注册号：2002110030）</v>
      </c>
    </row>
    <row r="7" customHeight="1" spans="1:8">
      <c r="A7" s="3604" t="s">
        <v>187</v>
      </c>
      <c r="B7" s="3604">
        <f ca="1">IF(C7&lt;B2,"已过期",1120000080)</f>
        <v>1120000080</v>
      </c>
      <c r="C7" s="3605">
        <v>45937</v>
      </c>
      <c r="D7" s="3606" t="str">
        <f ca="1" t="shared" si="0"/>
        <v>欧红伟（注册号：1120000080）</v>
      </c>
      <c r="E7" s="3607" t="s">
        <v>187</v>
      </c>
      <c r="F7" s="3604">
        <f ca="1">IF(G7&lt;B2,"已过期",2000110082)</f>
        <v>2000110082</v>
      </c>
      <c r="G7" s="3608">
        <v>46387</v>
      </c>
      <c r="H7" s="3609" t="str">
        <f ca="1" t="shared" si="1"/>
        <v>欧红伟（注册号：2000110082）</v>
      </c>
    </row>
    <row r="8" customHeight="1" spans="1:8">
      <c r="A8" s="3604" t="s">
        <v>188</v>
      </c>
      <c r="B8" s="3604">
        <f ca="1">IF(C8&lt;B2,"已过期",1419970001)</f>
        <v>1419970001</v>
      </c>
      <c r="C8" s="3605">
        <v>45937</v>
      </c>
      <c r="D8" s="3606" t="str">
        <f ca="1" t="shared" si="0"/>
        <v>吴薇（注册号：1419970001）</v>
      </c>
      <c r="E8" s="3607" t="s">
        <v>188</v>
      </c>
      <c r="F8" s="3604">
        <f ca="1">IF(G8&lt;B2,"已过期",2002110125)</f>
        <v>2002110125</v>
      </c>
      <c r="G8" s="3608">
        <v>47118</v>
      </c>
      <c r="H8" s="3609" t="str">
        <f ca="1" t="shared" si="1"/>
        <v>吴薇（注册号：2002110125）</v>
      </c>
    </row>
    <row r="9" customHeight="1" spans="1:8">
      <c r="A9" s="3604" t="s">
        <v>189</v>
      </c>
      <c r="B9" s="3604">
        <f ca="1">IF(C9&lt;B2,"已过期",1120060040)</f>
        <v>1120060040</v>
      </c>
      <c r="C9" s="3610">
        <v>45592</v>
      </c>
      <c r="D9" s="3606" t="str">
        <f ca="1" t="shared" si="0"/>
        <v>陈颖（注册号：1120060040）</v>
      </c>
      <c r="E9" s="3607" t="s">
        <v>189</v>
      </c>
      <c r="F9" s="3604">
        <f ca="1">IF(G9&lt;B2,"已过期",2004110096)</f>
        <v>2004110096</v>
      </c>
      <c r="G9" s="3608">
        <v>47118</v>
      </c>
      <c r="H9" s="3609" t="str">
        <f ca="1" t="shared" si="1"/>
        <v>陈颖（注册号：2004110096）</v>
      </c>
    </row>
    <row r="10" customHeight="1" spans="1:8">
      <c r="A10" s="3604" t="s">
        <v>190</v>
      </c>
      <c r="B10" s="3604">
        <f ca="1">IF(C10&lt;B2,"已过期",1120100036)</f>
        <v>1120100036</v>
      </c>
      <c r="C10" s="3610">
        <v>45752</v>
      </c>
      <c r="D10" s="3606" t="str">
        <f ca="1" t="shared" si="0"/>
        <v>崔锴（注册号：1120100036）</v>
      </c>
      <c r="E10" s="3607" t="s">
        <v>190</v>
      </c>
      <c r="F10" s="3604">
        <f ca="1">IF(G10&lt;B2,"已过期",2010110070)</f>
        <v>2010110070</v>
      </c>
      <c r="G10" s="3608">
        <v>47907</v>
      </c>
      <c r="H10" s="3609" t="str">
        <f ca="1" t="shared" si="1"/>
        <v>崔锴（注册号：2010110070）</v>
      </c>
    </row>
    <row r="11" customHeight="1" spans="1:8">
      <c r="A11" s="3604" t="s">
        <v>191</v>
      </c>
      <c r="B11" s="3604">
        <f ca="1">IF(C11&lt;B2,"已过期",1120070131)</f>
        <v>1120070131</v>
      </c>
      <c r="C11" s="3605">
        <v>45937</v>
      </c>
      <c r="D11" s="3606" t="str">
        <f ca="1" t="shared" si="0"/>
        <v>郑燚（注册号：1120070131）</v>
      </c>
      <c r="E11" s="3607" t="s">
        <v>191</v>
      </c>
      <c r="F11" s="3604">
        <f ca="1">IF(G11&lt;B2,"已过期",2014110011)</f>
        <v>2014110011</v>
      </c>
      <c r="G11" s="3608">
        <v>49302</v>
      </c>
      <c r="H11" s="3609" t="str">
        <f ca="1" t="shared" si="1"/>
        <v>郑燚（注册号：2014110011）</v>
      </c>
    </row>
    <row r="12" customHeight="1" spans="1:8">
      <c r="A12" s="3604" t="s">
        <v>192</v>
      </c>
      <c r="B12" s="3604">
        <f ca="1">IF(C12&lt;B2,"已过期",1120040230)</f>
        <v>1120040230</v>
      </c>
      <c r="C12" s="3610">
        <v>45937</v>
      </c>
      <c r="D12" s="3606" t="str">
        <f ca="1" t="shared" si="0"/>
        <v>苏海（注册号：1120040230）</v>
      </c>
      <c r="E12" s="3607" t="s">
        <v>192</v>
      </c>
      <c r="F12" s="3604">
        <f ca="1">IF(G12&lt;B2,"已过期",98030020)</f>
        <v>98030020</v>
      </c>
      <c r="G12" s="3608">
        <v>47118</v>
      </c>
      <c r="H12" s="3609" t="str">
        <f ca="1" t="shared" si="1"/>
        <v>苏海（注册号：98030020）</v>
      </c>
    </row>
    <row r="13" customHeight="1" spans="1:8">
      <c r="A13" s="3604" t="s">
        <v>193</v>
      </c>
      <c r="B13" s="3604">
        <f ca="1">IF(C13&lt;B2,"已过期",1120020033)</f>
        <v>1120020033</v>
      </c>
      <c r="C13" s="3605">
        <v>45375</v>
      </c>
      <c r="D13" s="3606" t="str">
        <f ca="1" t="shared" si="0"/>
        <v>刘敬东（注册号：1120020033）</v>
      </c>
      <c r="E13" s="3607" t="s">
        <v>193</v>
      </c>
      <c r="F13" s="3604">
        <f ca="1">IF(G13&lt;B2,"已过期",2000110137)</f>
        <v>2000110137</v>
      </c>
      <c r="G13" s="3608">
        <v>46387</v>
      </c>
      <c r="H13" s="3609" t="str">
        <f ca="1" t="shared" si="1"/>
        <v>刘敬东（注册号：2000110137）</v>
      </c>
    </row>
    <row r="14" customHeight="1" spans="1:8">
      <c r="A14" s="3604" t="s">
        <v>194</v>
      </c>
      <c r="B14" s="3604" t="str">
        <f ca="1">IF(C14&lt;B2,"已过期",1119980106)</f>
        <v>已过期</v>
      </c>
      <c r="C14" s="3610">
        <v>44969</v>
      </c>
      <c r="D14" s="3606" t="str">
        <f ca="1" t="shared" si="0"/>
        <v>刘俊财（注册号：已过期）</v>
      </c>
      <c r="E14" s="3607" t="s">
        <v>194</v>
      </c>
      <c r="F14" s="3604">
        <f ca="1">IF(G14&lt;B2,"已过期",96010063)</f>
        <v>96010063</v>
      </c>
      <c r="G14" s="3608">
        <v>47483</v>
      </c>
      <c r="H14" s="3609" t="str">
        <f ca="1" t="shared" si="1"/>
        <v>刘俊财（注册号：96010063）</v>
      </c>
    </row>
    <row r="15" customHeight="1" spans="1:8">
      <c r="A15" s="3604" t="s">
        <v>195</v>
      </c>
      <c r="B15" s="3604">
        <v>1120210056</v>
      </c>
      <c r="C15" s="3610">
        <v>45410</v>
      </c>
      <c r="D15" s="3606" t="str">
        <f t="shared" si="0"/>
        <v>宁小鳗（注册号：1120210056）</v>
      </c>
      <c r="E15" s="3607" t="s">
        <v>196</v>
      </c>
      <c r="F15" s="3604">
        <f ca="1">IF(G15&lt;B2,"已过期",2011110090)</f>
        <v>2011110090</v>
      </c>
      <c r="G15" s="3608">
        <v>48302</v>
      </c>
      <c r="H15" s="3609" t="str">
        <f ca="1" t="shared" si="1"/>
        <v>赵雯（注册号：2011110090）</v>
      </c>
    </row>
    <row r="16" s="3593" customFormat="1" customHeight="1" spans="1:8">
      <c r="A16" s="3604"/>
      <c r="B16" s="3604"/>
      <c r="C16" s="3604"/>
      <c r="D16" s="3606" t="str">
        <f t="shared" si="0"/>
        <v>（注册号：）</v>
      </c>
      <c r="E16" s="3607"/>
      <c r="F16" s="3604"/>
      <c r="G16" s="3604"/>
      <c r="H16" s="3611" t="str">
        <f t="shared" si="1"/>
        <v>（注册号：）</v>
      </c>
    </row>
    <row r="17" customHeight="1" spans="1:8">
      <c r="A17" s="3612" t="s">
        <v>197</v>
      </c>
      <c r="B17" s="3612"/>
      <c r="C17" s="3612"/>
      <c r="D17" s="3612"/>
      <c r="E17" s="3612"/>
      <c r="F17" s="3612"/>
      <c r="G17" s="3612"/>
      <c r="H17" s="3612"/>
    </row>
    <row r="18" customHeight="1" spans="1:7">
      <c r="A18" s="3601" t="s">
        <v>198</v>
      </c>
      <c r="B18" s="3601"/>
      <c r="C18" s="3601"/>
      <c r="D18" s="3602"/>
      <c r="E18" s="3613" t="s">
        <v>199</v>
      </c>
      <c r="F18" s="3601"/>
      <c r="G18" s="3601"/>
    </row>
    <row r="19" s="3594" customFormat="1" customHeight="1" spans="1:7">
      <c r="A19" s="3614" t="s">
        <v>200</v>
      </c>
      <c r="B19" s="3601" t="s">
        <v>201</v>
      </c>
      <c r="C19" s="3601" t="s">
        <v>179</v>
      </c>
      <c r="D19" s="3602"/>
      <c r="E19" s="3607" t="s">
        <v>200</v>
      </c>
      <c r="F19" s="3601" t="s">
        <v>201</v>
      </c>
      <c r="G19" s="3601" t="s">
        <v>179</v>
      </c>
    </row>
    <row r="20" s="3594" customFormat="1" customHeight="1" spans="1:7">
      <c r="A20" s="3615" t="s">
        <v>202</v>
      </c>
      <c r="B20" s="3615" t="s">
        <v>203</v>
      </c>
      <c r="C20" s="3608">
        <v>45898</v>
      </c>
      <c r="D20" s="3616"/>
      <c r="E20" s="3617" t="s">
        <v>204</v>
      </c>
      <c r="F20" s="3618" t="s">
        <v>205</v>
      </c>
      <c r="G20" s="3619">
        <v>44926</v>
      </c>
    </row>
    <row r="21" s="3594" customFormat="1" customHeight="1" spans="1:7">
      <c r="A21" s="3615"/>
      <c r="B21" s="3615"/>
      <c r="C21" s="3620"/>
      <c r="D21" s="3621"/>
      <c r="E21" s="3617"/>
      <c r="F21" s="3618"/>
      <c r="G21" s="3619"/>
    </row>
    <row r="22" customHeight="1" spans="3:7">
      <c r="C22" s="3622"/>
      <c r="D22" s="3622"/>
      <c r="E22" s="3623"/>
      <c r="F22" s="3624"/>
      <c r="G22" s="362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大宗案例</vt:lpstr>
      <vt:lpstr>租赁台账</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2023-04-07T05:53:22Z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A6E4FED647D34E0890FEDB8B566BD927</vt:lpwstr>
  </property>
  <property fmtid="{D5CDD505-2E9C-101B-9397-08002B2CF9AE}" pid="3" name="KSOProductBuildVer">
    <vt:lpwstr>2052-11.1.0.11636</vt:lpwstr>
  </property>
</Properties>
</file>