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6" i="1" l="1"/>
  <c r="D3" i="4"/>
  <c r="U3" i="43" l="1"/>
  <c r="D37" i="43"/>
  <c r="F19" i="6"/>
  <c r="E8" i="1" l="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44" i="3"/>
  <c r="E167" i="3"/>
  <c r="E312" i="3"/>
  <c r="E542" i="3"/>
  <c r="E421" i="3"/>
  <c r="E487" i="3"/>
  <c r="E416" i="3"/>
  <c r="E374" i="3"/>
  <c r="E500" i="3"/>
  <c r="E413" i="3"/>
  <c r="E520"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M23" i="15"/>
  <c r="E13" i="76"/>
  <c r="M22" i="67"/>
  <c r="F16" i="15"/>
  <c r="M24" i="67"/>
  <c r="C76" i="15"/>
  <c r="F37" i="15"/>
  <c r="F38" i="67"/>
  <c r="B11" i="76"/>
  <c r="F7" i="73"/>
  <c r="D6" i="73"/>
  <c r="F43" i="15"/>
  <c r="F13" i="15"/>
  <c r="M8" i="15"/>
  <c r="M28" i="15"/>
  <c r="M28" i="67"/>
  <c r="E7" i="76"/>
  <c r="F13" i="67"/>
  <c r="M23" i="67"/>
  <c r="B7" i="76"/>
  <c r="F26" i="67"/>
  <c r="F37" i="67"/>
  <c r="F6" i="15"/>
  <c r="F26" i="15"/>
  <c r="F7" i="67"/>
  <c r="M24" i="15"/>
  <c r="M9" i="67"/>
  <c r="F6" i="73"/>
  <c r="J15" i="15"/>
  <c r="F9" i="67"/>
  <c r="AO13" i="1"/>
  <c r="M22" i="15"/>
  <c r="F36" i="15"/>
  <c r="E2" i="68"/>
  <c r="M6" i="67"/>
  <c r="F43" i="67"/>
  <c r="C76" i="67"/>
  <c r="F40" i="67"/>
  <c r="E12" i="76"/>
  <c r="F16" i="67"/>
  <c r="F3" i="73"/>
  <c r="F40" i="15"/>
  <c r="B8" i="76"/>
  <c r="L47" i="15"/>
  <c r="F4" i="73"/>
  <c r="D4" i="73"/>
  <c r="B12" i="76"/>
  <c r="M6" i="15"/>
  <c r="B10" i="76"/>
  <c r="E2" i="69"/>
  <c r="M29" i="15"/>
  <c r="D3" i="73"/>
  <c r="F5" i="73"/>
  <c r="F8" i="67"/>
  <c r="M9" i="15"/>
  <c r="F36" i="67"/>
  <c r="F9" i="15"/>
  <c r="F42" i="67"/>
  <c r="F7" i="15"/>
  <c r="M29" i="67"/>
  <c r="E10" i="76"/>
  <c r="F8" i="15"/>
  <c r="L47" i="67"/>
  <c r="B13" i="76"/>
  <c r="D7" i="73"/>
  <c r="E11" i="76"/>
  <c r="B9" i="76"/>
  <c r="F6" i="67"/>
  <c r="F38" i="15"/>
  <c r="F20" i="31"/>
  <c r="E8" i="76"/>
  <c r="M8" i="67"/>
  <c r="M26" i="67"/>
  <c r="D5" i="73"/>
  <c r="M26" i="15"/>
  <c r="J15" i="67"/>
  <c r="L48" i="15"/>
  <c r="F42" i="15"/>
  <c r="E9" i="76"/>
  <c r="AL6" i="3" l="1"/>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60" i="3"/>
  <c r="E582" i="3"/>
  <c r="E566" i="3"/>
  <c r="E459" i="3"/>
  <c r="E398" i="3"/>
  <c r="E464" i="3"/>
  <c r="E552" i="3"/>
  <c r="AD6" i="3"/>
  <c r="E141" i="3"/>
  <c r="E149" i="3"/>
  <c r="E165" i="3"/>
  <c r="E417" i="3"/>
  <c r="E491" i="3"/>
  <c r="E435" i="3"/>
  <c r="E517" i="3"/>
  <c r="E554" i="3"/>
  <c r="AP6" i="3"/>
  <c r="I3" i="6"/>
  <c r="E255" i="3"/>
  <c r="E449" i="3"/>
  <c r="E430" i="3"/>
  <c r="E541" i="3"/>
  <c r="E466" i="3"/>
  <c r="E442" i="3"/>
  <c r="E502" i="3"/>
  <c r="R6" i="3"/>
  <c r="E499" i="3"/>
  <c r="E575" i="3"/>
  <c r="E286" i="3"/>
  <c r="E199" i="3"/>
  <c r="E212" i="3"/>
  <c r="E148" i="3"/>
  <c r="E536" i="3"/>
  <c r="E539"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C51" i="10"/>
  <c r="A13" i="51" s="1"/>
  <c r="B11" i="72" s="1"/>
  <c r="F6" i="1"/>
  <c r="I24" i="43" s="1"/>
  <c r="J51" i="15"/>
  <c r="G6" i="1"/>
  <c r="F48" i="9"/>
  <c r="O52" i="9" s="1"/>
  <c r="D78" i="9"/>
  <c r="H69" i="43"/>
  <c r="C21" i="68"/>
  <c r="C40" i="69"/>
  <c r="G28" i="6"/>
  <c r="F29" i="6"/>
  <c r="H111" i="9"/>
  <c r="H112"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F26" i="43"/>
  <c r="G26" i="43"/>
  <c r="A1" i="79"/>
  <c r="H55" i="43"/>
  <c r="H86" i="43"/>
  <c r="H87" i="43"/>
  <c r="N370"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D9" i="69"/>
  <c r="C36" i="68"/>
  <c r="D9" i="68"/>
  <c r="C16" i="67"/>
  <c r="L48" i="67"/>
  <c r="G1" i="73"/>
  <c r="F27" i="69"/>
  <c r="C36" i="69"/>
  <c r="C16" i="15"/>
  <c r="N94" i="46" l="1"/>
  <c r="E26" i="43"/>
  <c r="D26" i="43" s="1"/>
  <c r="C25" i="43" s="1"/>
  <c r="J26" i="43"/>
  <c r="J57" i="67"/>
  <c r="J55" i="67" s="1"/>
  <c r="J58" i="67" s="1"/>
  <c r="Q50" i="67" s="1"/>
  <c r="I54" i="67"/>
  <c r="L58" i="67"/>
  <c r="Q73" i="67" s="1"/>
  <c r="J53" i="67"/>
  <c r="F1" i="67" s="1"/>
  <c r="L56" i="67"/>
  <c r="G44" i="43"/>
  <c r="C24" i="43"/>
  <c r="C44" i="43"/>
  <c r="D18" i="53"/>
  <c r="B35" i="72" s="1"/>
  <c r="C7" i="74"/>
  <c r="C8" i="74"/>
  <c r="D21" i="53"/>
  <c r="B39" i="72" s="1"/>
  <c r="D126" i="9"/>
  <c r="D19" i="5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AE8" i="1"/>
  <c r="AE12" i="1"/>
  <c r="AE10" i="1"/>
  <c r="AE7" i="1"/>
  <c r="AE6" i="1"/>
  <c r="F27" i="68"/>
  <c r="Q60" i="67" l="1"/>
  <c r="Q52" i="67"/>
  <c r="E65" i="39"/>
  <c r="B38" i="72"/>
  <c r="D20" i="53"/>
  <c r="B40" i="72" s="1"/>
  <c r="D12" i="52"/>
  <c r="D127" i="9"/>
  <c r="D13" i="52" s="1"/>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67"/>
  <c r="M27" i="15"/>
  <c r="D116" i="43" l="1"/>
  <c r="F69" i="67"/>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C6" i="68" s="1"/>
  <c r="C7"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C17" i="15"/>
  <c r="C17" i="67"/>
  <c r="D10" i="69"/>
  <c r="C34" i="69"/>
  <c r="D10" i="68"/>
  <c r="C14" i="67"/>
  <c r="H21" i="6" l="1"/>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C6" i="69" s="1"/>
  <c r="C7" i="69" s="1"/>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34" i="68"/>
  <c r="E6" i="76"/>
  <c r="C14" i="15"/>
  <c r="L18" i="9" l="1"/>
  <c r="C5" i="69"/>
  <c r="C23" i="69"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F7" i="21"/>
  <c r="J48" i="35"/>
  <c r="L19" i="9" l="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2" i="37"/>
  <c r="L51" i="15"/>
  <c r="D2" i="35"/>
  <c r="D2" i="34"/>
  <c r="D2" i="36"/>
  <c r="D19" i="9"/>
  <c r="C21" i="9" l="1"/>
  <c r="C102" i="9"/>
  <c r="B3" i="33"/>
  <c r="D102" i="9"/>
  <c r="D21" i="9"/>
  <c r="G19" i="9"/>
  <c r="D22" i="9"/>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AO10" i="1"/>
  <c r="D20" i="9"/>
  <c r="AO11" i="1"/>
  <c r="AO9" i="1"/>
  <c r="C20" i="9"/>
  <c r="AO8" i="1"/>
  <c r="C103" i="9" l="1"/>
  <c r="G21" i="9"/>
  <c r="D103" i="9"/>
  <c r="G20" i="9"/>
  <c r="C32" i="9" s="1"/>
  <c r="C35" i="9" s="1"/>
  <c r="L46" i="15"/>
  <c r="B2" i="15"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AO7" i="1"/>
  <c r="B3" i="15" l="1"/>
  <c r="C34" i="9"/>
  <c r="B7"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5" i="74" l="1"/>
  <c r="E15" i="74"/>
  <c r="G118" i="9" l="1"/>
  <c r="F118" i="9" s="1"/>
  <c r="F4" i="52" s="1"/>
  <c r="B51" i="72" s="1"/>
  <c r="I118" i="9"/>
  <c r="I4" i="52" s="1"/>
  <c r="G4" i="52" l="1"/>
  <c r="B52" i="72" s="1"/>
  <c r="H118" i="9"/>
  <c r="D14" i="74" s="1"/>
  <c r="H102" i="9"/>
  <c r="F119" i="9"/>
  <c r="F5" i="52" s="1"/>
  <c r="B53" i="72" s="1"/>
  <c r="C105" i="9"/>
  <c r="E118" i="9"/>
  <c r="G14" i="74" l="1"/>
  <c r="B6" i="74" s="1"/>
  <c r="D6" i="74" s="1"/>
  <c r="F14" i="74"/>
  <c r="E14" i="74"/>
  <c r="B5" i="74"/>
  <c r="D5" i="74" s="1"/>
  <c r="E4" i="52"/>
  <c r="B48" i="72" s="1"/>
  <c r="D118" i="9"/>
  <c r="C104" i="9"/>
  <c r="H4" i="52"/>
  <c r="H119" i="9"/>
  <c r="H5" i="52" s="1"/>
  <c r="H101" i="9"/>
  <c r="D7" i="53"/>
  <c r="B21" i="72" s="1"/>
  <c r="C5" i="74"/>
  <c r="H107" i="9" l="1"/>
  <c r="M48" i="9"/>
  <c r="D45" i="9"/>
  <c r="D5" i="53"/>
  <c r="D4" i="52"/>
  <c r="B47" i="72" s="1"/>
  <c r="D119" i="9"/>
  <c r="D5" i="52" s="1"/>
  <c r="B49" i="72" s="1"/>
  <c r="B20" i="72" l="1"/>
  <c r="D6" i="53"/>
  <c r="B22" i="72" s="1"/>
  <c r="D53" i="9"/>
  <c r="C93" i="9"/>
  <c r="C86" i="9" s="1"/>
  <c r="C85" i="9"/>
  <c r="D52" i="9"/>
  <c r="C78" i="9"/>
  <c r="C73" i="9" s="1"/>
  <c r="C72" i="9"/>
  <c r="D55" i="9"/>
  <c r="M53" i="9" s="1"/>
  <c r="C64" i="9"/>
  <c r="C63" i="9" s="1"/>
  <c r="C67" i="9" s="1"/>
  <c r="H108" i="9"/>
  <c r="D13" i="53"/>
  <c r="D122" i="9"/>
  <c r="M49" i="9"/>
  <c r="C95" i="9" l="1"/>
  <c r="D8" i="52"/>
  <c r="D123" i="9"/>
  <c r="D9" i="52" s="1"/>
  <c r="C6" i="74"/>
  <c r="D15" i="53"/>
  <c r="B31" i="72" s="1"/>
  <c r="L63" i="9"/>
  <c r="M63" i="9" s="1"/>
  <c r="L67" i="9"/>
  <c r="M67" i="9" s="1"/>
  <c r="L64" i="9"/>
  <c r="M64" i="9" s="1"/>
  <c r="L68" i="9"/>
  <c r="M68" i="9" s="1"/>
  <c r="L65" i="9"/>
  <c r="M65" i="9" s="1"/>
  <c r="L66" i="9"/>
  <c r="M66" i="9" s="1"/>
  <c r="D14" i="53"/>
  <c r="B32" i="72" s="1"/>
  <c r="B30" i="72"/>
  <c r="D59" i="9"/>
  <c r="M55" i="9" s="1"/>
  <c r="C68" i="9"/>
  <c r="D54" i="9" s="1"/>
  <c r="C79" i="9"/>
  <c r="C96" i="9"/>
  <c r="E96" i="9" s="1"/>
  <c r="E97" i="9" s="1"/>
  <c r="C97" i="9" l="1"/>
  <c r="D58" i="9" s="1"/>
  <c r="D56" i="9" s="1"/>
  <c r="M54" i="9" s="1"/>
  <c r="N57" i="9" s="1"/>
  <c r="C80" i="9"/>
  <c r="E80" i="9" s="1"/>
  <c r="E81" i="9" s="1"/>
  <c r="M69" i="9"/>
  <c r="N69"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<sst xmlns="http://schemas.openxmlformats.org/spreadsheetml/2006/main" count="7827" uniqueCount="3421">
  <si>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</si>
  <si>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</si>
  <si>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</si>
  <si>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</si>
  <si>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</si>
  <si>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</si>
  <si>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</si>
  <si>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</si>
  <si>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</si>
  <si>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</si>
  <si>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</si>
  <si>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</si>
  <si>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</si>
  <si>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</si>
  <si>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</si>
  <si>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</si>
  <si>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</si>
  <si>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</si>
  <si>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</si>
  <si>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</si>
  <si>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</si>
  <si>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</si>
  <si>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</si>
  <si>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</si>
  <si>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</si>
  <si>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</si>
  <si>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</si>
  <si>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</si>
  <si>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</si>
  <si>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</si>
  <si>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</si>
  <si>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</si>
  <si>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</si>
  <si>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</si>
  <si>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</si>
  <si>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</si>
  <si>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</si>
  <si>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</si>
  <si>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</si>
  <si>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</si>
  <si>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</si>
  <si>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</si>
  <si>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</si>
  <si>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</si>
  <si>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</si>
  <si>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</si>
  <si>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</si>
  <si>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</si>
  <si>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</si>
  <si>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</si>
  <si>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</si>
  <si>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</si>
  <si>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</si>
  <si>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</si>
  <si>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</si>
  <si>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</si>
  <si>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</si>
  <si>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</si>
  <si>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</si>
  <si>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</si>
  <si>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</si>
  <si>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</si>
  <si>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</si>
  <si>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</si>
  <si>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</si>
  <si>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</si>
  <si>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</si>
  <si>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</si>
  <si>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</si>
  <si>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</si>
  <si>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</si>
  <si>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</si>
  <si>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</si>
  <si>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</si>
  <si>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</si>
  <si>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</si>
  <si>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</si>
  <si>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</si>
  <si>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</si>
  <si>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</si>
  <si>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</si>
  <si>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</si>
  <si>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</si>
  <si>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</si>
  <si>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</si>
  <si>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</si>
  <si>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</si>
  <si>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</si>
  <si>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</si>
  <si>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</si>
  <si>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</si>
  <si>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</si>
  <si>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</si>
  <si>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</si>
  <si>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</si>
  <si>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</si>
  <si>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</si>
  <si>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</si>
  <si>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</si>
  <si>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</si>
  <si>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</si>
  <si>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</si>
  <si>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</si>
  <si>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</si>
  <si>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</si>
  <si>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</si>
  <si>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</si>
  <si>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</si>
  <si>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</si>
  <si>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</si>
  <si>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</si>
  <si>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</si>
  <si>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</si>
  <si>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</si>
  <si>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</si>
  <si>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</si>
  <si>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</si>
  <si>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</si>
  <si>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</si>
  <si>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</si>
  <si>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</si>
  <si>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</si>
  <si>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</si>
  <si>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</si>
  <si>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</si>
  <si>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</si>
  <si>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</si>
  <si>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</si>
  <si>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</si>
  <si>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</si>
  <si>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</si>
  <si>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</si>
  <si>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</si>
  <si>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</si>
  <si>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</si>
  <si>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</si>
  <si>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</si>
  <si>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</si>
  <si>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</si>
  <si>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</si>
  <si>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</si>
  <si>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</si>
  <si>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</si>
  <si>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</si>
  <si>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</si>
  <si>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</si>
  <si>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</si>
  <si>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</si>
  <si>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</si>
  <si>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</si>
  <si>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</si>
  <si>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</si>
  <si>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</si>
  <si>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</si>
  <si>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</si>
  <si>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</si>
  <si>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</si>
  <si>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</si>
  <si>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</si>
  <si>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</si>
  <si>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</si>
  <si>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</si>
  <si>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</si>
  <si>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</si>
  <si>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</si>
  <si>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</si>
  <si>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</si>
  <si>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</si>
  <si>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</si>
  <si>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</si>
  <si>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</si>
  <si>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</si>
  <si>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</si>
  <si>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</si>
  <si>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</si>
  <si>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</si>
  <si>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</si>
  <si>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</si>
  <si>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</si>
  <si>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</si>
  <si>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</si>
  <si>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</si>
  <si>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</si>
  <si>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</si>
  <si>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</si>
  <si>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</si>
  <si>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</si>
  <si>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</si>
  <si>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</si>
  <si>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</si>
  <si>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</si>
  <si>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</si>
  <si>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</si>
  <si>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</si>
  <si>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</si>
  <si>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</si>
  <si>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</si>
  <si>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</si>
  <si>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</si>
  <si>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</si>
  <si>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</si>
  <si>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</si>
  <si>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</si>
  <si>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</si>
  <si>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</si>
  <si>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</si>
  <si>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</si>
  <si>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</si>
  <si>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</si>
  <si>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</si>
  <si>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</si>
  <si>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</si>
  <si>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</si>
  <si>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</si>
  <si>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</si>
  <si>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</si>
  <si>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</si>
  <si>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</si>
  <si>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</si>
  <si>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</si>
  <si>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</si>
  <si>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</si>
  <si>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</si>
  <si>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</si>
  <si>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</si>
  <si>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</si>
  <si>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</si>
  <si>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</si>
  <si>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</si>
  <si>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</si>
  <si>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</si>
  <si>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</si>
  <si>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</si>
  <si>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</si>
  <si>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</si>
  <si>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</si>
  <si>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</si>
  <si>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</si>
  <si>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</si>
  <si>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</si>
  <si>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</si>
  <si>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</si>
  <si>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</si>
  <si>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</si>
  <si>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</si>
  <si>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</si>
  <si>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</si>
  <si>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</si>
  <si>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</si>
  <si>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</si>
  <si>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</si>
  <si>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</si>
  <si>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</si>
  <si>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</si>
  <si>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</si>
  <si>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</si>
  <si>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</si>
  <si>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</si>
  <si>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</si>
  <si>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</si>
  <si>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</si>
  <si>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</si>
  <si>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</si>
  <si>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</si>
  <si>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</si>
  <si>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</si>
  <si>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</si>
  <si>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</si>
  <si>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</si>
  <si>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</si>
  <si>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</si>
  <si>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</si>
  <si>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</si>
  <si>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</si>
  <si>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</si>
  <si>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</si>
  <si>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</si>
  <si>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</si>
  <si>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</si>
  <si>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</si>
  <si>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</si>
  <si>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</si>
  <si>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</si>
  <si>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</si>
  <si>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</si>
  <si>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</si>
  <si>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</si>
  <si>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</si>
  <si>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</si>
  <si>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</si>
  <si>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</si>
  <si>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</si>
  <si>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</si>
  <si>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</si>
  <si>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</si>
  <si>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</si>
  <si>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</si>
  <si>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</si>
  <si>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</si>
  <si>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</si>
  <si>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</si>
  <si>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</si>
  <si>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</si>
  <si>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</si>
  <si>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</si>
  <si>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</si>
  <si>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</si>
  <si>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</si>
  <si>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</si>
  <si>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</si>
  <si>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</si>
  <si>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</si>
  <si>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</si>
  <si>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</si>
  <si>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</si>
  <si>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</si>
  <si>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</si>
  <si>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</si>
  <si>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</si>
  <si>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</si>
  <si>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</si>
  <si>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</si>
  <si>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</si>
  <si>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</si>
  <si>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</si>
  <si>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</si>
  <si>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</si>
  <si>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</si>
  <si>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</si>
  <si>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</si>
  <si>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</si>
  <si>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</si>
  <si>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</si>
  <si>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</si>
  <si>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</si>
  <si>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</si>
  <si>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</si>
  <si>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</si>
  <si>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</si>
  <si>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</si>
  <si>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</si>
  <si>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</si>
  <si>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</si>
  <si>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</si>
  <si>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</si>
  <si>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</si>
  <si>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</si>
  <si>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</si>
  <si>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</si>
  <si>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</si>
  <si>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</si>
  <si>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</si>
  <si>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</si>
  <si>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</si>
  <si>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</si>
  <si>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</si>
  <si>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</si>
  <si>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</si>
  <si>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</si>
  <si>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</si>
  <si>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</si>
  <si>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</si>
  <si>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</si>
  <si>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</si>
  <si>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</si>
  <si>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</si>
  <si>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</si>
  <si>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</si>
  <si>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</si>
  <si>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</si>
  <si>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</si>
  <si>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</si>
  <si>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</si>
  <si>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</si>
  <si>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</si>
  <si>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</si>
  <si>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</si>
  <si>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</si>
  <si>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</si>
  <si>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</si>
  <si>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</si>
  <si>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</si>
  <si>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</si>
  <si>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</si>
  <si>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</si>
  <si>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</si>
  <si>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</si>
  <si>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</si>
  <si>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</si>
  <si>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</si>
  <si>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</si>
  <si>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</si>
  <si>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</si>
  <si>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</si>
  <si>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</si>
  <si>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</si>
  <si>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</si>
  <si>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</si>
  <si>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</si>
  <si>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</si>
  <si>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</si>
  <si>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</si>
  <si>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</si>
  <si>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</si>
  <si>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</si>
  <si>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</si>
  <si>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</si>
  <si>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</si>
  <si>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</si>
  <si>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</si>
  <si>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</si>
  <si>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</si>
  <si>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</si>
  <si>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</si>
  <si>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</si>
  <si>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</si>
  <si>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</si>
  <si>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</si>
  <si>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</si>
  <si>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</si>
  <si>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</si>
  <si>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</si>
  <si>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</si>
  <si>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</si>
  <si>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</si>
  <si>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</si>
  <si>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</si>
  <si>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</si>
  <si>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</si>
  <si>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</si>
  <si>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</si>
  <si>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</si>
  <si>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</si>
  <si>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</si>
  <si>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</si>
  <si>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</si>
  <si>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</si>
  <si>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</si>
  <si>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</si>
  <si>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</si>
  <si>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</si>
  <si>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</si>
  <si>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</si>
  <si>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</si>
  <si>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</si>
  <si>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</si>
  <si>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</si>
  <si>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</si>
  <si>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</si>
  <si>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</si>
  <si>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</si>
  <si>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</si>
  <si>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</si>
  <si>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</si>
  <si>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</si>
  <si>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</si>
  <si>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</si>
  <si>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</si>
  <si>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</si>
  <si>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</si>
  <si>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</si>
  <si>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</si>
  <si>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</si>
  <si>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</si>
  <si>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</si>
  <si>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</si>
  <si>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</si>
  <si>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</si>
  <si>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</si>
  <si>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</si>
  <si>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</si>
  <si>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</si>
  <si>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</si>
  <si>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</si>
  <si>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</si>
  <si>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</si>
  <si>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</si>
  <si>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</si>
  <si>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</si>
  <si>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</si>
  <si>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</si>
  <si>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</si>
  <si>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</si>
  <si>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</si>
  <si>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</si>
  <si>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</si>
  <si>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</si>
  <si>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</si>
  <si>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</si>
  <si>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</si>
  <si>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</si>
  <si>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</si>
  <si>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</si>
  <si>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</si>
  <si>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</si>
  <si>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</si>
  <si>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</si>
  <si>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</si>
  <si>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</si>
  <si>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</si>
  <si>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</si>
  <si>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</si>
  <si>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</si>
  <si>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</si>
  <si>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</si>
  <si>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</si>
  <si>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</si>
  <si>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</si>
  <si>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</si>
  <si>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</si>
  <si>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</si>
  <si>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</si>
  <si>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</si>
  <si>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</si>
  <si>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</si>
  <si>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</si>
  <si>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</si>
  <si>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</si>
  <si>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</si>
  <si>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</si>
  <si>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</si>
  <si>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</si>
  <si>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</si>
  <si>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</si>
  <si>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</si>
  <si>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</si>
  <si>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</si>
  <si>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</si>
  <si>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</si>
  <si>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</si>
  <si>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</si>
  <si>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</si>
  <si>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</si>
  <si>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</si>
  <si>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</si>
  <si>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</si>
  <si>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</si>
  <si>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</si>
  <si>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</si>
  <si>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</si>
  <si>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</si>
  <si>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</si>
  <si>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</si>
  <si>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</si>
  <si>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</si>
  <si>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</si>
  <si>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</si>
  <si>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</si>
  <si>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</si>
  <si>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</si>
  <si>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</si>
  <si>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</si>
  <si>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</si>
  <si>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</si>
  <si>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</si>
  <si>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</si>
  <si>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</si>
  <si>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</si>
  <si>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</si>
  <si>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</si>
  <si>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</si>
  <si>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</si>
  <si>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</si>
  <si>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</si>
  <si>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</si>
  <si>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</si>
  <si>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</si>
  <si>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</si>
  <si>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</si>
  <si>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</si>
  <si>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</si>
  <si>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</si>
  <si>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</si>
  <si>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</si>
  <si>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</si>
  <si>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</si>
  <si>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</si>
  <si>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</si>
  <si>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</si>
  <si>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</si>
  <si>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</si>
  <si>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</si>
  <si>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</si>
  <si>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</si>
  <si>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</si>
  <si>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</si>
  <si>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</si>
  <si>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</si>
  <si>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</si>
  <si>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</si>
  <si>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</si>
  <si>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</si>
  <si>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</si>
  <si>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</si>
  <si>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</si>
  <si>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</si>
  <si>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</si>
  <si>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</si>
  <si>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</si>
  <si>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</si>
  <si>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</si>
  <si>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</si>
  <si>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</si>
  <si>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</si>
  <si>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</si>
  <si>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</si>
  <si>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</si>
  <si>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</si>
  <si>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</si>
  <si>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</si>
  <si>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</si>
  <si>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</si>
  <si>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</si>
  <si>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</si>
  <si>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</si>
  <si>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</si>
  <si>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</si>
  <si>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</si>
  <si>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</si>
  <si>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</si>
  <si>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</si>
  <si>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</si>
  <si>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</si>
  <si>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</si>
  <si>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</si>
  <si>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</si>
  <si>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</si>
  <si>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</si>
  <si>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</si>
  <si>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</si>
  <si>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</si>
  <si>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</si>
  <si>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</si>
  <si>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</si>
  <si>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</si>
  <si>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</si>
  <si>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</si>
  <si>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</si>
  <si>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</si>
  <si>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</si>
  <si>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</si>
  <si>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</si>
  <si>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</si>
  <si>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</si>
  <si>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</si>
  <si>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</si>
  <si>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</si>
  <si>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</si>
  <si>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</si>
  <si>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</si>
  <si>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</si>
  <si>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</si>
  <si>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</si>
  <si>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</si>
  <si>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</si>
  <si>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</si>
  <si>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</si>
  <si>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</si>
  <si>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</si>
  <si>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</si>
  <si>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</si>
  <si>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</si>
  <si>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</si>
  <si>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</si>
  <si>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</si>
  <si>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</si>
  <si>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</si>
  <si>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</si>
  <si>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</si>
  <si>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</si>
  <si>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</si>
  <si>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</si>
  <si>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</si>
  <si>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</si>
  <si>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</si>
  <si>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</si>
  <si>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</si>
  <si>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</si>
  <si>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</si>
  <si>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</si>
  <si>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</si>
  <si>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</si>
  <si>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</si>
  <si>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</si>
  <si>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</si>
  <si>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</si>
  <si>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</si>
  <si>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</si>
  <si>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</si>
  <si>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</si>
  <si>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</si>
  <si>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</si>
  <si>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</si>
  <si>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</si>
  <si>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</si>
  <si>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</si>
  <si>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</si>
  <si>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</si>
  <si>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</si>
  <si>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</si>
  <si>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</si>
  <si>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</si>
  <si>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</si>
  <si>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</si>
  <si>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</si>
  <si>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</si>
  <si>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</si>
  <si>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</si>
  <si>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</si>
  <si>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</si>
  <si>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</si>
  <si>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</si>
  <si>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</si>
  <si>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</si>
  <si>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</si>
  <si>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</si>
  <si>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</si>
  <si>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</si>
  <si>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</si>
  <si>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</si>
  <si>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</si>
  <si>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</si>
  <si>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</si>
  <si>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</si>
  <si>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</si>
  <si>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</si>
  <si>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</si>
  <si>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</si>
  <si>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</si>
  <si>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</si>
  <si>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</si>
  <si>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</si>
  <si>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</si>
  <si>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</si>
  <si>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</si>
  <si>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</si>
  <si>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</si>
  <si>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</si>
  <si>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</si>
  <si>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</si>
  <si>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</si>
  <si>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</si>
  <si>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</si>
  <si>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</si>
  <si>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</si>
  <si>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</si>
  <si>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</si>
  <si>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</si>
  <si>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</si>
  <si>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</si>
  <si>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</si>
  <si>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</si>
  <si>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</si>
  <si>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</si>
  <si>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</si>
  <si>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</si>
  <si>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</si>
  <si>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</si>
  <si>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</si>
  <si>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</si>
  <si>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</si>
  <si>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</si>
  <si>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</si>
  <si>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</si>
  <si>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</si>
  <si>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</si>
  <si>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</si>
  <si>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</si>
  <si>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</si>
  <si>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</si>
  <si>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</si>
  <si>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</si>
  <si>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</si>
  <si>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</si>
  <si>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</si>
  <si>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</si>
  <si>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</si>
  <si>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</si>
  <si>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</si>
  <si>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</si>
  <si>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</si>
  <si>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</si>
  <si>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</si>
  <si>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</si>
  <si>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</si>
  <si>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</si>
  <si>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</si>
  <si>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</si>
  <si>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</si>
  <si>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</si>
  <si>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</si>
  <si>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</si>
  <si>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</si>
  <si>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</si>
  <si>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</si>
  <si>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</si>
  <si>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</si>
  <si>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</si>
  <si>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</si>
  <si>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</si>
  <si>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</si>
  <si>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</si>
  <si>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</si>
  <si>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</si>
  <si>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</si>
  <si>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</si>
  <si>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</si>
  <si>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</si>
  <si>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</si>
  <si>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</si>
  <si>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</si>
  <si>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</si>
  <si>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</si>
  <si>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</si>
  <si>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</si>
  <si>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</si>
  <si>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</si>
  <si>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</si>
  <si>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</si>
  <si>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</si>
  <si>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</si>
  <si>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</si>
  <si>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</si>
  <si>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</si>
  <si>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</si>
  <si>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</si>
  <si>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</si>
  <si>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</si>
  <si>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</si>
  <si>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</si>
  <si>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</si>
  <si>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</si>
  <si>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</si>
  <si>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</si>
  <si>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</si>
  <si>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</si>
  <si>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</si>
  <si>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</si>
  <si>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</si>
  <si>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</si>
  <si>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</si>
  <si>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</si>
  <si>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</si>
  <si>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</si>
  <si>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</si>
  <si>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</si>
  <si>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</si>
  <si>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</si>
  <si>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</si>
  <si>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</si>
  <si>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</si>
  <si>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</si>
  <si>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</si>
  <si>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</si>
  <si>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</si>
  <si>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</si>
  <si>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</si>
  <si>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</si>
  <si>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</si>
  <si>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</si>
  <si>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</si>
  <si>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</si>
  <si>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</si>
  <si>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</si>
  <si>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</si>
  <si>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</si>
  <si>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</si>
  <si>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</si>
  <si>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</si>
  <si>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</si>
  <si>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</si>
  <si>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</si>
  <si>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</si>
  <si>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</si>
  <si>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</si>
  <si>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</si>
  <si>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</si>
  <si>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</si>
  <si>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</si>
  <si>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</si>
  <si>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</si>
  <si>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</si>
  <si>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</si>
  <si>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</si>
  <si>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</si>
  <si>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</si>
  <si>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</si>
  <si>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</si>
  <si>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</si>
  <si>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</si>
  <si>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</si>
  <si>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</si>
  <si>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</si>
  <si>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</si>
  <si>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</si>
  <si>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</si>
  <si>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</si>
  <si>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</si>
  <si>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</si>
  <si>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</si>
  <si>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</si>
  <si>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</si>
  <si>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</si>
  <si>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</si>
  <si>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</si>
  <si>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</si>
  <si>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</si>
  <si>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</si>
  <si>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</si>
  <si>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</si>
  <si>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</si>
  <si>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</si>
  <si>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</si>
  <si>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</si>
  <si>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</si>
  <si>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</si>
  <si>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</si>
  <si>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</si>
  <si>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</si>
  <si>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</si>
  <si>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</si>
  <si>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</si>
  <si>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</si>
  <si>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</si>
  <si>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</si>
  <si>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</si>
  <si>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</si>
  <si>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</si>
  <si>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</si>
  <si>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</si>
  <si>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</si>
  <si>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</si>
  <si>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</si>
  <si>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</si>
  <si>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</si>
  <si>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</si>
  <si>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</si>
  <si>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</si>
  <si>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</si>
  <si>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</si>
  <si>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</si>
  <si>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</si>
  <si>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</si>
  <si>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</si>
  <si>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</si>
  <si>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</si>
  <si>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</si>
  <si>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</si>
  <si>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</si>
  <si>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</si>
  <si>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</si>
  <si>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</si>
  <si>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</si>
  <si>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</si>
  <si>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</si>
  <si>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</si>
  <si>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</si>
  <si>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</si>
  <si>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</si>
  <si>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</si>
  <si>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</si>
  <si>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</si>
  <si>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</si>
  <si>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</si>
  <si>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</si>
  <si>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</si>
  <si>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</si>
  <si>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</si>
  <si>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</si>
  <si>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</si>
  <si>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</si>
  <si>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</si>
  <si>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</si>
  <si>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</si>
  <si>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</si>
  <si>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</si>
  <si>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</si>
  <si>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</si>
  <si>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</si>
  <si>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</si>
  <si>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</si>
  <si>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</si>
  <si>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</si>
  <si>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</si>
  <si>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</si>
  <si>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</si>
  <si>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</si>
  <si>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</si>
  <si>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</si>
  <si>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</si>
  <si>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</si>
  <si>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</si>
  <si>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</si>
  <si>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</si>
  <si>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</si>
  <si>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</si>
  <si>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</si>
  <si>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</si>
  <si>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</si>
  <si>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</si>
  <si>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</si>
  <si>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</si>
  <si>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</si>
  <si>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</si>
  <si>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</si>
  <si>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</si>
  <si>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</si>
  <si>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</si>
  <si>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</si>
  <si>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</si>
  <si>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</si>
  <si>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</si>
  <si>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</si>
  <si>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</si>
  <si>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</si>
  <si>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</si>
  <si>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</si>
  <si>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</si>
  <si>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</si>
  <si>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</si>
  <si>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</si>
  <si>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</si>
  <si>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</si>
  <si>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</si>
  <si>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</si>
  <si>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</si>
  <si>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</si>
  <si>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</si>
  <si>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</si>
  <si>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</si>
  <si>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</si>
  <si>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</si>
  <si>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</si>
  <si>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</si>
  <si>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</si>
  <si>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</si>
  <si>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</si>
  <si>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</si>
  <si>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</si>
  <si>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</si>
  <si>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</si>
  <si>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</si>
  <si>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</si>
  <si>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</si>
  <si>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</si>
  <si>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</si>
  <si>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</si>
  <si>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</si>
  <si>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</si>
  <si>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</si>
  <si>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</si>
  <si>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</si>
  <si>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</si>
  <si>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</si>
  <si>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</si>
  <si>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</si>
  <si>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</si>
  <si>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</si>
  <si>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</si>
  <si>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</si>
  <si>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</si>
  <si>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</si>
  <si>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</si>
  <si>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</si>
  <si>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</si>
  <si>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</si>
  <si>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</si>
  <si>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</si>
  <si>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</si>
  <si>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</si>
  <si>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</si>
  <si>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</si>
  <si>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</si>
  <si>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</si>
  <si>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</si>
  <si>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</si>
  <si>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</si>
  <si>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</si>
  <si>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</si>
  <si>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</si>
  <si>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</si>
  <si>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</si>
  <si>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</si>
  <si>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</si>
  <si>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</si>
  <si>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</si>
  <si>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</si>
  <si>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</si>
  <si>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</si>
  <si>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</si>
  <si>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</si>
  <si>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</si>
  <si>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</si>
  <si>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</si>
  <si>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</si>
  <si>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</si>
  <si>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</si>
  <si>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</si>
  <si>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</si>
  <si>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</si>
  <si>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</si>
  <si>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</si>
  <si>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</si>
  <si>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</si>
  <si>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</si>
  <si>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</si>
  <si>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</si>
  <si>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</si>
  <si>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</si>
  <si>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</si>
  <si>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</si>
  <si>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</si>
  <si>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</si>
  <si>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</si>
  <si>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</si>
  <si>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</si>
  <si>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</si>
  <si>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</si>
  <si>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</si>
  <si>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</si>
  <si>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</si>
  <si>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</si>
  <si>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</si>
  <si>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</si>
  <si>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</si>
  <si>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</si>
  <si>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</si>
  <si>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</si>
  <si>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</si>
  <si>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</si>
  <si>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</si>
  <si>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</si>
  <si>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</si>
  <si>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</si>
  <si>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</si>
  <si>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</si>
  <si>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</si>
  <si>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</si>
  <si>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</si>
  <si>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</si>
  <si>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</si>
  <si>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</si>
  <si>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</si>
  <si>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</si>
  <si>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</si>
  <si>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</si>
  <si>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</si>
  <si>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</si>
  <si>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</si>
  <si>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</si>
  <si>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</si>
  <si>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</si>
  <si>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</si>
  <si>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</si>
  <si>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</si>
  <si>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</si>
  <si>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</si>
  <si>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</si>
  <si>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</si>
  <si>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</si>
  <si>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</si>
  <si>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</si>
  <si>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</si>
  <si>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</si>
  <si>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</si>
  <si>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</si>
  <si>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</si>
  <si>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</si>
  <si>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</si>
  <si>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</si>
  <si>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</si>
  <si>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</si>
  <si>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</si>
  <si>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</si>
  <si>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</si>
  <si>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</si>
  <si>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</si>
  <si>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</si>
  <si>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</si>
  <si>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</si>
  <si>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</si>
  <si>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</si>
  <si>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</si>
  <si>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</si>
  <si>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</si>
  <si>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</si>
  <si>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</si>
  <si>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</si>
  <si>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</si>
  <si>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</si>
  <si>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</si>
  <si>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</si>
  <si>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</si>
  <si>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</si>
  <si>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</si>
  <si>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</si>
  <si>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</si>
  <si>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</si>
  <si>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</si>
  <si>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</si>
  <si>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</si>
  <si>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</si>
  <si>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</si>
  <si>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</si>
  <si>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</si>
  <si>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</si>
  <si>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</si>
  <si>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</si>
  <si>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</si>
  <si>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</si>
  <si>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</si>
  <si>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</si>
  <si>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</si>
  <si>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</si>
  <si>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</si>
  <si>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</si>
  <si>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</si>
  <si>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</si>
  <si>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</si>
  <si>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</si>
  <si>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</si>
  <si>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</si>
  <si>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</si>
  <si>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</si>
  <si>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</si>
  <si>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</si>
  <si>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</si>
  <si>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</si>
  <si>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</si>
  <si>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</si>
  <si>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</si>
  <si>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</si>
  <si>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</si>
  <si>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</si>
  <si>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</si>
  <si>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</si>
  <si>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</si>
  <si>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</si>
  <si>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</si>
  <si>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</si>
  <si>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</si>
  <si>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</si>
  <si>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</si>
  <si>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</si>
  <si>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</si>
  <si>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</si>
  <si>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</si>
  <si>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</si>
  <si>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</si>
  <si>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</si>
  <si>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</si>
  <si>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</si>
  <si>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</si>
  <si>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</si>
  <si>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</si>
  <si>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</si>
  <si>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</si>
  <si>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</si>
  <si>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</si>
  <si>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</si>
  <si>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</si>
  <si>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</si>
  <si>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</si>
  <si>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</si>
  <si>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</si>
  <si>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</si>
  <si>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</si>
  <si>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</si>
  <si>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</si>
  <si>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</si>
  <si>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</si>
  <si>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</si>
  <si>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</si>
  <si>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</si>
  <si>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</si>
  <si>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</si>
  <si>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</si>
  <si>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</si>
  <si>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</si>
  <si>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</si>
  <si>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</si>
  <si>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</si>
  <si>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</si>
  <si>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</si>
  <si>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</si>
  <si>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</si>
  <si>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</si>
  <si>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</si>
  <si>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</si>
  <si>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</si>
  <si>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</si>
  <si>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</si>
  <si>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</si>
  <si>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</si>
  <si>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</si>
  <si>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</si>
  <si>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</si>
  <si>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</si>
  <si>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</si>
  <si>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</si>
  <si>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</si>
  <si>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</si>
  <si>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</si>
  <si>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</si>
  <si>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</si>
  <si>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</si>
  <si>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</si>
  <si>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</si>
  <si>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</si>
  <si>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</si>
  <si>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</si>
  <si>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</si>
  <si>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</si>
  <si>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</si>
  <si>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</si>
  <si>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</si>
  <si>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</si>
  <si>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</si>
  <si>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</si>
  <si>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</si>
  <si>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</si>
  <si>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</si>
  <si>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</si>
  <si>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</si>
  <si>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</si>
  <si>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</si>
  <si>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</si>
  <si>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</si>
  <si>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</si>
  <si>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</si>
  <si>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</si>
  <si>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</si>
  <si>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</si>
  <si>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</si>
  <si>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</si>
  <si>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</si>
  <si>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</si>
  <si>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</si>
  <si>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</si>
  <si>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</si>
  <si>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</si>
  <si>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</si>
  <si>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</si>
  <si>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</si>
  <si>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</si>
  <si>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</si>
  <si>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</si>
  <si>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</si>
  <si>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</si>
  <si>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</si>
  <si>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</si>
  <si>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</si>
  <si>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</si>
  <si>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</si>
  <si>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</si>
  <si>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</si>
  <si>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</si>
  <si>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</si>
  <si>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</si>
  <si>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</si>
  <si>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</si>
  <si>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</si>
  <si>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</si>
  <si>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</si>
  <si>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</si>
  <si>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</si>
  <si>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</si>
  <si>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</si>
  <si>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</si>
  <si>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</si>
  <si>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</si>
  <si>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</si>
  <si>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</si>
  <si>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</si>
  <si>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</si>
  <si>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</si>
  <si>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</si>
  <si>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</si>
  <si>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</si>
  <si>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</si>
  <si>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</si>
  <si>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</si>
  <si>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</si>
  <si>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</si>
  <si>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</si>
  <si>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</si>
  <si>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</si>
  <si>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</si>
  <si>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</si>
  <si>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</si>
  <si>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</si>
  <si>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</si>
  <si>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</si>
  <si>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</si>
  <si>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</si>
  <si>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</si>
  <si>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</si>
  <si>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</si>
  <si>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</si>
  <si>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</si>
  <si>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</si>
  <si>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</si>
  <si>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</si>
  <si>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</si>
  <si>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</si>
  <si>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</si>
  <si>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</si>
  <si>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</si>
  <si>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</si>
  <si>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</si>
  <si>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</si>
  <si>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</si>
  <si>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</si>
  <si>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</si>
  <si>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</si>
  <si>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</si>
  <si>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</si>
  <si>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</si>
  <si>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</si>
  <si>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</si>
  <si>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</si>
  <si>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</si>
  <si>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</si>
  <si>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</si>
  <si>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</si>
  <si>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</si>
  <si>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</si>
  <si>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</si>
  <si>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</si>
  <si>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</si>
  <si>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</si>
  <si>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</si>
  <si>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</si>
  <si>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</si>
  <si>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</si>
  <si>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</si>
  <si>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</si>
  <si>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</si>
  <si>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</si>
  <si>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</si>
  <si>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</si>
  <si>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</si>
  <si>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</si>
  <si>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</si>
  <si>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</si>
  <si>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</si>
  <si>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</si>
  <si>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</si>
  <si>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</si>
  <si>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</si>
  <si>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</si>
  <si>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</si>
  <si>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</si>
  <si>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</si>
  <si>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</si>
  <si>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</si>
  <si>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</si>
  <si>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</si>
  <si>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</si>
  <si>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</si>
  <si>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</si>
  <si>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</si>
  <si>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</si>
  <si>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</si>
  <si>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</si>
  <si>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</si>
  <si>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</si>
  <si>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</si>
  <si>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</si>
  <si>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</si>
  <si>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</si>
  <si>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</si>
  <si>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</si>
  <si>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</si>
  <si>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</si>
  <si>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</si>
  <si>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</si>
  <si>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</si>
  <si>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</si>
  <si>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</si>
  <si>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</si>
  <si>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</si>
  <si>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</si>
  <si>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</si>
  <si>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</si>
  <si>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</si>
  <si>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</si>
  <si>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</si>
  <si>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</si>
  <si>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</si>
  <si>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</si>
  <si>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</si>
  <si>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</si>
  <si>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</si>
  <si>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</si>
  <si>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</si>
  <si>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</si>
  <si>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</si>
  <si>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</si>
  <si>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</si>
  <si>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</si>
  <si>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</si>
  <si>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</si>
  <si>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</si>
  <si>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</si>
  <si>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</si>
  <si>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</si>
  <si>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</si>
  <si>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</si>
  <si>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</si>
  <si>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</si>
  <si>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</si>
  <si>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</si>
  <si>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</si>
  <si>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</si>
  <si>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</si>
  <si>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</si>
  <si>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</si>
  <si>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</si>
  <si>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</si>
  <si>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</si>
  <si>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</si>
  <si>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</si>
  <si>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</si>
  <si>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</si>
  <si>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</si>
  <si>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</si>
  <si>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</si>
  <si>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</si>
  <si>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</si>
  <si>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</si>
  <si>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</si>
  <si>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</si>
  <si>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</si>
  <si>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</si>
  <si>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</si>
  <si>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</si>
  <si>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</si>
  <si>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</si>
  <si>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</si>
  <si>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</si>
  <si>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</si>
  <si>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</si>
  <si>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</si>
  <si>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</si>
  <si>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</si>
  <si>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</si>
  <si>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</si>
  <si>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</si>
  <si>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</si>
  <si>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</si>
  <si>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</si>
  <si>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</si>
  <si>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</si>
  <si>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</si>
  <si>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</si>
  <si>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</si>
  <si>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</si>
  <si>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</si>
  <si>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</si>
  <si>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</si>
  <si>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</si>
  <si>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</si>
  <si>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</si>
  <si>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</si>
  <si>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</si>
  <si>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</si>
  <si>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</si>
  <si>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</si>
  <si>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</si>
  <si>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</si>
  <si>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</si>
  <si>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</si>
  <si>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</si>
  <si>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</si>
  <si>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</si>
  <si>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</si>
  <si>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</si>
  <si>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</si>
  <si>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</si>
  <si>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</si>
  <si>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</si>
  <si>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</si>
  <si>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</si>
  <si>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</si>
  <si>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</si>
  <si>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</si>
  <si>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</si>
  <si>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</si>
  <si>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</si>
  <si>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</si>
  <si>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</si>
  <si>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</si>
  <si>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</si>
  <si>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</si>
  <si>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</si>
  <si>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</si>
  <si>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</si>
  <si>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</si>
  <si>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</si>
  <si>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</si>
  <si>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</si>
  <si>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</si>
  <si>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</si>
  <si>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</si>
  <si>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</si>
  <si>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</si>
  <si>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</si>
  <si>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</si>
  <si>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</si>
  <si>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</si>
  <si>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</si>
  <si>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</si>
  <si>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</si>
  <si>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</si>
  <si>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</si>
  <si>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</si>
  <si>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</si>
  <si>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</si>
  <si>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</si>
  <si>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</si>
  <si>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</si>
  <si>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</si>
  <si>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</si>
  <si>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</si>
  <si>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</si>
  <si>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</si>
  <si>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</si>
  <si>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</si>
  <si>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</si>
  <si>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</si>
  <si>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</si>
  <si>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</si>
  <si>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</si>
  <si>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</si>
  <si>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</si>
  <si>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</si>
  <si>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</si>
  <si>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</si>
  <si>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</si>
  <si>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</si>
  <si>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</si>
  <si>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</si>
  <si>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</si>
  <si>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</si>
  <si>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</si>
  <si>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</si>
  <si>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</si>
  <si>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</si>
  <si>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</si>
  <si>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</si>
  <si>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</si>
  <si>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</si>
  <si>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</si>
  <si>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</si>
  <si>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</si>
  <si>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</si>
  <si>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</si>
  <si>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</si>
  <si>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</si>
  <si>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</si>
  <si>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</si>
  <si>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</si>
  <si>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</si>
  <si>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</si>
  <si>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</si>
  <si>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</si>
  <si>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</si>
  <si>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</si>
  <si>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</si>
  <si>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</si>
  <si>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</si>
  <si>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</si>
  <si>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</si>
  <si>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</si>
  <si>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</si>
  <si>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</si>
  <si>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</si>
  <si>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</si>
  <si>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</si>
  <si>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</si>
  <si>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</si>
  <si>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</si>
  <si>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</si>
  <si>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</si>
  <si>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</si>
  <si>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</si>
  <si>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</si>
  <si>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</si>
  <si>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</si>
  <si>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</si>
  <si>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</si>
  <si>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</si>
  <si>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</si>
  <si>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</si>
  <si>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</si>
  <si>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</si>
  <si>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</si>
  <si>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</si>
  <si>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</si>
  <si>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</si>
  <si>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</si>
  <si>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</si>
  <si>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</si>
  <si>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</si>
  <si>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</si>
  <si>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</si>
  <si>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</si>
  <si>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</si>
  <si>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</si>
  <si>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</si>
  <si>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</si>
  <si>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</si>
  <si>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</si>
  <si>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</si>
  <si>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</si>
  <si>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</si>
  <si>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</si>
  <si>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</si>
  <si>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</si>
  <si>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</si>
  <si>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</si>
  <si>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</si>
  <si>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</si>
  <si>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</si>
  <si>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</si>
  <si>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</si>
  <si>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</si>
  <si>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</si>
  <si>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</si>
  <si>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</si>
  <si>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</si>
  <si>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</si>
  <si>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</si>
  <si>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</si>
  <si>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</si>
  <si>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</si>
  <si>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</si>
  <si>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</si>
  <si>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</si>
  <si>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</si>
  <si>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</si>
  <si>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</si>
  <si>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</si>
  <si>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</si>
  <si>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</si>
  <si>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</si>
  <si>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</si>
  <si>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</si>
  <si>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</si>
  <si>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</si>
  <si>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</si>
  <si>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</si>
  <si>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</si>
  <si>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</si>
  <si>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</si>
  <si>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</si>
  <si>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</si>
  <si>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</si>
  <si>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</si>
  <si>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</si>
  <si>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</si>
  <si>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</si>
  <si>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</si>
  <si>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</si>
  <si>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</si>
  <si>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</si>
  <si>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</si>
  <si>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</si>
  <si>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</si>
  <si>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</si>
  <si>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</si>
  <si>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</si>
  <si>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</si>
  <si>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</si>
  <si>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</si>
  <si>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</si>
  <si>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</si>
  <si>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</si>
  <si>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</si>
  <si>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</si>
  <si>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</si>
  <si>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</si>
  <si>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</si>
  <si>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</si>
  <si>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</si>
  <si>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</si>
  <si>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</si>
  <si>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</si>
  <si>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</si>
  <si>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</si>
  <si>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</si>
  <si>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</si>
  <si>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</si>
  <si>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</si>
  <si>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</si>
  <si>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</si>
  <si>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</si>
  <si>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</si>
  <si>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</si>
  <si>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</si>
  <si>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</si>
  <si>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</si>
  <si>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</si>
  <si>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</si>
  <si>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</si>
  <si>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</si>
  <si>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</si>
  <si>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</si>
  <si>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</si>
  <si>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</si>
  <si>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</si>
  <si>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</si>
  <si>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</si>
  <si>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</si>
  <si>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</si>
  <si>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</si>
  <si>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</si>
  <si>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</si>
  <si>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</si>
  <si>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</si>
  <si>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</si>
  <si>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</si>
  <si>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</si>
  <si>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</si>
  <si>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</si>
  <si>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</si>
  <si>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</si>
  <si>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</si>
  <si>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</si>
  <si>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</si>
  <si>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</si>
  <si>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</si>
  <si>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</si>
  <si>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</si>
  <si>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</si>
  <si>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</si>
  <si>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</si>
  <si>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</si>
  <si>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</si>
  <si>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</si>
  <si>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</si>
  <si>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</si>
  <si>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</si>
  <si>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</si>
  <si>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</si>
  <si>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</si>
  <si>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</si>
  <si>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</si>
  <si>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</si>
  <si>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</si>
  <si>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</si>
  <si>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</si>
  <si>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</si>
  <si>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</si>
  <si>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</si>
  <si>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</si>
  <si>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</si>
  <si>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</si>
  <si>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</si>
  <si>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</si>
  <si>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</si>
  <si>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</si>
  <si>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</si>
  <si>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</si>
  <si>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</si>
  <si>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</si>
  <si>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</si>
  <si>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</si>
  <si>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</si>
  <si>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</si>
  <si>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</si>
  <si>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</si>
  <si>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</si>
  <si>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</si>
  <si>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</si>
  <si>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</si>
  <si>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</si>
  <si>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</si>
  <si>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</si>
  <si>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</si>
  <si>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</si>
  <si>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</si>
  <si>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</si>
  <si>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</si>
  <si>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</si>
  <si>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</si>
  <si>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</si>
  <si>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</si>
  <si>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</si>
  <si>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</si>
  <si>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</si>
  <si>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</si>
  <si>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</si>
  <si>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</si>
  <si>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</si>
  <si>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</si>
  <si>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</si>
  <si>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</si>
  <si>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</si>
  <si>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</si>
  <si>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</si>
  <si>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</si>
  <si>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</si>
  <si>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</si>
  <si>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</si>
  <si>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</si>
  <si>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</si>
  <si>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</si>
  <si>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</si>
  <si>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</si>
  <si>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</si>
  <si>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</si>
  <si>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</si>
  <si>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</si>
  <si>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</si>
  <si>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</si>
  <si>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</si>
  <si>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</si>
  <si>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</si>
  <si>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</si>
  <si>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</si>
  <si>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</si>
  <si>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</si>
  <si>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</si>
  <si>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</si>
  <si>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</si>
  <si>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</si>
  <si>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</si>
  <si>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</si>
  <si>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</si>
  <si>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</si>
  <si>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</si>
  <si>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</si>
  <si>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</si>
  <si>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</si>
  <si>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</si>
  <si>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</si>
  <si>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</si>
  <si>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</si>
  <si>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</si>
  <si>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</si>
  <si>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</si>
  <si>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</si>
  <si>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</si>
  <si>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</si>
  <si>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</si>
  <si>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</si>
  <si>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</si>
  <si>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</si>
  <si>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</si>
  <si>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</si>
  <si>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</si>
  <si>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</si>
  <si>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</si>
  <si>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</si>
  <si>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</si>
  <si>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</si>
  <si>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</si>
  <si>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</si>
  <si>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</si>
  <si>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</si>
  <si>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</si>
  <si>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</si>
  <si>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</si>
  <si>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</si>
  <si>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</si>
  <si>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</si>
  <si>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</si>
  <si>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</si>
  <si>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</si>
  <si>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</si>
  <si>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</si>
  <si>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</si>
  <si>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</si>
  <si>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</si>
  <si>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</si>
  <si>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</si>
  <si>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</si>
  <si>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</si>
  <si>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</si>
  <si>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</si>
  <si>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</si>
  <si>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</si>
  <si>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</si>
  <si>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</si>
  <si>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</si>
  <si>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</si>
  <si>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</si>
  <si>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</si>
  <si>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</si>
  <si>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</si>
  <si>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</si>
  <si>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</si>
  <si>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</si>
  <si>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</si>
  <si>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</si>
  <si>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</si>
  <si>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</si>
  <si>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</si>
  <si>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</si>
  <si>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</si>
  <si>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</si>
  <si>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</si>
  <si>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</si>
  <si>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</si>
  <si>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</si>
  <si>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</si>
  <si>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</si>
  <si>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</si>
  <si>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</si>
  <si>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</si>
  <si>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</si>
  <si>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</si>
  <si>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</si>
  <si>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</si>
  <si>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</si>
  <si>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</si>
  <si>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</si>
  <si>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</si>
  <si>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</si>
  <si>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</si>
  <si>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</si>
  <si>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</si>
  <si>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</si>
  <si>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</si>
  <si>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</si>
  <si>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</si>
  <si>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</si>
  <si>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</si>
  <si>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</si>
  <si>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</si>
  <si>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</si>
  <si>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</si>
  <si>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</si>
  <si>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</si>
  <si>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</si>
  <si>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</si>
  <si>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</si>
  <si>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</si>
  <si>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</si>
  <si>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</si>
  <si>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</si>
  <si>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</si>
  <si>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</si>
  <si>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</si>
  <si>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</si>
  <si>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</si>
  <si>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</si>
  <si>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</si>
  <si>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</si>
  <si>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</si>
  <si>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</si>
  <si>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</si>
  <si>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</si>
  <si>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</si>
  <si>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</si>
  <si>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</si>
  <si>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</si>
  <si>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</si>
  <si>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</si>
  <si>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</si>
  <si>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</si>
  <si>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</si>
  <si>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</si>
  <si>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</si>
  <si>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</si>
  <si>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</si>
  <si>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</si>
  <si>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</si>
  <si>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</si>
  <si>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</si>
  <si>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</si>
  <si>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</si>
  <si>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</si>
  <si>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</si>
  <si>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</si>
  <si>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</si>
  <si>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</si>
  <si>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</si>
  <si>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</si>
  <si>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</si>
  <si>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</si>
  <si>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</si>
  <si>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</si>
  <si>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</si>
  <si>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</si>
  <si>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</si>
  <si>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</si>
  <si>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</si>
  <si>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</si>
  <si>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</si>
  <si>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</si>
  <si>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</si>
  <si>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</si>
  <si>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</si>
  <si>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</si>
  <si>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</si>
  <si>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</si>
  <si>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</si>
  <si>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</si>
  <si>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</si>
  <si>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</si>
  <si>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</si>
  <si>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</si>
  <si>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</si>
  <si>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</si>
  <si>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</si>
  <si>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</si>
  <si>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</si>
  <si>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</si>
  <si>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</si>
  <si>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</si>
  <si>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</si>
  <si>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</si>
  <si>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</si>
  <si>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</si>
  <si>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</si>
  <si>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</si>
  <si>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</si>
  <si>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</si>
  <si>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</si>
  <si>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</si>
  <si>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</si>
  <si>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</si>
  <si>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</si>
  <si>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</si>
  <si>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</si>
  <si>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</si>
  <si>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</si>
  <si>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</si>
  <si>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</si>
  <si>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</si>
  <si>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</si>
  <si>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</si>
  <si>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</si>
  <si>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</si>
  <si>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</si>
  <si>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</si>
  <si>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</si>
  <si>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</si>
  <si>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</si>
  <si>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</si>
  <si>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</si>
  <si>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</si>
  <si>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</si>
  <si>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</si>
  <si>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</si>
  <si>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</si>
  <si>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</si>
  <si>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</si>
  <si>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</si>
  <si>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</si>
  <si>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</si>
  <si>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</si>
  <si>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</si>
  <si>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</si>
  <si>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</si>
  <si>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</si>
  <si>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</si>
  <si>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</si>
  <si>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</si>
  <si>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</si>
  <si>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</si>
  <si>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</si>
  <si>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</si>
  <si>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</si>
  <si>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</si>
  <si>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</si>
  <si>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</si>
  <si>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</si>
  <si>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</si>
  <si>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</si>
  <si>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</si>
  <si>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</si>
  <si>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</si>
  <si>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</si>
  <si>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</si>
  <si>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</si>
  <si>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</si>
  <si>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</si>
  <si>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</si>
  <si>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</si>
  <si>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</si>
  <si>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</si>
  <si>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</si>
  <si>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</si>
  <si>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</si>
  <si>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</si>
  <si>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</si>
  <si>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</si>
  <si>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</si>
  <si>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</si>
  <si>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</si>
  <si>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</si>
  <si>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</si>
  <si>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</si>
  <si>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</si>
  <si>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</si>
  <si>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</si>
  <si>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</si>
  <si>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</si>
  <si>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</si>
  <si>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</si>
  <si>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</si>
  <si>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</si>
  <si>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</si>
  <si>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</si>
  <si>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</si>
  <si>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</si>
  <si>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</si>
  <si>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</si>
  <si>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</si>
  <si>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</si>
  <si>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</si>
  <si>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</si>
  <si>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</si>
  <si>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</si>
  <si>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</si>
  <si>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</si>
  <si>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</si>
  <si>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</si>
  <si>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</si>
  <si>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</si>
  <si>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</si>
  <si>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</si>
  <si>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</si>
  <si>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</si>
  <si>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</si>
  <si>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</si>
  <si>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</si>
  <si>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</si>
  <si>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</si>
  <si>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</si>
  <si>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</si>
  <si>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</si>
  <si>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</si>
  <si>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</si>
  <si>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</si>
  <si>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</si>
  <si>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</si>
  <si>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</si>
  <si>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</si>
  <si>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</si>
  <si>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</si>
  <si>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</si>
  <si>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</si>
  <si>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</si>
  <si>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</si>
  <si>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</si>
  <si>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</si>
  <si>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</si>
  <si>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</si>
  <si>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</si>
  <si>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</si>
  <si>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</si>
  <si>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</si>
  <si>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</si>
  <si>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</si>
  <si>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</si>
  <si>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</si>
  <si>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</si>
  <si>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</si>
  <si>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</si>
  <si>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</si>
  <si>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</si>
  <si>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</si>
  <si>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</si>
  <si>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</si>
  <si>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</si>
  <si>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</si>
  <si>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</si>
  <si>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</si>
  <si>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</si>
  <si>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</si>
  <si>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</si>
  <si>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</si>
  <si>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</si>
  <si>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</si>
  <si>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</si>
  <si>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</si>
  <si>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</si>
  <si>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</si>
  <si>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</si>
  <si>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</si>
  <si>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</si>
  <si>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</si>
  <si>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</si>
  <si>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</si>
  <si>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</si>
  <si>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</si>
  <si>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</si>
  <si>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</si>
  <si>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</si>
  <si>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</si>
  <si>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</si>
  <si>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</si>
  <si>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</si>
  <si>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</si>
  <si>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</si>
  <si>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</si>
  <si>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</si>
  <si>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</si>
  <si>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</si>
  <si>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</si>
  <si>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</si>
  <si>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</si>
  <si>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</si>
  <si>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</si>
  <si>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</si>
  <si>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</si>
  <si>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</si>
  <si>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</si>
  <si>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</si>
  <si>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</si>
  <si>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</si>
  <si>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</si>
  <si>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</si>
  <si>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</si>
  <si>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</si>
  <si>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</si>
  <si>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</si>
  <si>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</si>
  <si>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</si>
  <si>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</si>
  <si>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</si>
  <si>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</si>
  <si>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</si>
  <si>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</si>
  <si>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</si>
  <si>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</si>
  <si>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</si>
  <si>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</si>
  <si>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</si>
  <si>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</si>
  <si>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</si>
  <si>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</si>
  <si>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</si>
  <si>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</si>
  <si>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</si>
  <si>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</si>
  <si>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</si>
  <si>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</si>
  <si>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</si>
  <si>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</si>
  <si>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</si>
  <si>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</si>
  <si>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</si>
  <si>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</si>
  <si>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</si>
  <si>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</si>
  <si>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</si>
  <si>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</si>
  <si>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</si>
  <si>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</si>
  <si>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</si>
  <si>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</si>
  <si>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</si>
  <si>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</si>
  <si>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</si>
  <si>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</si>
  <si>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</si>
  <si>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</si>
  <si>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</si>
  <si>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</si>
  <si>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</si>
  <si>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</si>
  <si>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</si>
  <si>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</si>
  <si>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</si>
  <si>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</si>
  <si>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</si>
  <si>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</si>
  <si>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</si>
  <si>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</si>
  <si>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</si>
  <si>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</si>
  <si>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</si>
  <si>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</si>
  <si>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</si>
  <si>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</si>
  <si>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</si>
  <si>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</si>
  <si>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</si>
  <si>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</si>
  <si>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</si>
  <si>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</si>
  <si>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</si>
  <si>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</si>
  <si>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</si>
  <si>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</si>
  <si>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</si>
  <si>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</si>
  <si>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</si>
  <si>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</si>
  <si>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</si>
  <si>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</si>
  <si>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</si>
  <si>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</si>
  <si>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</si>
  <si>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</si>
  <si>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</si>
  <si>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</si>
  <si>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</si>
  <si>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</si>
  <si>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</si>
  <si>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</si>
  <si>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</si>
  <si>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</si>
  <si>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</si>
  <si>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</si>
  <si>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</si>
  <si>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</si>
  <si>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</si>
  <si>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</si>
  <si>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</si>
  <si>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</si>
  <si>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</si>
  <si>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</si>
  <si>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</si>
  <si>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</si>
  <si>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</si>
  <si>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</si>
  <si>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</si>
  <si>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</si>
  <si>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</si>
  <si>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</si>
  <si>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</si>
  <si>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</si>
  <si>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</si>
  <si>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</si>
  <si>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</si>
  <si>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</si>
  <si>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</si>
  <si>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</si>
  <si>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</si>
  <si>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</si>
  <si>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</si>
  <si>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</si>
  <si>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</si>
  <si>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</si>
  <si>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</si>
  <si>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</si>
  <si>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</si>
  <si>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</si>
  <si>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</si>
  <si>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</si>
  <si>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</si>
  <si>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</si>
  <si>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</si>
  <si>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</si>
  <si>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</si>
  <si>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</si>
  <si>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</si>
  <si>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</si>
  <si>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</si>
  <si>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</si>
  <si>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</si>
  <si>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</si>
  <si>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</si>
  <si>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</si>
  <si>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</si>
  <si>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</si>
  <si>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</si>
  <si>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</si>
  <si>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</si>
  <si>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</si>
  <si>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</si>
  <si>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</si>
  <si>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</si>
  <si>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</si>
  <si>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</si>
  <si>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</si>
  <si>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</si>
  <si>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</si>
  <si>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</si>
  <si>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</si>
  <si>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</si>
  <si>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</si>
  <si>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</si>
  <si>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</si>
  <si>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</si>
  <si>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</si>
  <si>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</si>
  <si>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</si>
  <si>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</si>
  <si>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</si>
  <si>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</si>
  <si>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</si>
  <si>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</si>
  <si>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</si>
  <si>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</si>
  <si>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</si>
  <si>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</si>
  <si>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</si>
  <si>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</si>
  <si>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</si>
  <si>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</si>
  <si>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</si>
  <si>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</si>
  <si>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</si>
  <si>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</si>
  <si>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</si>
  <si>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</si>
  <si>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</si>
  <si>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</si>
  <si>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</si>
  <si>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</si>
  <si>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</si>
  <si>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</si>
  <si>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</si>
  <si>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</si>
  <si>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</si>
  <si>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</si>
  <si>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</si>
  <si>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</si>
  <si>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</si>
  <si>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</si>
  <si>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</si>
  <si>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</si>
  <si>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</si>
  <si>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</si>
  <si>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</si>
  <si>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</si>
  <si>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</si>
  <si>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</si>
  <si>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</si>
  <si>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</si>
  <si>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</si>
  <si>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</si>
  <si>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</si>
  <si>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</si>
  <si>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</si>
  <si>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</si>
  <si>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</si>
  <si>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</si>
  <si>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</si>
  <si>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</si>
  <si>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</si>
  <si>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</si>
  <si>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</si>
  <si>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</si>
  <si>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</si>
  <si>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</si>
  <si>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</si>
  <si>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</si>
  <si>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</si>
  <si>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</si>
  <si>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</si>
  <si>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</si>
  <si>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</si>
  <si>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</si>
  <si>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</si>
  <si>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</si>
  <si>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</si>
  <si>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</si>
  <si>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</si>
  <si>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</si>
  <si>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</si>
  <si>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</si>
  <si>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</si>
  <si>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</si>
  <si>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</si>
  <si>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</si>
  <si>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</si>
  <si>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</si>
  <si>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</si>
  <si>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</si>
  <si>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</si>
  <si>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</si>
  <si>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</si>
  <si>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</si>
  <si>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</si>
  <si>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</si>
  <si>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</si>
  <si>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</si>
  <si>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</si>
  <si>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</si>
  <si>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</si>
  <si>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</si>
  <si>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</si>
  <si>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</si>
  <si>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</si>
  <si>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</si>
  <si>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</si>
  <si>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</si>
  <si>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</si>
  <si>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</si>
  <si>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</si>
  <si>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</si>
  <si>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</si>
  <si>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</si>
  <si>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</si>
  <si>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</si>
  <si>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</si>
  <si>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</si>
  <si>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</si>
  <si>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</si>
  <si>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</si>
  <si>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</si>
  <si>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</si>
  <si>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</si>
  <si>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</si>
  <si>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</si>
  <si>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</si>
  <si>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</si>
  <si>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</si>
  <si>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</si>
  <si>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</si>
  <si>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</si>
  <si>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</si>
  <si>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</si>
  <si>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</si>
  <si>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</si>
  <si>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</si>
  <si>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</si>
  <si>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</si>
  <si>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</si>
  <si>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</si>
  <si>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</si>
  <si>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</si>
  <si>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</si>
  <si>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</si>
  <si>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</si>
  <si>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</si>
  <si>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</si>
  <si>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</si>
  <si>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</si>
  <si>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</si>
  <si>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</si>
  <si>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</si>
  <si>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</si>
  <si>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</si>
  <si>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</si>
  <si>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</si>
  <si>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</si>
  <si>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</si>
  <si>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</si>
  <si>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</si>
  <si>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</si>
  <si>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</si>
  <si>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</si>
  <si>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</si>
  <si>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</si>
  <si>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</si>
  <si>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</si>
  <si>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</si>
  <si>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</si>
  <si>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</si>
  <si>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</si>
  <si>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</si>
  <si>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</si>
  <si>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</si>
  <si>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</si>
  <si>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</si>
  <si>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</si>
  <si>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</si>
  <si>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</si>
  <si>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</si>
  <si>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</si>
  <si>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</si>
  <si>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</si>
  <si>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</si>
  <si>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</si>
  <si>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</si>
  <si>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</si>
  <si>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</si>
  <si>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</si>
  <si>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</si>
  <si>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</si>
  <si>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</si>
  <si>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</si>
  <si>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</si>
  <si>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</si>
  <si>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</si>
  <si>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</si>
  <si>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</si>
  <si>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</si>
  <si>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</si>
  <si>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</si>
  <si>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</si>
  <si>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</si>
  <si>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</si>
  <si>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</si>
  <si>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</si>
  <si>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</si>
  <si>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</si>
  <si>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</si>
  <si>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</si>
  <si>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</si>
  <si>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</si>
  <si>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</si>
  <si>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</si>
  <si>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</si>
  <si>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</si>
  <si>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</si>
  <si>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</si>
  <si>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</si>
  <si>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</si>
  <si>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</si>
  <si>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</si>
  <si>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</si>
  <si>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</si>
  <si>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</si>
  <si>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</si>
  <si>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</si>
  <si>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</si>
  <si>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</si>
  <si>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</si>
  <si>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</si>
  <si>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</si>
  <si>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</si>
  <si>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</si>
  <si>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</si>
  <si>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</si>
  <si>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</si>
  <si>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</si>
  <si>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</si>
  <si>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</si>
  <si>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</si>
  <si>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</si>
  <si>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</si>
  <si>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</si>
  <si>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</si>
  <si>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</si>
  <si>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</si>
  <si>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</si>
  <si>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</si>
  <si>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</si>
  <si>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</si>
  <si>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</si>
  <si>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</si>
  <si>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</si>
  <si>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</si>
  <si>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</si>
  <si>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</si>
  <si>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</si>
  <si>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</si>
  <si>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</si>
  <si>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</si>
  <si>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</si>
  <si>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</si>
  <si>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</si>
  <si>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</si>
  <si>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</si>
  <si>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</si>
  <si>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</si>
  <si>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</si>
  <si>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</si>
  <si>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</si>
  <si>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</si>
  <si>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</si>
  <si>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</si>
  <si>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</si>
  <si>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</si>
  <si>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</si>
  <si>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</si>
  <si>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</si>
  <si>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</si>
  <si>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</si>
  <si>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</si>
  <si>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</si>
  <si>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</si>
  <si>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</si>
  <si>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</si>
  <si>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</si>
  <si>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</si>
  <si>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</si>
  <si>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</si>
  <si>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</si>
  <si>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</si>
  <si>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</si>
  <si>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</si>
  <si>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</si>
  <si>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</si>
  <si>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</si>
  <si>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</si>
  <si>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</si>
  <si>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</si>
  <si>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</si>
  <si>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</si>
  <si>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</si>
  <si>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</si>
  <si>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</si>
  <si>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</si>
  <si>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</si>
  <si>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</si>
  <si>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</si>
  <si>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</si>
  <si>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</si>
  <si>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</si>
  <si>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</si>
  <si>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</si>
  <si>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</si>
  <si>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</si>
  <si>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</si>
  <si>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</si>
  <si>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</si>
  <si>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</si>
  <si>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</si>
  <si>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</si>
  <si>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</si>
  <si>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</si>
  <si>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</si>
  <si>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</si>
  <si>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</si>
  <si>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</si>
  <si>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</si>
  <si>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</si>
  <si>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</si>
  <si>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</si>
  <si>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</si>
  <si>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</si>
  <si>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</si>
  <si>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</si>
  <si>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</si>
  <si>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</si>
  <si>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</si>
  <si>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</si>
  <si>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</si>
  <si>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</si>
  <si>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</si>
  <si>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</si>
  <si>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</si>
  <si>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</si>
  <si>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</si>
  <si>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</si>
  <si>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</si>
  <si>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</si>
  <si>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</si>
  <si>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</si>
  <si>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</si>
  <si>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</si>
  <si>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</si>
  <si>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</si>
  <si>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</si>
  <si>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</si>
  <si>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</si>
  <si>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</si>
  <si>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</si>
  <si>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</si>
  <si>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</si>
  <si>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</si>
  <si>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</si>
  <si>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</si>
  <si>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</si>
  <si>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</si>
  <si>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</si>
  <si>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</si>
  <si>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</si>
  <si>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</si>
  <si>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</si>
  <si>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</si>
  <si>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</si>
  <si>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</si>
  <si>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</si>
  <si>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</si>
  <si>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</si>
  <si>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</si>
  <si>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</si>
  <si>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</si>
  <si>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</si>
  <si>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</si>
  <si>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</si>
  <si>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</si>
  <si>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</si>
  <si>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</si>
  <si>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</si>
  <si>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</si>
  <si>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</si>
  <si>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</si>
  <si>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</si>
  <si>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</si>
  <si>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</si>
  <si>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</si>
  <si>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</si>
  <si>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</si>
  <si>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</si>
  <si>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</si>
  <si>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</si>
  <si>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</si>
  <si>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</si>
  <si>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</si>
  <si>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</si>
  <si>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</si>
  <si>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</si>
  <si>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</si>
  <si>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</si>
  <si>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</si>
  <si>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</si>
  <si>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</si>
  <si>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</si>
  <si>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</si>
  <si>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</si>
  <si>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</si>
  <si>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</si>
  <si>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</si>
  <si>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</si>
  <si>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</si>
  <si>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</si>
  <si>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</si>
  <si>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</si>
  <si>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</si>
  <si>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</si>
  <si>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</si>
  <si>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</si>
  <si>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</si>
  <si>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</si>
  <si>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</si>
  <si>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</si>
  <si>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</si>
  <si>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</si>
  <si>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</si>
  <si>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</si>
  <si>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</si>
  <si>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</si>
  <si>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</si>
  <si>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</si>
  <si>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</si>
  <si>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</si>
  <si>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</si>
  <si>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</si>
  <si>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</si>
  <si>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</si>
  <si>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</si>
  <si>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</si>
  <si>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</si>
  <si>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</si>
  <si>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</si>
  <si>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</si>
  <si>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</si>
  <si>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</si>
  <si>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</si>
  <si>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</si>
  <si>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</si>
  <si>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</si>
  <si>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</si>
  <si>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</si>
  <si>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</si>
  <si>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</si>
  <si>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</si>
  <si>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</si>
  <si>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</si>
  <si>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</si>
  <si>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</si>
  <si>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</si>
  <si>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</si>
  <si>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</si>
  <si>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</si>
  <si>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</si>
  <si>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</si>
  <si>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</si>
  <si>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</si>
  <si>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</si>
  <si>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</si>
  <si>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</si>
  <si>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</si>
  <si>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</si>
  <si>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</si>
  <si>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</si>
  <si>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</si>
  <si>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</si>
  <si>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</si>
  <si>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</si>
  <si>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</si>
  <si>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</si>
  <si>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</si>
  <si>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</si>
  <si>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</si>
  <si>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</si>
  <si>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</si>
  <si>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</si>
  <si>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</si>
  <si>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</si>
  <si>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</si>
  <si>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</si>
  <si>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</si>
  <si>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</si>
  <si>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</si>
  <si>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</si>
  <si>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</si>
  <si>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</si>
  <si>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</si>
  <si>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</si>
  <si>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</si>
  <si>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</si>
  <si>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</si>
  <si>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</si>
  <si>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</si>
  <si>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</si>
  <si>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</si>
  <si>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</si>
  <si>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</si>
  <si>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</si>
  <si>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</si>
  <si>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</si>
  <si>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</si>
  <si>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</si>
  <si>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</si>
  <si>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</si>
  <si>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</si>
  <si>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</si>
  <si>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</si>
  <si>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</si>
  <si>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</si>
  <si>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</si>
  <si>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</si>
  <si>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</si>
  <si>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</si>
  <si>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</si>
  <si>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</si>
  <si>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</si>
  <si>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</si>
  <si>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</si>
  <si>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</si>
  <si>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</si>
  <si>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</si>
  <si>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</si>
  <si>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</si>
  <si>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</si>
  <si>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</si>
  <si>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</si>
  <si>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</si>
  <si>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</si>
  <si>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</si>
  <si>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</si>
  <si>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</si>
  <si>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</si>
  <si>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</si>
  <si>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</si>
  <si>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</si>
  <si>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</si>
  <si>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</si>
  <si>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</si>
  <si>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</si>
  <si>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</si>
  <si>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</si>
  <si>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</si>
  <si>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</si>
  <si>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</si>
  <si>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</si>
  <si>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</si>
  <si>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</si>
  <si>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</si>
  <si>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</si>
  <si>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</si>
  <si>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</si>
  <si>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</si>
  <si>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</si>
  <si>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</si>
  <si>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</si>
  <si>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</si>
  <si>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</si>
  <si>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</si>
  <si>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</si>
  <si>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</si>
  <si>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</si>
  <si>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</si>
  <si>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</si>
  <si>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</si>
  <si>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</si>
  <si>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</si>
  <si>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</si>
  <si>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</si>
  <si>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</si>
  <si>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</si>
  <si>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</si>
  <si>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</si>
  <si>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</si>
  <si>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</si>
  <si>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</si>
  <si>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</si>
  <si>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</si>
  <si>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</si>
  <si>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</si>
  <si>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</si>
  <si>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</si>
  <si>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</si>
  <si>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</si>
  <si>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</si>
  <si>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</si>
  <si>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</si>
  <si>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</si>
  <si>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</si>
  <si>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</si>
  <si>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</si>
  <si>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</si>
  <si>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</si>
  <si>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</si>
  <si>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</si>
  <si>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</si>
  <si>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</si>
  <si>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</si>
  <si>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</si>
  <si>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</si>
  <si>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</si>
  <si>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</si>
  <si>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</si>
  <si>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</si>
  <si>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</si>
  <si>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</si>
  <si>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</si>
  <si>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</si>
  <si>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</si>
  <si>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</si>
  <si>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</si>
  <si>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</si>
  <si>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</si>
  <si>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</si>
  <si>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</si>
  <si>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</si>
  <si>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</si>
  <si>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</si>
  <si>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</si>
  <si>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</si>
  <si>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</si>
  <si>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</si>
  <si>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</si>
  <si>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</si>
  <si>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</si>
  <si>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</si>
  <si>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</si>
  <si>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</si>
  <si>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</si>
  <si>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</si>
  <si>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</si>
  <si>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</si>
  <si>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</si>
  <si>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</si>
  <si>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</si>
  <si>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</si>
  <si>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</si>
  <si>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</si>
  <si>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</si>
  <si>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</si>
  <si>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</si>
  <si>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</si>
  <si>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</si>
  <si>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</si>
  <si>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</si>
  <si>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</si>
  <si>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</si>
  <si>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</si>
  <si>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</si>
  <si>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</si>
  <si>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</si>
  <si>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</si>
  <si>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</si>
  <si>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</si>
  <si>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</si>
  <si>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</si>
  <si>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</si>
  <si>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</si>
  <si>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</si>
  <si>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</si>
  <si>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</si>
  <si>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</si>
  <si>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</si>
  <si>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</si>
  <si>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</si>
  <si>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</si>
  <si>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</si>
  <si>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</si>
  <si>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</si>
  <si>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</si>
  <si>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</si>
  <si>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</si>
  <si>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</si>
  <si>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</si>
  <si>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</si>
  <si>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</si>
  <si>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</si>
  <si>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</si>
  <si>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</si>
  <si>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</si>
  <si>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</si>
  <si>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</si>
  <si>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</si>
  <si>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</si>
  <si>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</si>
  <si>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</si>
  <si>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</si>
  <si>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</si>
  <si>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</si>
  <si>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</si>
  <si>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</si>
  <si>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</si>
  <si>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</si>
  <si>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</si>
  <si>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</si>
  <si>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</si>
  <si>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</si>
  <si>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</si>
  <si>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</si>
  <si>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</si>
  <si>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</si>
  <si>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</si>
  <si>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</si>
  <si>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</si>
  <si>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</si>
  <si>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</si>
  <si>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</si>
  <si>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</si>
  <si>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</si>
  <si>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</si>
  <si>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</si>
  <si>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</si>
  <si>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</si>
  <si>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</si>
  <si>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</si>
  <si>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</si>
  <si>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</si>
  <si>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</si>
  <si>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</si>
  <si>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</si>
  <si>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</si>
  <si>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</si>
  <si>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</si>
  <si>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</si>
  <si>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</si>
  <si>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</si>
  <si>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</si>
  <si>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</si>
  <si>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</si>
  <si>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</si>
  <si>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</si>
  <si>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</si>
  <si>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</si>
  <si>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</si>
  <si>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</si>
  <si>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</si>
  <si>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</si>
  <si>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</si>
  <si>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</si>
  <si>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</si>
  <si>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</si>
  <si>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</si>
  <si>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</si>
  <si>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</si>
  <si>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</si>
  <si>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</si>
  <si>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</si>
  <si>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</si>
  <si>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</si>
  <si>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</si>
  <si>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</si>
  <si>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</si>
  <si>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</si>
  <si>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</si>
  <si>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</si>
  <si>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</si>
  <si>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</si>
  <si>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</si>
  <si>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</si>
  <si>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</si>
  <si>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</si>
  <si>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</si>
  <si>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</si>
  <si>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</si>
  <si>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</si>
  <si>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</si>
  <si>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</si>
  <si>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</si>
  <si>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</si>
  <si>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</si>
  <si>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</si>
  <si>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</si>
  <si>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</si>
  <si>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</si>
  <si>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</si>
  <si>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</si>
  <si>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</si>
  <si>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</si>
  <si>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</si>
  <si>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</si>
  <si>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</si>
  <si>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</si>
  <si>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</si>
  <si>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</si>
  <si>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</si>
  <si>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</si>
  <si>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</si>
  <si>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</si>
  <si>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</si>
  <si>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</si>
  <si>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</si>
  <si>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</si>
  <si>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</si>
  <si>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</si>
  <si>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</si>
  <si>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</si>
  <si>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</si>
  <si>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</si>
  <si>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</si>
  <si>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</si>
  <si>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</si>
  <si>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</si>
  <si>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</si>
  <si>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</si>
  <si>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</si>
  <si>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</si>
  <si>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</si>
  <si>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</si>
  <si>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</si>
  <si>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</si>
  <si>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</si>
  <si>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</si>
  <si>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</si>
  <si>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</si>
  <si>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</si>
  <si>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</si>
  <si>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</si>
  <si>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</si>
  <si>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</si>
  <si>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</si>
  <si>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</si>
  <si>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</si>
  <si>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</si>
  <si>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</si>
  <si>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</si>
  <si>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</si>
  <si>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</si>
  <si>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</si>
  <si>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</si>
  <si>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</si>
  <si>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</si>
  <si>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</si>
  <si>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</si>
  <si>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</si>
  <si>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</si>
  <si>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</si>
  <si>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</si>
  <si>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</si>
  <si>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</si>
  <si>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</si>
  <si>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</si>
  <si>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</si>
  <si>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</si>
  <si>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</si>
  <si>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</si>
  <si>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</si>
  <si>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</si>
  <si>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</si>
  <si>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</si>
  <si>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</si>
  <si>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</si>
  <si>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</si>
  <si>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</si>
  <si>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</si>
  <si>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</si>
  <si>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</si>
  <si>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</si>
  <si>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</si>
  <si>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</si>
  <si>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</si>
  <si>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</si>
  <si>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</si>
  <si>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</si>
  <si>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</si>
  <si>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</si>
  <si>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</si>
  <si>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</si>
  <si>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</si>
  <si>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</si>
  <si>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</si>
  <si>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</si>
  <si>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</si>
  <si>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</si>
  <si>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</si>
  <si>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</si>
  <si>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</si>
  <si>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</si>
  <si>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</si>
  <si>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</si>
  <si>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</si>
  <si>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北京市</t>
  </si>
  <si>
    <t>钢</t>
  </si>
  <si>
    <t>钢混</t>
  </si>
  <si>
    <t>抵押</t>
  </si>
  <si>
    <t>房地产抵押价值</t>
  </si>
  <si>
    <t>是</t>
  </si>
  <si>
    <t>地上</t>
  </si>
  <si>
    <t>22幢</t>
  </si>
  <si>
    <t>23幢</t>
  </si>
  <si>
    <t>成新度</t>
  </si>
  <si>
    <t>利息：取LPR加浮动点数</t>
  </si>
  <si>
    <t>收益法 (元)</t>
  </si>
  <si>
    <t>押一</t>
  </si>
  <si>
    <t>非生产用房</t>
  </si>
  <si>
    <t>否</t>
  </si>
  <si>
    <t>自定义容积率</t>
  </si>
  <si>
    <t>楼层修正</t>
  </si>
  <si>
    <t>中心城区以外</t>
  </si>
  <si>
    <t>与级别开发程度不一致</t>
  </si>
  <si>
    <t>通路</t>
  </si>
  <si>
    <t>通电</t>
  </si>
  <si>
    <t>通讯</t>
  </si>
  <si>
    <t>通上水</t>
  </si>
  <si>
    <t>通下水</t>
  </si>
  <si>
    <t>通热</t>
  </si>
  <si>
    <t>平整</t>
  </si>
  <si>
    <t>不临65条商业街</t>
  </si>
  <si>
    <t>较差</t>
  </si>
  <si>
    <t>一般</t>
  </si>
  <si>
    <t>未包含在土地购买价格中</t>
  </si>
  <si>
    <t>已包含在土地取得成本中</t>
  </si>
  <si>
    <t>现房</t>
  </si>
  <si>
    <t>项目局部</t>
  </si>
  <si>
    <t>楼面单价</t>
  </si>
  <si>
    <t>自定义</t>
  </si>
  <si>
    <t>全部缴纳</t>
  </si>
  <si>
    <t>自然人</t>
  </si>
  <si>
    <r>
      <rPr>
        <sz val="10"/>
        <color theme="9" tint="-0.249977111117893"/>
        <rFont val="宋体"/>
        <family val="3"/>
        <charset val="134"/>
      </rPr>
      <t>顺义区梅香街</t>
    </r>
    <r>
      <rPr>
        <sz val="10"/>
        <color theme="9" tint="-0.249977111117893"/>
        <rFont val="Arial"/>
        <family val="2"/>
      </rPr>
      <t>9</t>
    </r>
    <r>
      <rPr>
        <sz val="10"/>
        <color theme="9" tint="-0.249977111117893"/>
        <rFont val="宋体"/>
        <family val="3"/>
        <charset val="134"/>
      </rPr>
      <t>号院</t>
    </r>
    <r>
      <rPr>
        <sz val="10"/>
        <color theme="9" tint="-0.249977111117893"/>
        <rFont val="Arial"/>
        <family val="2"/>
      </rPr>
      <t>12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104</t>
    </r>
    <phoneticPr fontId="6" type="noConversion"/>
  </si>
  <si>
    <t>底商</t>
  </si>
  <si>
    <t>商业</t>
    <phoneticPr fontId="7" type="noConversion"/>
  </si>
  <si>
    <t>比较法-商业</t>
  </si>
  <si>
    <t>单套模式</t>
  </si>
  <si>
    <t>售价</t>
  </si>
  <si>
    <t>报价</t>
  </si>
  <si>
    <t>报价</t>
    <phoneticPr fontId="30" type="noConversion"/>
  </si>
  <si>
    <t>正常</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</si>
</sst>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0" borderId="1" xfId="0" applyFont="1" applyBorder="1" applyAlignment="1" applyProtection="1">
      <alignment horizontal="left" vertical="center" wrapText="1"/>
      <protection locked="0"/>
    </xf>
    <xf numFmtId="0" fontId="77" fillId="12" borderId="0" xfId="0" applyFont="1" applyFill="1" applyAlignment="1" applyProtection="1">
      <alignment vertical="center"/>
      <protection locked="0"/>
    </xf>
    <xf numFmtId="10" fontId="98" fillId="6" borderId="1" xfId="0" applyNumberFormat="1"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494810</xdr:colOff>
      <xdr:row>36</xdr:row>
      <xdr:rowOff>161134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23810" cy="6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北京市顺义区梅香街9号院12号楼1层104房地产抵押价值预评估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受贵公司委托，我公司对北京市顺义区梅香街9号院12号楼1层104房地产抵押价值进行了预评估。</v>
      </c>
    </row>
    <row r="7" spans="1:2" s="1203" customFormat="1">
      <c r="A7" s="1201" t="s">
        <v>566</v>
      </c>
      <c r="B7" s="1202" t="str">
        <f>'预评函-1'!A7</f>
        <v>估价对象为北京市顺义区梅香街9号院12号楼1层104房地产，为所有。根据《国有土地使用证》[]，估价对象（分摊）出让国有建设用地使用权面积为0平方米，建筑面积为88.45平方米。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顺义区梅香街9号院12号楼1层104房地产,属开发建设的，该项目尚在开发建设中。根据《国有土地使用证》[]，估价对象（分摊）出让国有建设用地使用权面积为0平方米，规划建筑面积为88.45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顺义区梅香街9号院12号楼1层104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2023年5月30日（评估专业人员实地查勘之日）</v>
      </c>
    </row>
    <row r="13" spans="1:2" s="1203" customFormat="1">
      <c r="A13" s="1201" t="s">
        <v>529</v>
      </c>
      <c r="B13" s="1202" t="str">
        <f>'预评函-1'!A18</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280</v>
      </c>
    </row>
    <row r="21" spans="1:2" s="1203" customFormat="1">
      <c r="A21" s="1201" t="s">
        <v>537</v>
      </c>
      <c r="B21" s="1202">
        <f ca="1">'预评函-2'!D7</f>
        <v>31617</v>
      </c>
    </row>
    <row r="22" spans="1:2" s="1203" customFormat="1">
      <c r="A22" s="1201" t="s">
        <v>538</v>
      </c>
      <c r="B22" s="1202" t="str">
        <f ca="1">'预评函-2'!D6</f>
        <v>贰佰捌拾万元整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280</v>
      </c>
    </row>
    <row r="31" spans="1:2" s="1203" customFormat="1">
      <c r="A31" s="1201" t="s">
        <v>576</v>
      </c>
      <c r="B31" s="1202">
        <f ca="1">'预评函-2'!D15</f>
        <v>31617</v>
      </c>
    </row>
    <row r="32" spans="1:2" s="1203" customFormat="1">
      <c r="A32" s="1201" t="s">
        <v>543</v>
      </c>
      <c r="B32" s="1202" t="str">
        <f ca="1">'预评函-2'!D14</f>
        <v>贰佰捌拾万元整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北京市顺义区梅香街9号院12号楼1层104房地产</v>
      </c>
    </row>
    <row r="42" spans="1:2" s="1203" customFormat="1">
      <c r="A42" s="1201" t="s">
        <v>590</v>
      </c>
      <c r="B42" s="1202" t="str">
        <f>'预评函-3'!B2</f>
        <v>建筑面积</v>
      </c>
    </row>
    <row r="43" spans="1:2" s="1203" customFormat="1">
      <c r="A43" s="1201" t="s">
        <v>591</v>
      </c>
      <c r="B43" s="1202">
        <f>'预评函-3'!B4</f>
        <v>88.45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975</v>
      </c>
      <c r="C1" s="1541" t="s">
        <v>314</v>
      </c>
      <c r="D1" s="1543" t="s">
        <v>3354</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3340</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3341</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3342</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3343</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449</v>
      </c>
      <c r="C6" s="1552" t="s">
        <v>24</v>
      </c>
      <c r="F6" s="1548" t="s">
        <v>1015</v>
      </c>
      <c r="H6" s="1548" t="s">
        <v>1019</v>
      </c>
      <c r="I6" s="1548" t="s">
        <v>3344</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450</v>
      </c>
      <c r="C7" s="1547" t="s">
        <v>25</v>
      </c>
      <c r="F7" s="1548" t="s">
        <v>1022</v>
      </c>
      <c r="H7" s="1548" t="s">
        <v>1023</v>
      </c>
      <c r="I7" s="1548" t="s">
        <v>3345</v>
      </c>
    </row>
    <row r="8" spans="1:23">
      <c r="A8" s="1546" t="s">
        <v>1024</v>
      </c>
      <c r="B8" s="1546" t="s">
        <v>1025</v>
      </c>
      <c r="C8" s="1547" t="s">
        <v>319</v>
      </c>
      <c r="F8" s="1548" t="s">
        <v>1026</v>
      </c>
      <c r="H8" s="1548" t="s">
        <v>2578</v>
      </c>
      <c r="I8" s="1548" t="s">
        <v>3346</v>
      </c>
    </row>
    <row r="9" spans="1:23">
      <c r="A9" s="1546" t="s">
        <v>1027</v>
      </c>
      <c r="B9" s="1546" t="s">
        <v>1028</v>
      </c>
      <c r="C9" s="1547" t="s">
        <v>320</v>
      </c>
      <c r="F9" s="1548" t="s">
        <v>1029</v>
      </c>
      <c r="H9" s="1548"/>
      <c r="I9" s="1551" t="s">
        <v>3347</v>
      </c>
    </row>
    <row r="10" spans="1:23">
      <c r="A10" s="1546" t="s">
        <v>1030</v>
      </c>
      <c r="B10" s="1546" t="s">
        <v>1031</v>
      </c>
      <c r="C10" s="1547" t="s">
        <v>321</v>
      </c>
      <c r="F10" s="1548" t="s">
        <v>2579</v>
      </c>
      <c r="I10" s="1551" t="s">
        <v>3348</v>
      </c>
    </row>
    <row r="11" spans="1:23">
      <c r="A11" s="1546" t="s">
        <v>1032</v>
      </c>
      <c r="B11" s="1546" t="s">
        <v>1033</v>
      </c>
      <c r="C11" s="1547" t="s">
        <v>322</v>
      </c>
      <c r="F11" s="1548" t="s">
        <v>13</v>
      </c>
      <c r="I11" s="1551" t="s">
        <v>3349</v>
      </c>
    </row>
    <row r="12" spans="1:23">
      <c r="A12" s="1546" t="s">
        <v>1034</v>
      </c>
      <c r="B12" s="1546" t="s">
        <v>1035</v>
      </c>
      <c r="C12" s="1547" t="s">
        <v>323</v>
      </c>
      <c r="I12" s="1551" t="s">
        <v>3350</v>
      </c>
    </row>
    <row r="13" spans="1:23">
      <c r="A13" s="1546" t="s">
        <v>1036</v>
      </c>
      <c r="B13" s="1546" t="s">
        <v>1037</v>
      </c>
      <c r="C13" s="1547" t="s">
        <v>324</v>
      </c>
      <c r="I13" s="1551" t="s">
        <v>3351</v>
      </c>
    </row>
    <row r="14" spans="1:23">
      <c r="A14" s="1546" t="s">
        <v>1038</v>
      </c>
      <c r="B14" s="1546" t="s">
        <v>1039</v>
      </c>
      <c r="C14" s="1548" t="s">
        <v>13</v>
      </c>
      <c r="I14" s="1551" t="s">
        <v>3352</v>
      </c>
    </row>
    <row r="15" spans="1:23">
      <c r="A15" s="1546" t="s">
        <v>1040</v>
      </c>
      <c r="B15" s="1546" t="s">
        <v>1041</v>
      </c>
      <c r="C15" s="1547"/>
      <c r="I15" s="1551" t="s">
        <v>3353</v>
      </c>
    </row>
    <row r="16" spans="1:23">
      <c r="A16" s="1546" t="s">
        <v>1042</v>
      </c>
      <c r="B16" s="1546" t="s">
        <v>312</v>
      </c>
      <c r="C16" s="1547"/>
    </row>
    <row r="17" spans="1:3">
      <c r="A17" s="1546" t="s">
        <v>1043</v>
      </c>
      <c r="B17" s="1546" t="s">
        <v>2291</v>
      </c>
      <c r="C17" s="1547"/>
    </row>
    <row r="18" spans="1:3">
      <c r="A18" s="1546" t="s">
        <v>1044</v>
      </c>
      <c r="B18" s="1546" t="s">
        <v>2434</v>
      </c>
      <c r="C18" s="1547"/>
    </row>
    <row r="19" spans="1:3">
      <c r="A19" s="1546" t="s">
        <v>1045</v>
      </c>
      <c r="B19" s="1546" t="s">
        <v>313</v>
      </c>
      <c r="C19" s="1547"/>
    </row>
    <row r="20" spans="1:3">
      <c r="A20" s="1546" t="s">
        <v>1046</v>
      </c>
      <c r="B20" s="1546" t="s">
        <v>313</v>
      </c>
      <c r="C20" s="1547"/>
    </row>
    <row r="21" spans="1:3">
      <c r="A21" s="1546" t="s">
        <v>1047</v>
      </c>
      <c r="B21" s="1546" t="s">
        <v>313</v>
      </c>
      <c r="C21" s="1547"/>
    </row>
    <row r="22" spans="1:3">
      <c r="A22" s="1546" t="s">
        <v>1048</v>
      </c>
      <c r="B22" s="1546" t="s">
        <v>313</v>
      </c>
      <c r="C22" s="1547"/>
    </row>
    <row r="23" spans="1:3">
      <c r="A23" s="1546" t="s">
        <v>1049</v>
      </c>
      <c r="B23" s="1546" t="s">
        <v>313</v>
      </c>
      <c r="C23" s="1547"/>
    </row>
    <row r="24" spans="1:3">
      <c r="A24" s="1546" t="s">
        <v>1050</v>
      </c>
      <c r="B24" s="1546" t="s">
        <v>313</v>
      </c>
      <c r="C24" s="1547"/>
    </row>
    <row r="25" spans="1:3">
      <c r="A25" s="1546" t="s">
        <v>1051</v>
      </c>
      <c r="B25" s="1546" t="s">
        <v>313</v>
      </c>
      <c r="C25" s="1547"/>
    </row>
    <row r="26" spans="1:3">
      <c r="A26" s="1546" t="s">
        <v>1052</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梅香街9号院12号楼1层104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48" sqref="B48"/>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495" t="s">
        <v>2581</v>
      </c>
      <c r="J2" s="3495"/>
      <c r="K2" s="3495"/>
      <c r="L2" s="3495"/>
      <c r="M2" s="3495"/>
      <c r="N2" s="3495"/>
      <c r="O2" s="3495"/>
      <c r="P2" s="3495"/>
      <c r="Q2" s="3495"/>
      <c r="R2" s="3495"/>
    </row>
    <row r="3" spans="1:18">
      <c r="A3" s="3020" t="s">
        <v>2502</v>
      </c>
      <c r="B3" s="3021">
        <f>项目基本情况!D3</f>
        <v>45076</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3.55</v>
      </c>
      <c r="D5" s="3025">
        <f>IF(ISERROR(ROUND(POWER(1+E5,A5-C5)*(POWER(1+E5,C5)-1)/(POWER(1+E5,A5)-1),3)),0,ROUND(POWER(1+E5,A5-C5)*(POWER(1+E5,C5)-1)/(POWER(1+E5,A5)-1),4))</f>
        <v>0.16420000000000001</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13.56</v>
      </c>
      <c r="D6" s="3025">
        <f>IF(ISERROR(ROUND(POWER(1+E6,A6-C6)*(POWER(1+E6,C6)-1)/(POWER(1+E6,A6)-1),3)),0,ROUND(POWER(1+E6,A6-C6)*(POWER(1+E6,C6)-1)/(POWER(1+E6,A6)-1),4))</f>
        <v>0.48</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33.58</v>
      </c>
      <c r="D7" s="3025">
        <f>IF(ISERROR(ROUND(POWER(1+E7,A7-C7)*(POWER(1+E7,C7)-1)/(POWER(1+E7,A7)-1),3)),0,ROUND(POWER(1+E7,A7-C7)*(POWER(1+E7,C7)-1)/(POWER(1+E7,A7)-1),4))</f>
        <v>0.7823</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4.25" thickBot="1">
      <c r="A18" s="3031" t="s">
        <v>2517</v>
      </c>
      <c r="B18" s="3032">
        <f>ROUND(B17*F11/F12,2)</f>
        <v>5541.87</v>
      </c>
      <c r="C18" s="3032">
        <f>ROUND(F11/F12,4)</f>
        <v>1.1521999999999999</v>
      </c>
      <c r="D18" s="3033"/>
      <c r="E18" s="3033"/>
      <c r="F18" s="3034"/>
    </row>
    <row r="19" spans="1:13" ht="14.25" thickBot="1"/>
    <row r="20" spans="1:13" s="3069" customFormat="1" ht="14.2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4.2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50" sqref="D5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04" t="str">
        <f>IF(B10="北京市","北京市",C10)&amp;F10&amp;IF(结果表!G1="在建","出让国有建设用地使用权及在建建筑物",IF(结果表!G1="土地","出让国有建设用地使用权",))&amp;B9&amp;"预评估"</f>
        <v>北京市顺义区梅香街9号院12号楼1层104房地产抵押价值预评估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北京市顺义区梅香街9号院12号楼1层104房地产抵押价值</v>
      </c>
      <c r="T1" s="1745"/>
      <c r="U1" s="1745"/>
      <c r="V1" s="1745"/>
      <c r="W1" s="1745"/>
      <c r="X1" s="1745"/>
      <c r="Y1" s="1745"/>
      <c r="Z1" s="1745"/>
      <c r="AA1" s="1745"/>
      <c r="AB1" s="1745"/>
    </row>
    <row r="2" spans="1:30">
      <c r="A2" s="2367" t="s">
        <v>2167</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北京市顺义区梅香街9号院12号楼1层104房地产</v>
      </c>
      <c r="T2" s="1745"/>
      <c r="U2" s="1745"/>
      <c r="V2" s="1745"/>
      <c r="W2" s="1745"/>
      <c r="X2" s="1745"/>
      <c r="Y2" s="1745"/>
      <c r="Z2" s="1745"/>
      <c r="AA2" s="1745"/>
      <c r="AB2" s="1745"/>
    </row>
    <row r="3" spans="1:30">
      <c r="A3" s="302" t="s">
        <v>2168</v>
      </c>
      <c r="B3" s="2373">
        <v>45076</v>
      </c>
      <c r="C3" s="2374" t="s">
        <v>2169</v>
      </c>
      <c r="D3" s="2373">
        <f>B3</f>
        <v>45076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2173</v>
      </c>
      <c r="B7" s="2387"/>
      <c r="C7" s="2385"/>
      <c r="D7" s="2386"/>
      <c r="E7" s="2662"/>
      <c r="F7" s="2664"/>
      <c r="G7" s="2664"/>
      <c r="H7" s="2664"/>
      <c r="I7" s="2664"/>
      <c r="J7" s="2439"/>
      <c r="K7" s="2616"/>
      <c r="L7" s="2613"/>
      <c r="M7" s="2613"/>
      <c r="N7" s="2439"/>
      <c r="O7" s="2450"/>
      <c r="P7" s="2439"/>
      <c r="Q7" s="2439"/>
      <c r="R7" s="2439"/>
    </row>
    <row r="8" spans="1:30">
      <c r="A8" s="2388" t="s">
        <v>2174</v>
      </c>
      <c r="B8" s="2389" t="s">
        <v>3378</v>
      </c>
      <c r="C8" s="2390"/>
      <c r="D8" s="3507" t="s">
        <v>2175</v>
      </c>
      <c r="E8" s="2391" t="s">
        <v>3379</v>
      </c>
      <c r="F8" s="2392"/>
      <c r="G8" s="2663"/>
      <c r="H8" s="2663"/>
      <c r="I8" s="2663"/>
      <c r="J8" s="2439"/>
      <c r="K8" s="2614"/>
      <c r="L8" s="2613"/>
      <c r="M8" s="2613"/>
      <c r="N8" s="2439"/>
      <c r="O8" s="2450"/>
      <c r="P8" s="2439"/>
      <c r="Q8" s="2439"/>
      <c r="R8" s="2439"/>
    </row>
    <row r="9" spans="1:30" ht="13.5" thickBot="1">
      <c r="A9" s="2393" t="s">
        <v>2176</v>
      </c>
      <c r="B9" s="2394" t="s">
        <v>3379</v>
      </c>
      <c r="C9" s="2395"/>
      <c r="D9" s="3508"/>
      <c r="E9" s="2394"/>
      <c r="F9" s="2396"/>
      <c r="G9" s="2665"/>
      <c r="H9" s="2665"/>
      <c r="I9" s="2665"/>
      <c r="J9" s="2439"/>
      <c r="K9" s="2616"/>
      <c r="L9" s="2613"/>
      <c r="M9" s="2613"/>
      <c r="N9" s="2439"/>
      <c r="O9" s="2450"/>
      <c r="P9" s="2439"/>
      <c r="Q9" s="2439"/>
      <c r="R9" s="2439"/>
    </row>
    <row r="10" spans="1:30" ht="13.5" thickTop="1">
      <c r="A10" s="2397" t="s">
        <v>2177</v>
      </c>
      <c r="B10" s="2398" t="s">
        <v>3375</v>
      </c>
      <c r="C10" s="2399"/>
      <c r="D10" s="2382"/>
      <c r="E10" s="2400" t="s">
        <v>2178</v>
      </c>
      <c r="F10" s="2666" t="s">
        <v>3412</v>
      </c>
      <c r="G10" s="2667"/>
      <c r="H10" s="2668"/>
      <c r="I10" s="2669"/>
      <c r="J10" s="2439"/>
      <c r="K10" s="2616"/>
      <c r="L10" s="2613"/>
      <c r="M10" s="2613"/>
      <c r="N10" s="2439"/>
      <c r="O10" s="2450"/>
      <c r="P10" s="2439"/>
      <c r="Q10" s="2439"/>
      <c r="R10" s="2439"/>
    </row>
    <row r="11" spans="1:30">
      <c r="A11" s="2401" t="s">
        <v>2179</v>
      </c>
      <c r="B11" s="2402" t="s">
        <v>3411</v>
      </c>
      <c r="C11" s="2403"/>
      <c r="D11" s="2404"/>
      <c r="E11" s="2370"/>
      <c r="F11" s="2370"/>
      <c r="G11" s="2370"/>
      <c r="H11" s="2370"/>
      <c r="I11" s="2370"/>
      <c r="J11" s="3061"/>
      <c r="K11" s="3060"/>
      <c r="L11" s="2613"/>
      <c r="M11" s="2613"/>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9" t="s">
        <v>2577</v>
      </c>
      <c r="J12" s="3062"/>
      <c r="K12" s="2613"/>
      <c r="L12" s="2613"/>
      <c r="M12" s="2439"/>
      <c r="N12" s="2450"/>
      <c r="O12" s="2439"/>
      <c r="P12" s="2439"/>
      <c r="Q12" s="2439"/>
      <c r="AD12" s="1745"/>
    </row>
    <row r="13" spans="1:30">
      <c r="A13" s="3423" t="s">
        <v>3336</v>
      </c>
      <c r="B13" s="2407" t="s">
        <v>2188</v>
      </c>
      <c r="C13" s="856"/>
      <c r="D13" s="856">
        <v>55348</v>
      </c>
      <c r="E13" s="856"/>
      <c r="F13" s="856"/>
      <c r="G13" s="856"/>
      <c r="H13" s="856"/>
      <c r="I13" s="856"/>
      <c r="J13" s="3062"/>
      <c r="K13" s="2613"/>
      <c r="L13" s="2613"/>
      <c r="M13" s="2439"/>
      <c r="N13" s="2450"/>
      <c r="O13" s="2439"/>
      <c r="P13" s="2439"/>
      <c r="Q13" s="2439"/>
      <c r="AD13" s="1745"/>
    </row>
    <row r="14" spans="1:30">
      <c r="A14" s="1081"/>
      <c r="B14" s="2407" t="s">
        <v>2189</v>
      </c>
      <c r="C14" s="2408"/>
      <c r="D14" s="2408">
        <v>40</v>
      </c>
      <c r="E14" s="2408"/>
      <c r="F14" s="2408"/>
      <c r="G14" s="2408"/>
      <c r="H14" s="2408"/>
      <c r="I14" s="2408"/>
      <c r="J14" s="3063"/>
      <c r="K14" s="2613"/>
      <c r="L14" s="2613"/>
      <c r="M14" s="2439"/>
      <c r="N14" s="2450"/>
      <c r="O14" s="2439"/>
      <c r="P14" s="2439"/>
      <c r="Q14" s="2439"/>
      <c r="AD14" s="1745"/>
    </row>
    <row r="15" spans="1:30">
      <c r="A15" s="320"/>
      <c r="B15" s="2409" t="s">
        <v>2190</v>
      </c>
      <c r="C15" s="2410" t="str">
        <f>IF(A13="出让",IF(C13="","",ROUNDDOWN(MIN((C13-$D$3)/365,C14),2)),C14)</f>
        <v/>
      </c>
      <c r="D15" s="2410">
        <f>IF(A13="出让",IF(D13="","",ROUNDDOWN(MIN((D13-$D$3)/365,D14),2)),D14)</f>
        <v>28.14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2191</v>
      </c>
      <c r="B16" s="3514"/>
      <c r="C16" s="3515"/>
      <c r="D16" s="3516"/>
      <c r="E16" s="2413" t="s">
        <v>2192</v>
      </c>
      <c r="F16" s="3517"/>
      <c r="G16" s="3518"/>
      <c r="H16" s="3518"/>
      <c r="I16" s="3519"/>
      <c r="J16" s="2439"/>
      <c r="K16" s="2617"/>
      <c r="L16" s="2451"/>
      <c r="M16" s="2451"/>
      <c r="N16" s="2509"/>
      <c r="O16" s="2451"/>
      <c r="P16" s="2509"/>
      <c r="Q16" s="2439"/>
      <c r="R16" s="2439"/>
    </row>
    <row r="17" spans="1:28">
      <c r="A17" s="313" t="s">
        <v>2193</v>
      </c>
      <c r="B17" s="302" t="s">
        <v>2194</v>
      </c>
      <c r="C17" s="8">
        <f>'数据-汇总表'!E3</f>
        <v>88.45</v>
      </c>
      <c r="D17" s="2322" t="s">
        <v>2195</v>
      </c>
      <c r="E17" s="3520" t="s">
        <v>2196</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2197</v>
      </c>
      <c r="B18" s="1090" t="s">
        <v>2198</v>
      </c>
      <c r="C18" s="2415">
        <f>'数据-汇总表'!D3</f>
        <v>0</v>
      </c>
      <c r="D18" s="1092" t="s">
        <v>2199</v>
      </c>
      <c r="E18" s="3523" t="s">
        <v>2200</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1053</v>
      </c>
      <c r="B19" s="307" t="s">
        <v>2201</v>
      </c>
      <c r="C19" s="1563"/>
      <c r="D19" s="1564" t="s">
        <v>2202</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2203</v>
      </c>
      <c r="B20" s="3510" t="s">
        <v>2204</v>
      </c>
      <c r="C20" s="3511"/>
      <c r="D20" s="3512" t="s">
        <v>2205</v>
      </c>
      <c r="E20" s="3513"/>
      <c r="F20" s="2647" t="s">
        <v>1054</v>
      </c>
      <c r="G20" s="2664"/>
      <c r="H20" s="2664"/>
      <c r="I20" s="2664"/>
      <c r="J20" s="2439"/>
      <c r="K20" s="3509"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2207</v>
      </c>
      <c r="C21" s="2634" t="s">
        <v>1055</v>
      </c>
      <c r="D21" s="1568" t="s">
        <v>2208</v>
      </c>
      <c r="E21" s="2635" t="s">
        <v>1055</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2209</v>
      </c>
      <c r="C22" s="2634" t="s">
        <v>1056</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2210</v>
      </c>
      <c r="B23" s="2502" t="s">
        <v>2211</v>
      </c>
      <c r="C23" s="2638"/>
      <c r="D23" s="2639" t="s">
        <v>2211</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1057</v>
      </c>
      <c r="C24" s="2641"/>
      <c r="D24" s="2637" t="s">
        <v>1057</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1058</v>
      </c>
      <c r="C25" s="2641"/>
      <c r="D25" s="2637" t="s">
        <v>1058</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1059</v>
      </c>
      <c r="C26" s="2645"/>
      <c r="D26" s="2643" t="s">
        <v>1059</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7" t="s">
        <v>2212</v>
      </c>
      <c r="B27" s="320" t="s">
        <v>2213</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7"/>
      <c r="B28" s="302" t="s">
        <v>2214</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7"/>
      <c r="B29" s="302" t="s">
        <v>2215</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8"/>
      <c r="B30" s="302" t="s">
        <v>2216</v>
      </c>
      <c r="C30" s="3499"/>
      <c r="D30" s="3500"/>
      <c r="E30" s="2664"/>
      <c r="F30" s="2664"/>
      <c r="G30" s="2664"/>
      <c r="H30" s="2664"/>
      <c r="I30" s="2664"/>
      <c r="J30" s="2439"/>
      <c r="K30" s="2616"/>
      <c r="L30" s="2613"/>
      <c r="M30" s="2613"/>
      <c r="N30" s="2439"/>
      <c r="O30" s="2450"/>
      <c r="P30" s="2439"/>
      <c r="Q30" s="2439"/>
      <c r="R30" s="2439"/>
      <c r="S30" s="2439"/>
      <c r="T30" s="2439"/>
      <c r="U30" s="2439"/>
      <c r="V30" s="2439"/>
    </row>
    <row r="31" spans="1:28">
      <c r="A31" s="3501" t="s">
        <v>2217</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2218</v>
      </c>
      <c r="B34" s="2026"/>
      <c r="C34" s="2026"/>
      <c r="D34" s="2026"/>
      <c r="E34" s="2026"/>
      <c r="F34" s="2026"/>
      <c r="G34" s="2026"/>
      <c r="H34" s="2026"/>
      <c r="I34" s="2664"/>
      <c r="J34" s="2439"/>
      <c r="K34" s="2427">
        <f>COUNTIF(B34:H34,"——")</f>
        <v>0</v>
      </c>
      <c r="L34" s="323" t="s">
        <v>2219</v>
      </c>
      <c r="M34" s="323" t="s">
        <v>2220</v>
      </c>
      <c r="N34" s="323" t="s">
        <v>2221</v>
      </c>
      <c r="O34" s="323" t="s">
        <v>2222</v>
      </c>
      <c r="P34" s="323" t="s">
        <v>2223</v>
      </c>
      <c r="Q34" s="323" t="s">
        <v>2224</v>
      </c>
      <c r="R34" s="323" t="s">
        <v>2225</v>
      </c>
      <c r="S34" s="3496" t="s">
        <v>2226</v>
      </c>
      <c r="T34" s="2428" t="str">
        <f>NUMBERSTRING(7-K34,1)&amp;"通"</f>
        <v>七通</v>
      </c>
      <c r="U34" s="2439"/>
      <c r="V34" s="2439"/>
    </row>
    <row r="35" spans="1:30">
      <c r="A35" s="2429"/>
      <c r="B35" s="3503" t="s">
        <v>2227</v>
      </c>
      <c r="C35" s="3503"/>
      <c r="D35" s="3503"/>
      <c r="E35" s="350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9"/>
      <c r="V35" s="2439"/>
    </row>
    <row r="36" spans="1:30">
      <c r="A36" s="2430"/>
      <c r="B36" s="664" t="s">
        <v>2183</v>
      </c>
      <c r="C36" s="664" t="s">
        <v>2184</v>
      </c>
      <c r="D36" s="664" t="s">
        <v>2182</v>
      </c>
      <c r="E36" s="664" t="s">
        <v>2187</v>
      </c>
      <c r="F36" s="3065" t="s">
        <v>2580</v>
      </c>
      <c r="G36" s="2664"/>
      <c r="H36" s="2664"/>
      <c r="I36" s="2664"/>
      <c r="J36" s="2439"/>
      <c r="K36" s="2616"/>
      <c r="L36" s="2613"/>
      <c r="M36" s="2613"/>
      <c r="N36" s="2439"/>
      <c r="O36" s="2450"/>
      <c r="P36" s="2439"/>
      <c r="Q36" s="2439"/>
      <c r="R36" s="2439"/>
      <c r="S36" s="2439"/>
      <c r="T36" s="2439"/>
      <c r="U36" s="2439"/>
      <c r="V36" s="2439"/>
    </row>
    <row r="37" spans="1:30">
      <c r="A37" s="2630" t="s">
        <v>2228</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2229</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2230</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2231</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2232</v>
      </c>
      <c r="B42" s="8" t="s">
        <v>2233</v>
      </c>
      <c r="C42" s="8" t="s">
        <v>2234</v>
      </c>
      <c r="D42" s="8" t="s">
        <v>2235</v>
      </c>
      <c r="E42" s="8" t="s">
        <v>2236</v>
      </c>
      <c r="F42" s="8" t="s">
        <v>2237</v>
      </c>
      <c r="G42" s="8" t="s">
        <v>2238</v>
      </c>
      <c r="H42" s="8" t="s">
        <v>2239</v>
      </c>
      <c r="I42" s="8" t="s">
        <v>2240</v>
      </c>
      <c r="J42" s="2626" t="s">
        <v>2241</v>
      </c>
      <c r="K42" s="2627" t="s">
        <v>2242</v>
      </c>
      <c r="L42" s="2627" t="s">
        <v>2243</v>
      </c>
      <c r="M42" s="2627" t="s">
        <v>2244</v>
      </c>
      <c r="N42" s="2620" t="s">
        <v>2245</v>
      </c>
      <c r="O42" s="2620" t="s">
        <v>2246</v>
      </c>
      <c r="P42" s="2620" t="s">
        <v>2247</v>
      </c>
      <c r="Q42" s="2621" t="s">
        <v>2248</v>
      </c>
      <c r="R42" s="2621" t="s">
        <v>2249</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88.45</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88.45</v>
      </c>
      <c r="H5" s="13">
        <f t="shared" ref="H5:AT5" si="0">SUM(H13:H656)</f>
        <v>88.45</v>
      </c>
      <c r="I5" s="13">
        <f t="shared" si="0"/>
        <v>88.45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88.45</v>
      </c>
      <c r="BA5" s="15">
        <f t="shared" si="1"/>
        <v>88.45</v>
      </c>
      <c r="BB5" s="15">
        <f t="shared" si="1"/>
        <v>88.45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3381</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671</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0"/>
      <c r="D13" s="1625" t="s">
        <v>3380</v>
      </c>
      <c r="E13" s="13">
        <f>IF($C$3="是",ROUND($A$3*G13/$B$3,2),ROUND($A$3*(G13-AT13)/$B$3,2))</f>
        <v>0</v>
      </c>
      <c r="F13" s="29"/>
      <c r="G13" s="30">
        <f>H13+AC13+AT13</f>
        <v>88.45</v>
      </c>
      <c r="H13" s="17">
        <f>SUMIF(I$12:AB$12,"总值",I13:AB13)</f>
        <v>88.45</v>
      </c>
      <c r="I13" s="1626">
        <v>88.45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88.45</v>
      </c>
      <c r="BA13" s="13">
        <f>SUM(BB13:BK13)</f>
        <v>88.45</v>
      </c>
      <c r="BB13" s="13">
        <f>IF($D13="是",I13-J13,0)</f>
        <v>88.45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0" sqref="E5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35" t="s">
        <v>1129</v>
      </c>
      <c r="B2" s="3535"/>
      <c r="C2" s="3535"/>
      <c r="D2" s="796" t="s">
        <v>1105</v>
      </c>
      <c r="E2" s="1639" t="s">
        <v>1106</v>
      </c>
      <c r="F2" s="2659"/>
      <c r="G2" s="2650"/>
      <c r="H2" s="2651"/>
      <c r="I2" s="2325" t="s">
        <v>1130</v>
      </c>
      <c r="J2" s="2659"/>
      <c r="K2" s="2659"/>
      <c r="L2" s="2659"/>
      <c r="M2" s="2659"/>
      <c r="N2" s="2661"/>
      <c r="O2" s="2659"/>
      <c r="P2" s="2659"/>
    </row>
    <row r="3" spans="1:16" ht="15.75" thickBot="1">
      <c r="A3" s="3536" t="s">
        <v>1103</v>
      </c>
      <c r="B3" s="3536"/>
      <c r="C3" s="3536"/>
      <c r="D3" s="43">
        <f>'数据-基础表'!AY6</f>
        <v>0</v>
      </c>
      <c r="E3" s="43">
        <f>'数据-基础表'!AZ5</f>
        <v>88.45</v>
      </c>
      <c r="F3" s="2659"/>
      <c r="G3" s="1145"/>
      <c r="H3" s="1026" t="s">
        <v>1104</v>
      </c>
      <c r="I3" s="855" t="e">
        <f>ROUND('数据-基础表'!B3/'数据-基础表'!A3,2)</f>
        <v>#DIV/0!</v>
      </c>
      <c r="J3" s="2659"/>
      <c r="K3" s="2659"/>
      <c r="L3" s="2659"/>
      <c r="M3" s="2659"/>
      <c r="N3" s="2661"/>
      <c r="O3" s="2659"/>
      <c r="P3" s="2659"/>
    </row>
    <row r="4" spans="1:16" ht="15">
      <c r="A4" s="3537"/>
      <c r="B4" s="3538"/>
      <c r="C4" s="3539"/>
      <c r="D4" s="1641" t="s">
        <v>1105</v>
      </c>
      <c r="E4" s="1642" t="s">
        <v>1106</v>
      </c>
      <c r="F4" s="2659"/>
      <c r="G4" s="2652" t="s">
        <v>1131</v>
      </c>
      <c r="H4" s="1026" t="s">
        <v>1111</v>
      </c>
      <c r="I4" s="855" t="e">
        <f>ROUND(SUMIF('数据-基础表'!I9:AS9,"地上",'数据-基础表'!I5:AS5)/'数据-基础表'!A3,2)</f>
        <v>#DIV/0!</v>
      </c>
      <c r="J4" s="2659"/>
      <c r="K4" s="2659"/>
      <c r="L4" s="2659"/>
      <c r="M4" s="2659"/>
      <c r="N4" s="2661"/>
      <c r="O4" s="2659"/>
      <c r="P4" s="2659"/>
    </row>
    <row r="5" spans="1:16">
      <c r="A5" s="44" t="s">
        <v>1107</v>
      </c>
      <c r="B5" s="3540" t="s">
        <v>1108</v>
      </c>
      <c r="C5" s="3540"/>
      <c r="D5" s="45">
        <f>ROUND($D$3*E5/$E$3,2)</f>
        <v>0</v>
      </c>
      <c r="E5" s="46">
        <f>SUMIF('数据-基础表'!$11:$11,"住宅",'数据-基础表'!$5:$5)</f>
        <v>0</v>
      </c>
      <c r="F5" s="2659"/>
      <c r="G5" s="1145"/>
      <c r="H5" s="1026" t="s">
        <v>1104</v>
      </c>
      <c r="I5" s="855" t="e">
        <f>ROUND(E31/D31,2)</f>
        <v>#DIV/0!</v>
      </c>
      <c r="J5" s="2659"/>
      <c r="K5" s="2659"/>
      <c r="L5" s="2659"/>
      <c r="M5" s="2659"/>
      <c r="N5" s="2659"/>
      <c r="O5" s="2659"/>
      <c r="P5" s="2659"/>
    </row>
    <row r="6" spans="1:16" ht="15" thickBot="1">
      <c r="A6" s="1644"/>
      <c r="B6" s="3540" t="s">
        <v>1109</v>
      </c>
      <c r="C6" s="3540"/>
      <c r="D6" s="45">
        <f>ROUND($D$3*E6/$E$3,2)</f>
        <v>0</v>
      </c>
      <c r="E6" s="46">
        <f>E3-E5</f>
        <v>88.45</v>
      </c>
      <c r="F6" s="2659"/>
      <c r="G6" s="2653" t="s">
        <v>1110</v>
      </c>
      <c r="H6" s="1146" t="s">
        <v>1111</v>
      </c>
      <c r="I6" s="2654" t="e">
        <f>ROUND(F31/D31,2)</f>
        <v>#DIV/0!</v>
      </c>
      <c r="J6" s="2659"/>
      <c r="K6" s="2659"/>
      <c r="L6" s="2659"/>
      <c r="M6" s="2659"/>
      <c r="N6" s="2659"/>
      <c r="O6" s="2659"/>
      <c r="P6" s="2659"/>
    </row>
    <row r="7" spans="1:16" ht="15.75" thickBot="1">
      <c r="A7" s="3532"/>
      <c r="B7" s="3533"/>
      <c r="C7" s="3534"/>
      <c r="D7" s="1641" t="s">
        <v>1105</v>
      </c>
      <c r="E7" s="1645" t="s">
        <v>1112</v>
      </c>
      <c r="F7" s="2659"/>
      <c r="G7" s="2655" t="s">
        <v>1113</v>
      </c>
      <c r="H7" s="2656"/>
      <c r="I7" s="2657"/>
      <c r="J7" s="2659"/>
      <c r="K7" s="2659"/>
      <c r="L7" s="2659"/>
      <c r="M7" s="2659"/>
      <c r="N7" s="2659"/>
      <c r="O7" s="2659"/>
      <c r="P7" s="2659"/>
    </row>
    <row r="8" spans="1:16">
      <c r="A8" s="44" t="s">
        <v>1114</v>
      </c>
      <c r="B8" s="47" t="s">
        <v>1115</v>
      </c>
      <c r="C8" s="45" t="s">
        <v>1116</v>
      </c>
      <c r="D8" s="45">
        <f t="shared" ref="D8:D15" si="0">ROUND($D$3*E8/$E$3,2)</f>
        <v>0</v>
      </c>
      <c r="E8" s="48">
        <f>SUMIF('数据-基础表'!BB10:BK10,"地上",'数据-基础表'!BB5:BK5)</f>
        <v>88.45</v>
      </c>
      <c r="F8" s="2659"/>
      <c r="G8" s="2660"/>
      <c r="H8" s="2660"/>
      <c r="I8" s="2659"/>
      <c r="J8" s="2659"/>
      <c r="K8" s="2659"/>
      <c r="L8" s="2659"/>
      <c r="M8" s="2659"/>
      <c r="N8" s="2659"/>
      <c r="O8" s="2659"/>
      <c r="P8" s="2659"/>
    </row>
    <row r="9" spans="1:16">
      <c r="A9" s="1646"/>
      <c r="B9" s="1647"/>
      <c r="C9" s="45" t="s">
        <v>1117</v>
      </c>
      <c r="D9" s="45">
        <f t="shared" si="0"/>
        <v>0</v>
      </c>
      <c r="E9" s="49">
        <v>0</v>
      </c>
      <c r="F9" s="2659"/>
      <c r="G9" s="2660"/>
      <c r="H9" s="2660"/>
      <c r="I9" s="2659"/>
      <c r="J9" s="2659"/>
      <c r="K9" s="2659"/>
      <c r="L9" s="2659"/>
      <c r="M9" s="2659"/>
      <c r="N9" s="2659"/>
      <c r="O9" s="2659"/>
      <c r="P9" s="2659"/>
    </row>
    <row r="10" spans="1:16">
      <c r="A10" s="1646"/>
      <c r="B10" s="1647"/>
      <c r="C10" s="45" t="s">
        <v>1126</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1118</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1119</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1120</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1132</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1127</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1121</v>
      </c>
      <c r="D16" s="47">
        <f>SUM(D8:D15)</f>
        <v>0</v>
      </c>
      <c r="E16" s="50">
        <f>SUM(E8:E15)</f>
        <v>88.45</v>
      </c>
      <c r="F16" s="2659"/>
      <c r="G16" s="2660"/>
      <c r="H16" s="1648" t="s">
        <v>1133</v>
      </c>
      <c r="I16" s="1649"/>
      <c r="J16" s="1139"/>
      <c r="K16" s="3529" t="s">
        <v>1133</v>
      </c>
      <c r="L16" s="3530"/>
      <c r="M16" s="3530"/>
      <c r="N16" s="3530"/>
      <c r="O16" s="3530"/>
      <c r="P16" s="3531"/>
    </row>
    <row r="17" spans="1:19" ht="15">
      <c r="A17" s="1650" t="s">
        <v>1134</v>
      </c>
      <c r="B17" s="1651" t="s">
        <v>1135</v>
      </c>
      <c r="C17" s="1652" t="s">
        <v>1136</v>
      </c>
      <c r="D17" s="1653" t="s">
        <v>1124</v>
      </c>
      <c r="E17" s="1654" t="s">
        <v>1125</v>
      </c>
      <c r="F17" s="1655"/>
      <c r="G17" s="1656"/>
      <c r="H17" s="1657" t="s">
        <v>1137</v>
      </c>
      <c r="I17" s="1658" t="s">
        <v>1122</v>
      </c>
      <c r="J17" s="1139"/>
      <c r="K17" s="3526" t="s">
        <v>1138</v>
      </c>
      <c r="L17" s="3527"/>
      <c r="M17" s="3528"/>
      <c r="N17" s="3526" t="s">
        <v>1139</v>
      </c>
      <c r="O17" s="3527"/>
      <c r="P17" s="3528"/>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7" t="s">
        <v>3414</v>
      </c>
      <c r="D19" s="45">
        <f>ROUND($D$3*E19/$E$3,2)</f>
        <v>0</v>
      </c>
      <c r="E19" s="53">
        <f t="shared" ref="E19:E26" si="1">SUM(F19:G19)</f>
        <v>88.45</v>
      </c>
      <c r="F19" s="2795">
        <f>'数据-基础表'!I13</f>
        <v>88.45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88.45</v>
      </c>
    </row>
    <row r="20" spans="1:19">
      <c r="A20" s="1670"/>
      <c r="B20" s="47" t="s">
        <v>1151</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88.45</v>
      </c>
      <c r="F27" s="1140">
        <f>IF(SUM(F19:F26)=E8,SUM(F19:F26),"地上面积有误")</f>
        <v>88.45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88.45</v>
      </c>
    </row>
    <row r="28" spans="1:19">
      <c r="A28" s="1670"/>
      <c r="B28" s="47" t="s">
        <v>1153</v>
      </c>
      <c r="C28" s="1038" t="s">
        <v>1154</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1153</v>
      </c>
      <c r="C29" s="1674" t="s">
        <v>1155</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1152</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1156</v>
      </c>
      <c r="D31" s="676">
        <f>D27+D30</f>
        <v>0</v>
      </c>
      <c r="E31" s="676">
        <f>E27+E30</f>
        <v>88.45</v>
      </c>
      <c r="F31" s="677">
        <f>F27+F30</f>
        <v>88.45</v>
      </c>
      <c r="G31" s="678">
        <f>G27+G30</f>
        <v>0</v>
      </c>
      <c r="H31" s="2659"/>
      <c r="I31" s="2659"/>
      <c r="J31" s="2659"/>
      <c r="K31" s="2659"/>
      <c r="L31" s="2659"/>
      <c r="M31" s="2659"/>
      <c r="N31" s="2659"/>
      <c r="O31" s="2659"/>
      <c r="P31" s="2659"/>
    </row>
    <row r="32" spans="1:19">
      <c r="A32" s="1643"/>
      <c r="B32" s="1643" t="s">
        <v>1157</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W33" sqref="W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1159</v>
      </c>
      <c r="B2" s="1045">
        <f>项目基本情况!D3</f>
        <v>45076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8"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3384</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671</v>
      </c>
      <c r="D6" s="858">
        <f>SUMIF(项目基本情况!C$12:I$12,C6,项目基本情况!C$14:I$14)</f>
        <v>40</v>
      </c>
      <c r="E6" s="857">
        <f>IF(B6="","",SUMIF(项目基本情况!C$12:I$12,C6,项目基本情况!C$13:I$13))</f>
        <v>55348</v>
      </c>
      <c r="F6" s="64">
        <f>SUMIF(项目基本情况!C$12:I$12,C6,项目基本情况!C$15:I$15)</f>
        <v>28.14</v>
      </c>
      <c r="G6" s="65">
        <f>IF(ISERROR(ROUND(POWER(1+H6,D6-F6)*(POWER(1+H6,F6)-1)/(POWER(1+H6,D6)-1),3)),0,ROUND(POWER(1+H6,D6-F6)*(POWER(1+H6,F6)-1)/(POWER(1+H6,D6)-1),3))</f>
        <v>0.87</v>
      </c>
      <c r="H6" s="732">
        <v>0.05</v>
      </c>
      <c r="I6" s="732">
        <v>5.5E-2</v>
      </c>
      <c r="J6" s="66">
        <v>7.0000000000000007E-2</v>
      </c>
      <c r="K6" s="1030">
        <f>SUMIF('数据-汇总表'!C$19:C$33,A6,'数据-汇总表'!E$19:E$33)</f>
        <v>88.45</v>
      </c>
      <c r="L6" s="733">
        <v>3500</v>
      </c>
      <c r="M6" s="67">
        <f t="shared" ref="M6:M14" si="0">ROUND(K6*L6/10000,0)</f>
        <v>31</v>
      </c>
      <c r="N6" s="731">
        <f>ROUND(1-(2023-2014)/60,2)</f>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5.5</v>
      </c>
      <c r="V6" s="70">
        <v>2.5000000000000001E-2</v>
      </c>
      <c r="W6" s="70">
        <v>0.1</v>
      </c>
      <c r="X6" s="1040"/>
      <c r="Y6" s="71">
        <v>0.82</v>
      </c>
      <c r="Z6" s="72"/>
      <c r="AA6" s="66"/>
      <c r="AB6" s="66"/>
      <c r="AC6" s="1040"/>
      <c r="AD6" s="73"/>
      <c r="AE6" s="1041">
        <f ca="1">IF(AN6="",0,SUMIF(INDIRECT("'"&amp;AN6&amp;"'"&amp;"!E:E"),$AE$5,INDIRECT("'"&amp;AN6&amp;"'"&amp;"!F:F")))</f>
        <v>28.14</v>
      </c>
      <c r="AF6" s="1348"/>
      <c r="AG6" s="138">
        <f>IF(AF6="",0,AE6-AF6)</f>
        <v>0</v>
      </c>
      <c r="AH6" s="74"/>
      <c r="AI6" s="76">
        <v>365</v>
      </c>
      <c r="AJ6" s="77"/>
      <c r="AK6" s="78">
        <v>0.01</v>
      </c>
      <c r="AL6" s="79">
        <v>1.5E-3</v>
      </c>
      <c r="AM6" s="80">
        <v>0.01</v>
      </c>
      <c r="AN6" s="1715" t="s">
        <v>3386</v>
      </c>
      <c r="AO6" s="52">
        <f ca="1">SUMIF(INDIRECT("'"&amp;AN6&amp;"'"&amp;"!A:A"),"总价",INDIRECT("'"&amp;AN6&amp;"'"&amp;"!B:B"))</f>
        <v>267.2792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0.87</v>
      </c>
      <c r="H16" s="90">
        <f>ROUND(SUMPRODUCT(H6:H13,K6:K13)/SUMPRODUCT((H6:H13&gt;0)*(K6:K13)),3)</f>
        <v>0.05</v>
      </c>
      <c r="I16" s="91"/>
      <c r="J16" s="91"/>
      <c r="K16" s="92">
        <f>SUM(K6:K15)</f>
        <v>88.45</v>
      </c>
      <c r="L16" s="93">
        <f>ROUND(M16*10000/SUM(K6:K14),0)</f>
        <v>3505</v>
      </c>
      <c r="M16" s="93">
        <f>SUM(M6:M14)</f>
        <v>31</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1208</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1209</v>
      </c>
      <c r="B19" s="103">
        <v>0</v>
      </c>
      <c r="C19" s="2799" t="s">
        <v>2303</v>
      </c>
      <c r="D19" s="2676"/>
      <c r="E19" s="2673"/>
      <c r="F19" s="2673"/>
      <c r="G19" s="2673"/>
      <c r="H19" s="2673"/>
      <c r="I19" s="2673"/>
      <c r="J19" s="2673"/>
      <c r="K19" s="2672"/>
      <c r="L19" s="2672"/>
      <c r="M19" s="2671"/>
      <c r="N19" s="345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1210</v>
      </c>
      <c r="B20" s="104">
        <v>2</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1211</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1212</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1213</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1214</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1215</v>
      </c>
      <c r="B26" s="1726" t="s">
        <v>1216</v>
      </c>
      <c r="C26" s="2677" t="s">
        <v>1217</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1218</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c r="C29" s="2802" t="s">
        <v>2292</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0.05</v>
      </c>
      <c r="C33" s="2803" t="s">
        <v>2293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3" t="s">
        <v>2294</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3" t="s">
        <v>2296</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1228</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1229</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1230</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1231</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1232</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1233</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1234</v>
      </c>
      <c r="B44" s="119">
        <v>0.05</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1235</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1236</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1237</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1238</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1239</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1240</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1241</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1242</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1243</v>
      </c>
      <c r="B53" s="1738"/>
      <c r="C53" s="2661" t="s">
        <v>1244</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1245</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1246</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1247</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1248</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1249</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1250</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1251</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1252</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1253</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1254</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2284</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2250</v>
      </c>
      <c r="C3" s="2464" t="s">
        <v>2282</v>
      </c>
      <c r="D3" s="2465"/>
      <c r="E3" s="2442" t="s">
        <v>2281</v>
      </c>
      <c r="F3" s="2466" t="s">
        <v>2251</v>
      </c>
      <c r="G3" s="2467" t="s">
        <v>2283</v>
      </c>
      <c r="H3" s="799"/>
      <c r="I3" s="799"/>
      <c r="J3" s="799"/>
      <c r="K3" s="799"/>
      <c r="L3" s="799"/>
      <c r="M3" s="799"/>
      <c r="N3" s="799"/>
      <c r="O3" s="799"/>
      <c r="P3" s="799"/>
      <c r="Q3" s="799"/>
      <c r="R3" s="799"/>
    </row>
    <row r="4" spans="1:29" ht="36.75">
      <c r="A4" s="2442"/>
      <c r="B4" s="323" t="s">
        <v>2252</v>
      </c>
      <c r="C4" s="2468" t="s">
        <v>2253</v>
      </c>
      <c r="D4" s="2465"/>
      <c r="E4" s="2469"/>
      <c r="F4" s="1373" t="s">
        <v>2254</v>
      </c>
      <c r="G4" s="2470" t="s">
        <v>2255</v>
      </c>
      <c r="H4" s="799"/>
      <c r="I4" s="799"/>
      <c r="J4" s="799"/>
      <c r="K4" s="799"/>
      <c r="L4" s="799"/>
      <c r="M4" s="799"/>
      <c r="N4" s="799"/>
      <c r="O4" s="799"/>
      <c r="P4" s="799"/>
      <c r="Q4" s="799"/>
      <c r="R4" s="799"/>
    </row>
    <row r="5" spans="1:29" ht="36.75">
      <c r="A5" s="2442"/>
      <c r="B5" s="323" t="s">
        <v>2256</v>
      </c>
      <c r="C5" s="2468" t="s">
        <v>2257</v>
      </c>
      <c r="D5" s="2465"/>
      <c r="E5" s="2469"/>
      <c r="F5" s="323" t="s">
        <v>2258</v>
      </c>
      <c r="G5" s="2470" t="s">
        <v>2259</v>
      </c>
      <c r="H5" s="799"/>
      <c r="I5" s="799"/>
      <c r="J5" s="799"/>
      <c r="K5" s="799"/>
      <c r="L5" s="799"/>
      <c r="M5" s="799"/>
      <c r="N5" s="799"/>
      <c r="O5" s="799"/>
      <c r="P5" s="799"/>
      <c r="Q5" s="799"/>
      <c r="R5" s="799"/>
    </row>
    <row r="6" spans="1:29" ht="36">
      <c r="A6" s="2442"/>
      <c r="B6" s="323" t="s">
        <v>2260</v>
      </c>
      <c r="C6" s="2470" t="s">
        <v>2255</v>
      </c>
      <c r="D6" s="2465"/>
      <c r="E6" s="2469"/>
      <c r="F6" s="323" t="s">
        <v>2261</v>
      </c>
      <c r="G6" s="2470" t="s">
        <v>2262</v>
      </c>
      <c r="H6" s="799"/>
      <c r="I6" s="799"/>
      <c r="J6" s="799"/>
      <c r="K6" s="799"/>
      <c r="L6" s="799"/>
      <c r="M6" s="799"/>
      <c r="N6" s="799"/>
      <c r="O6" s="799"/>
      <c r="P6" s="799"/>
      <c r="Q6" s="799"/>
      <c r="R6" s="799"/>
    </row>
    <row r="7" spans="1:29" ht="24.75" thickBot="1">
      <c r="A7" s="2442"/>
      <c r="B7" s="323" t="s">
        <v>2258</v>
      </c>
      <c r="C7" s="2470" t="s">
        <v>2259</v>
      </c>
      <c r="D7" s="2471"/>
      <c r="E7" s="2472"/>
      <c r="F7" s="2473" t="s">
        <v>2263</v>
      </c>
      <c r="G7" s="2474" t="s">
        <v>2264</v>
      </c>
      <c r="H7" s="799"/>
      <c r="I7" s="799"/>
      <c r="J7" s="799"/>
      <c r="K7" s="799"/>
      <c r="L7" s="799"/>
      <c r="M7" s="799"/>
      <c r="N7" s="799"/>
      <c r="O7" s="799"/>
      <c r="P7" s="799"/>
      <c r="Q7" s="799"/>
      <c r="R7" s="799"/>
    </row>
    <row r="8" spans="1:29">
      <c r="A8" s="2442"/>
      <c r="B8" s="323" t="s">
        <v>2261</v>
      </c>
      <c r="C8" s="2470" t="s">
        <v>2262</v>
      </c>
      <c r="D8" s="2471"/>
      <c r="E8" s="2471"/>
      <c r="F8" s="2475"/>
      <c r="G8" s="2475"/>
      <c r="H8" s="799"/>
      <c r="I8" s="799"/>
      <c r="J8" s="799"/>
      <c r="K8" s="799"/>
      <c r="L8" s="799"/>
      <c r="M8" s="799"/>
      <c r="N8" s="799"/>
      <c r="O8" s="799"/>
      <c r="P8" s="799"/>
      <c r="Q8" s="799"/>
      <c r="R8" s="799"/>
    </row>
    <row r="9" spans="1:29" ht="24">
      <c r="A9" s="2442"/>
      <c r="B9" s="323" t="s">
        <v>2265</v>
      </c>
      <c r="C9" s="2468" t="s">
        <v>2266</v>
      </c>
      <c r="D9" s="2465"/>
      <c r="E9" s="2471"/>
      <c r="F9" s="2475"/>
      <c r="G9" s="2475"/>
      <c r="H9" s="799"/>
      <c r="I9" s="799"/>
      <c r="J9" s="799"/>
      <c r="K9" s="799"/>
      <c r="L9" s="799"/>
      <c r="M9" s="799"/>
      <c r="N9" s="799"/>
      <c r="O9" s="799"/>
      <c r="P9" s="799"/>
      <c r="Q9" s="799"/>
      <c r="R9" s="799"/>
    </row>
    <row r="10" spans="1:29" s="2481" customFormat="1" ht="15" thickBot="1">
      <c r="A10" s="2443"/>
      <c r="B10" s="2476" t="s">
        <v>2267</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2285</v>
      </c>
      <c r="B13" s="2484"/>
      <c r="C13" s="2484"/>
      <c r="D13" s="2482"/>
      <c r="E13" s="2484"/>
      <c r="F13" s="2484"/>
      <c r="G13" s="2484"/>
    </row>
    <row r="14" spans="1:29" ht="15" thickBot="1">
      <c r="A14" s="2494"/>
      <c r="B14" s="2494"/>
      <c r="C14" s="2495" t="s">
        <v>2268</v>
      </c>
      <c r="D14" s="2465"/>
      <c r="E14" s="2496"/>
      <c r="F14" s="2496"/>
      <c r="G14" s="2460" t="s">
        <v>2269</v>
      </c>
    </row>
    <row r="15" spans="1:29" ht="51">
      <c r="A15" s="2444" t="s">
        <v>2270</v>
      </c>
      <c r="B15" s="2497" t="s">
        <v>2250</v>
      </c>
      <c r="C15" s="2498" t="str">
        <f>C3</f>
        <v>估价对象周边居住用地比例、居住小区规模和社区发展完善程度，综合评价居住社区成熟度一般</v>
      </c>
      <c r="D15" s="2465"/>
      <c r="E15" s="2445" t="s">
        <v>2271</v>
      </c>
      <c r="F15" s="2497" t="s">
        <v>2272</v>
      </c>
      <c r="G15" s="2499" t="str">
        <f>G3</f>
        <v>估价对象位于XX开发区，园区建设成熟度XX，产业集聚程度XX</v>
      </c>
    </row>
    <row r="16" spans="1:29" ht="38.25">
      <c r="A16" s="2446"/>
      <c r="B16" s="2500" t="s">
        <v>2252</v>
      </c>
      <c r="C16" s="2501" t="str">
        <f>C4</f>
        <v>估价对象位于XX商圈，周边商业氛围成熟，人流量大，商业繁华度好</v>
      </c>
      <c r="D16" s="2465"/>
      <c r="E16" s="2447"/>
      <c r="F16" s="2502" t="s">
        <v>2254</v>
      </c>
      <c r="G16" s="2503" t="str">
        <f>G4</f>
        <v>估价对象周边道路状况、公共交通通达情况、停车便捷程度，综合评价交通便捷度较好</v>
      </c>
    </row>
    <row r="17" spans="1:18" ht="38.25">
      <c r="A17" s="2446"/>
      <c r="B17" s="2500" t="s">
        <v>2256</v>
      </c>
      <c r="C17" s="2501" t="str">
        <f>C5</f>
        <v>估价对象位于XX商圈，周边办公楼项目较多，入驻率高，办公集聚程度较好</v>
      </c>
      <c r="D17" s="2471"/>
      <c r="E17" s="2447"/>
      <c r="F17" s="2502" t="s">
        <v>2273</v>
      </c>
      <c r="G17" s="2504"/>
    </row>
    <row r="18" spans="1:18" ht="38.25">
      <c r="A18" s="2446"/>
      <c r="B18" s="2502" t="s">
        <v>2260</v>
      </c>
      <c r="C18" s="2503" t="str">
        <f>C6</f>
        <v>估价对象周边道路状况、公共交通通达情况、停车便捷程度，综合评价交通便捷度较好</v>
      </c>
      <c r="D18" s="2471"/>
      <c r="E18" s="2447"/>
      <c r="F18" s="2502" t="s">
        <v>2263</v>
      </c>
      <c r="G18" s="2503" t="str">
        <f>G7</f>
        <v>该园区内是否有污染型企业，绿化情况，卫生条件，整体环境状况判断</v>
      </c>
    </row>
    <row r="19" spans="1:18" ht="25.5">
      <c r="A19" s="2446"/>
      <c r="B19" s="2502" t="s">
        <v>2274</v>
      </c>
      <c r="C19" s="2504"/>
      <c r="D19" s="2465"/>
      <c r="E19" s="2447"/>
      <c r="F19" s="323" t="s">
        <v>2258</v>
      </c>
      <c r="G19" s="2503" t="str">
        <f>G5</f>
        <v>估价对象所在区域公共配套设施齐备情况</v>
      </c>
    </row>
    <row r="20" spans="1:18" ht="25.5">
      <c r="A20" s="2446"/>
      <c r="B20" s="2502" t="s">
        <v>2275</v>
      </c>
      <c r="C20" s="2501" t="str">
        <f>C9</f>
        <v>区域自然环境：；人文环境；综合评价环境状况一般</v>
      </c>
      <c r="D20" s="2471"/>
      <c r="E20" s="2447"/>
      <c r="F20" s="323" t="s">
        <v>2261</v>
      </c>
      <c r="G20" s="2503" t="str">
        <f>G6</f>
        <v>估价对象所在区域基础设施水平</v>
      </c>
    </row>
    <row r="21" spans="1:18" ht="25.5">
      <c r="A21" s="2446"/>
      <c r="B21" s="323" t="s">
        <v>2258</v>
      </c>
      <c r="C21" s="2503" t="str">
        <f>C7</f>
        <v>估价对象所在区域公共配套设施齐备情况</v>
      </c>
      <c r="D21" s="2465"/>
      <c r="E21" s="2447"/>
      <c r="F21" s="2502" t="s">
        <v>2276</v>
      </c>
      <c r="G21" s="2505"/>
    </row>
    <row r="22" spans="1:18" ht="13.5" customHeight="1">
      <c r="A22" s="2446"/>
      <c r="B22" s="323" t="s">
        <v>2261</v>
      </c>
      <c r="C22" s="2503" t="str">
        <f>C8</f>
        <v>估价对象所在区域基础设施水平</v>
      </c>
      <c r="D22" s="2465"/>
      <c r="E22" s="2447"/>
      <c r="F22" s="2502" t="s">
        <v>2267</v>
      </c>
      <c r="G22" s="2504"/>
    </row>
    <row r="23" spans="1:18" s="799" customFormat="1" ht="15" thickBot="1">
      <c r="A23" s="2446"/>
      <c r="B23" s="2502" t="s">
        <v>2276</v>
      </c>
      <c r="C23" s="2505"/>
      <c r="D23" s="1741"/>
      <c r="E23" s="2448"/>
      <c r="F23" s="2506" t="s">
        <v>2277</v>
      </c>
      <c r="G23" s="2507"/>
      <c r="H23" s="2491"/>
      <c r="I23" s="2492"/>
      <c r="J23" s="2491"/>
      <c r="K23" s="2491"/>
      <c r="L23" s="2492"/>
      <c r="M23" s="2491"/>
      <c r="N23" s="2491"/>
      <c r="O23" s="2492"/>
      <c r="P23" s="2491"/>
      <c r="Q23" s="2491"/>
      <c r="R23" s="2493"/>
    </row>
    <row r="24" spans="1:18" s="799" customFormat="1" ht="15" thickBot="1">
      <c r="A24" s="2449"/>
      <c r="B24" s="2506" t="s">
        <v>2278</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46" sqref="I46"/>
    </sheetView>
  </sheetViews>
  <sheetFormatPr defaultColWidth="9" defaultRowHeight="13.5"/>
  <cols>
    <col min="1" max="1" width="25" style="2513" customWidth="1"/>
    <col min="2" max="9" width="15.75" style="2513" customWidth="1"/>
    <col min="10" max="16384" width="9" style="2513"/>
  </cols>
  <sheetData>
    <row r="1" spans="1:11" ht="16.5">
      <c r="A1" s="2512" t="s">
        <v>663</v>
      </c>
      <c r="B1" s="2512">
        <f>SUM(B14:B23)</f>
        <v>88.45</v>
      </c>
      <c r="C1" s="2686"/>
      <c r="D1" s="2686"/>
      <c r="E1" s="2686"/>
      <c r="F1" s="2686"/>
      <c r="G1" s="2687"/>
      <c r="H1" s="2688"/>
      <c r="I1" s="2688"/>
      <c r="J1" s="2688"/>
      <c r="K1" s="2688"/>
    </row>
    <row r="2" spans="1:11" ht="16.5">
      <c r="A2" s="2512" t="s">
        <v>651</v>
      </c>
      <c r="B2" s="2512">
        <f>SUM(C14:C23)</f>
        <v>0</v>
      </c>
      <c r="C2" s="2686"/>
      <c r="D2" s="2686"/>
      <c r="E2" s="2686"/>
      <c r="F2" s="2686"/>
      <c r="G2" s="2687"/>
      <c r="H2" s="2688"/>
      <c r="I2" s="2688"/>
      <c r="J2" s="2688"/>
      <c r="K2" s="2688"/>
    </row>
    <row r="3" spans="1:11" ht="16.5">
      <c r="A3" s="2512" t="s">
        <v>660</v>
      </c>
      <c r="B3" s="2514">
        <f>项目基本情况!D3</f>
        <v>45076</v>
      </c>
      <c r="C3" s="2686"/>
      <c r="D3" s="2686"/>
      <c r="E3" s="2686"/>
      <c r="F3" s="2686"/>
      <c r="G3" s="2687"/>
      <c r="H3" s="2688"/>
      <c r="I3" s="2688"/>
      <c r="J3" s="2688"/>
      <c r="K3" s="2688"/>
    </row>
    <row r="4" spans="1:11" ht="33">
      <c r="A4" s="2512" t="s">
        <v>659</v>
      </c>
      <c r="B4" s="2512" t="s">
        <v>658</v>
      </c>
      <c r="C4" s="2512" t="s">
        <v>657</v>
      </c>
      <c r="D4" s="2512" t="s">
        <v>656</v>
      </c>
      <c r="E4" s="2686"/>
      <c r="F4" s="2687"/>
      <c r="G4" s="2687"/>
      <c r="H4" s="2688"/>
      <c r="I4" s="2688"/>
      <c r="J4" s="2688"/>
      <c r="K4" s="2688"/>
    </row>
    <row r="5" spans="1:11" ht="16.5">
      <c r="A5" s="2512" t="s">
        <v>655</v>
      </c>
      <c r="B5" s="2512">
        <f ca="1">SUM(D14:D23)</f>
        <v>280</v>
      </c>
      <c r="C5" s="2512">
        <f ca="1">IF(B5=D14,结果表!H102,ROUND(B5*10000/$B$1,0))</f>
        <v>31617</v>
      </c>
      <c r="D5" s="2512" t="e">
        <f ca="1">ROUND(B5*10000/$B$2,0)</f>
        <v>#DIV/0!</v>
      </c>
      <c r="E5" s="2686"/>
      <c r="F5" s="2687"/>
      <c r="G5" s="2687"/>
      <c r="H5" s="2688"/>
      <c r="I5" s="2688"/>
      <c r="J5" s="2688"/>
      <c r="K5" s="2688"/>
    </row>
    <row r="6" spans="1:11" ht="16.5">
      <c r="A6" s="2512" t="s">
        <v>654</v>
      </c>
      <c r="B6" s="2512">
        <f ca="1">SUM(G14:G23)</f>
        <v>280</v>
      </c>
      <c r="C6" s="2512">
        <f ca="1">IF(B6=G14,结果表!H108,ROUND(B6*10000/$B$1,0))</f>
        <v>31617</v>
      </c>
      <c r="D6" s="2512" t="e">
        <f ca="1">ROUND(B6*10000/$B$2,0)</f>
        <v>#DIV/0!</v>
      </c>
      <c r="E6" s="2686"/>
      <c r="F6" s="2687"/>
      <c r="G6" s="2687"/>
      <c r="H6" s="2688"/>
      <c r="I6" s="2688"/>
      <c r="J6" s="2688"/>
      <c r="K6" s="2688"/>
    </row>
    <row r="7" spans="1:11" ht="16.5">
      <c r="A7" s="2512" t="s">
        <v>662</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653</v>
      </c>
      <c r="B9" s="2520"/>
      <c r="C9" s="2686"/>
      <c r="D9" s="2686"/>
      <c r="E9" s="2686"/>
      <c r="F9" s="2687"/>
      <c r="G9" s="2687"/>
      <c r="H9" s="2688"/>
      <c r="I9" s="2688"/>
      <c r="J9" s="2688"/>
      <c r="K9" s="2688"/>
    </row>
    <row r="10" spans="1:11" ht="16.5">
      <c r="A10" s="2512" t="s">
        <v>652</v>
      </c>
      <c r="B10" s="2512">
        <f>IF(E10="",0,ROUND(B1*(E10*365/G10)/10000,0))</f>
        <v>0</v>
      </c>
      <c r="C10" s="2512" t="s">
        <v>3359</v>
      </c>
      <c r="D10" s="2512" t="s">
        <v>3360</v>
      </c>
      <c r="E10" s="3441"/>
      <c r="F10" s="3445" t="s">
        <v>3361</v>
      </c>
      <c r="G10" s="3442"/>
      <c r="H10" s="2688"/>
      <c r="I10" s="2688"/>
      <c r="J10" s="2688"/>
      <c r="K10" s="2688"/>
    </row>
    <row r="11" spans="1:11" ht="16.5">
      <c r="A11" s="2512" t="s">
        <v>668</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667</v>
      </c>
      <c r="B13" s="2516" t="s">
        <v>664</v>
      </c>
      <c r="C13" s="2516" t="s">
        <v>666</v>
      </c>
      <c r="D13" s="2516" t="s">
        <v>665</v>
      </c>
      <c r="E13" s="2512" t="s">
        <v>657</v>
      </c>
      <c r="F13" s="2512" t="s">
        <v>656</v>
      </c>
      <c r="G13" s="2516" t="s">
        <v>650</v>
      </c>
      <c r="H13" s="2516" t="s">
        <v>661</v>
      </c>
      <c r="I13" s="2516" t="s">
        <v>649</v>
      </c>
      <c r="J13" s="2687"/>
      <c r="K13" s="2688"/>
    </row>
    <row r="14" spans="1:11" ht="16.5">
      <c r="A14" s="2517"/>
      <c r="B14" s="2518">
        <f>结果表!B118</f>
        <v>88.45</v>
      </c>
      <c r="C14" s="2518"/>
      <c r="D14" s="2518">
        <f ca="1">结果表!H118</f>
        <v>280</v>
      </c>
      <c r="E14" s="2518">
        <f ca="1">ROUND(D14*10000/B14,0)</f>
        <v>31656</v>
      </c>
      <c r="F14" s="2518" t="e">
        <f ca="1">ROUND(D14*10000/C14,0)</f>
        <v>#DIV/0!</v>
      </c>
      <c r="G14" s="2518">
        <f ca="1">D14</f>
        <v>280</v>
      </c>
      <c r="H14" s="2518"/>
      <c r="I14" s="2518"/>
      <c r="J14" s="2687"/>
      <c r="K14" s="2688"/>
    </row>
    <row r="15" spans="1:11" ht="16.5">
      <c r="A15" s="2517"/>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8" zoomScale="70" zoomScaleNormal="100" zoomScaleSheetLayoutView="70" zoomScalePageLayoutView="80" workbookViewId="0">
      <selection activeCell="M125" sqref="M1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t="s">
        <v>3406</v>
      </c>
      <c r="H1" s="1750" t="str">
        <f>IF(G1="现房","——","估价对象范围")</f>
        <v>——</v>
      </c>
      <c r="I1" s="1751" t="s">
        <v>3407</v>
      </c>
    </row>
    <row r="2" spans="1:12" ht="21.75" customHeight="1" thickBot="1">
      <c r="A2" s="3577" t="str">
        <f>项目基本情况!S2</f>
        <v>北京市顺义区梅香街9号院12号楼1层104房地产</v>
      </c>
      <c r="B2" s="3578"/>
      <c r="C2" s="3578"/>
      <c r="D2" s="3578"/>
      <c r="E2" s="3578"/>
      <c r="F2" s="3578"/>
      <c r="G2" s="3578"/>
      <c r="H2" s="3578"/>
      <c r="I2" s="3579"/>
    </row>
    <row r="3" spans="1:12" ht="12.75">
      <c r="A3" s="3581" t="s">
        <v>1262</v>
      </c>
      <c r="B3" s="3582"/>
      <c r="C3" s="3582"/>
      <c r="D3" s="3582"/>
      <c r="E3" s="3582"/>
      <c r="F3" s="3582"/>
      <c r="G3" s="3582"/>
      <c r="H3" s="3582"/>
      <c r="I3" s="3582"/>
    </row>
    <row r="4" spans="1:12" ht="14.25">
      <c r="A4" s="1754" t="s">
        <v>1263</v>
      </c>
      <c r="B4" s="1755" t="s">
        <v>1264</v>
      </c>
      <c r="C4" s="1756" t="s">
        <v>3415</v>
      </c>
      <c r="D4" s="1756" t="s">
        <v>3386</v>
      </c>
      <c r="E4" s="3583" t="s">
        <v>1265</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1266</v>
      </c>
      <c r="B5" s="3544">
        <v>25</v>
      </c>
      <c r="C5" s="3560"/>
      <c r="D5" s="3580"/>
      <c r="E5" s="131" t="s">
        <v>1267</v>
      </c>
      <c r="F5" s="1757"/>
      <c r="G5" s="1757"/>
      <c r="H5" s="1757"/>
      <c r="I5" s="1373"/>
    </row>
    <row r="6" spans="1:12" ht="12.75">
      <c r="A6" s="3557"/>
      <c r="B6" s="3544"/>
      <c r="C6" s="3561"/>
      <c r="D6" s="3580"/>
      <c r="E6" s="131" t="s">
        <v>1268</v>
      </c>
      <c r="F6" s="1757"/>
      <c r="G6" s="1757"/>
      <c r="H6" s="1757"/>
      <c r="I6" s="1373"/>
    </row>
    <row r="7" spans="1:12" ht="12.75">
      <c r="A7" s="3557"/>
      <c r="B7" s="3544"/>
      <c r="C7" s="3562"/>
      <c r="D7" s="3580"/>
      <c r="E7" s="131" t="s">
        <v>1269</v>
      </c>
      <c r="F7" s="1757"/>
      <c r="G7" s="1757"/>
      <c r="H7" s="1757"/>
      <c r="I7" s="1373"/>
    </row>
    <row r="8" spans="1:12" ht="12.75">
      <c r="A8" s="3557" t="s">
        <v>1270</v>
      </c>
      <c r="B8" s="3544">
        <v>15</v>
      </c>
      <c r="C8" s="3560"/>
      <c r="D8" s="3580"/>
      <c r="E8" s="131" t="s">
        <v>1271</v>
      </c>
      <c r="F8" s="1757"/>
      <c r="G8" s="1757"/>
      <c r="H8" s="1757"/>
      <c r="I8" s="1373"/>
    </row>
    <row r="9" spans="1:12" ht="12.75">
      <c r="A9" s="3557"/>
      <c r="B9" s="3544"/>
      <c r="C9" s="3562"/>
      <c r="D9" s="3580"/>
      <c r="E9" s="131" t="s">
        <v>1272</v>
      </c>
      <c r="F9" s="1757"/>
      <c r="G9" s="1757"/>
      <c r="H9" s="1757"/>
      <c r="I9" s="1373"/>
    </row>
    <row r="10" spans="1:12" ht="12.75">
      <c r="A10" s="3557" t="s">
        <v>1273</v>
      </c>
      <c r="B10" s="3544">
        <v>15</v>
      </c>
      <c r="C10" s="3560"/>
      <c r="D10" s="3580"/>
      <c r="E10" s="131" t="s">
        <v>1274</v>
      </c>
      <c r="F10" s="1757"/>
      <c r="G10" s="1757"/>
      <c r="H10" s="1757"/>
      <c r="I10" s="1373"/>
    </row>
    <row r="11" spans="1:12" ht="12.75">
      <c r="A11" s="3557"/>
      <c r="B11" s="3544"/>
      <c r="C11" s="3562"/>
      <c r="D11" s="3580"/>
      <c r="E11" s="131" t="s">
        <v>1275</v>
      </c>
      <c r="F11" s="1757"/>
      <c r="G11" s="1757"/>
      <c r="H11" s="1757"/>
      <c r="I11" s="1373"/>
    </row>
    <row r="12" spans="1:12" ht="12.75">
      <c r="A12" s="3557" t="s">
        <v>1276</v>
      </c>
      <c r="B12" s="3544">
        <v>15</v>
      </c>
      <c r="C12" s="3560"/>
      <c r="D12" s="3580"/>
      <c r="E12" s="131" t="s">
        <v>1277</v>
      </c>
      <c r="F12" s="1757"/>
      <c r="G12" s="1757"/>
      <c r="H12" s="1757"/>
      <c r="I12" s="1373"/>
    </row>
    <row r="13" spans="1:12" ht="12.75">
      <c r="A13" s="3557"/>
      <c r="B13" s="3544"/>
      <c r="C13" s="3562"/>
      <c r="D13" s="3580"/>
      <c r="E13" s="131" t="s">
        <v>1278</v>
      </c>
      <c r="F13" s="1757"/>
      <c r="G13" s="1757"/>
      <c r="H13" s="1757"/>
      <c r="I13" s="1373"/>
    </row>
    <row r="14" spans="1:12" ht="12.75">
      <c r="A14" s="3557" t="s">
        <v>1279</v>
      </c>
      <c r="B14" s="3544">
        <v>30</v>
      </c>
      <c r="C14" s="3560">
        <v>5</v>
      </c>
      <c r="D14" s="3580">
        <v>5</v>
      </c>
      <c r="E14" s="131" t="s">
        <v>1280</v>
      </c>
      <c r="F14" s="1757"/>
      <c r="G14" s="1757"/>
      <c r="H14" s="1757"/>
      <c r="I14" s="1373"/>
    </row>
    <row r="15" spans="1:12" ht="12.75">
      <c r="A15" s="3557"/>
      <c r="B15" s="3544"/>
      <c r="C15" s="3561"/>
      <c r="D15" s="3580"/>
      <c r="E15" s="131" t="s">
        <v>1281</v>
      </c>
      <c r="F15" s="1757"/>
      <c r="G15" s="1757"/>
      <c r="H15" s="1757"/>
      <c r="I15" s="1373"/>
    </row>
    <row r="16" spans="1:12" ht="12.75">
      <c r="A16" s="3557"/>
      <c r="B16" s="3544"/>
      <c r="C16" s="3562"/>
      <c r="D16" s="3580"/>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567" t="s">
        <v>2129</v>
      </c>
      <c r="F18" s="3568"/>
      <c r="G18" s="3568"/>
      <c r="H18" s="3568"/>
      <c r="I18" s="3568"/>
      <c r="K18" s="302" t="s">
        <v>1287</v>
      </c>
      <c r="L18" s="302">
        <f>IF(C1="",'数据-汇总表'!E3,SUMIF(项目类型,C1,'数据-汇总表'!E17:E26)+SUMIF(项目类型,C1,'数据-汇总表'!I17:I26))</f>
        <v>88.45</v>
      </c>
      <c r="M18" s="302">
        <f>IF(C1="",'数据-汇总表'!E3,SUMIF(项目类型,C1,'数据-汇总表'!E17:E26))</f>
        <v>88.45</v>
      </c>
    </row>
    <row r="19" spans="1:36" ht="15">
      <c r="A19" s="1761" t="s">
        <v>1288</v>
      </c>
      <c r="B19" s="1762" t="s">
        <v>1289</v>
      </c>
      <c r="C19" s="134">
        <f ca="1">SUMIF(INDIRECT("'"&amp;C4&amp;"'"&amp;"!A:A"),结果表!B19,INDIRECT("'"&amp;C4&amp;"'"&amp;"!B:B"))</f>
        <v>292.0265</v>
      </c>
      <c r="D19" s="135">
        <f ca="1">SUMIF(INDIRECT("'"&amp;D4&amp;"'"&amp;"!A:A"),结果表!B19,INDIRECT("'"&amp;D4&amp;"'"&amp;"!B:B"))</f>
        <v>267.2792</v>
      </c>
      <c r="E19" s="1761" t="s">
        <v>1290</v>
      </c>
      <c r="F19" s="1762" t="s">
        <v>1289</v>
      </c>
      <c r="G19" s="136">
        <f ca="1">ROUND(C19*$C$18+D19*$D$18,0)</f>
        <v>280</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33016</v>
      </c>
      <c r="D20" s="138">
        <f ca="1">SUMIF(INDIRECT("'"&amp;D4&amp;"'"&amp;"!A:A"),结果表!B20,INDIRECT("'"&amp;D4&amp;"'"&amp;"!B:B"))</f>
        <v>30218</v>
      </c>
      <c r="E20" s="1764"/>
      <c r="F20" s="1026" t="s">
        <v>1293</v>
      </c>
      <c r="G20" s="139">
        <f ca="1">ROUND(C20*$C$18+D20*$D$18,0)</f>
        <v>31617</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9.2589696467214821E-2</v>
      </c>
      <c r="E22" s="129"/>
      <c r="F22" s="129"/>
      <c r="G22" s="129"/>
      <c r="H22" s="129"/>
      <c r="I22" s="129"/>
    </row>
    <row r="23" spans="1:36" ht="13.5" thickBot="1">
      <c r="A23" s="1747"/>
      <c r="B23" s="1747"/>
      <c r="C23" s="1747"/>
      <c r="D23" s="1747"/>
      <c r="E23" s="129"/>
      <c r="F23" s="129"/>
      <c r="G23" s="129"/>
      <c r="H23" s="129"/>
      <c r="I23" s="129"/>
    </row>
    <row r="24" spans="1:36" ht="14.25">
      <c r="A24" s="3551" t="s">
        <v>1297</v>
      </c>
      <c r="B24" s="1762" t="s">
        <v>1289</v>
      </c>
      <c r="C24" s="136">
        <f>IF(B30=0,0,D30)</f>
        <v>0</v>
      </c>
      <c r="D24" s="1769"/>
      <c r="E24" s="129"/>
      <c r="F24" s="129"/>
      <c r="G24" s="129"/>
      <c r="H24" s="129"/>
      <c r="I24" s="129"/>
    </row>
    <row r="25" spans="1:36" ht="14.25">
      <c r="A25" s="3552"/>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31617</v>
      </c>
      <c r="D32" s="1775" t="s">
        <v>3408</v>
      </c>
      <c r="E32" s="129"/>
      <c r="F32" s="129"/>
      <c r="G32" s="129"/>
      <c r="H32" s="129"/>
      <c r="I32" s="129"/>
    </row>
    <row r="33" spans="1:15" ht="15">
      <c r="A33" s="786" t="s">
        <v>1304</v>
      </c>
      <c r="B33" s="1776"/>
      <c r="C33" s="1777" t="s">
        <v>3409</v>
      </c>
      <c r="D33" s="1778"/>
      <c r="E33" s="1779" t="s">
        <v>1305</v>
      </c>
      <c r="F33" s="1780" t="str">
        <f>IF(D32="楼面单价","取值（单价）","取值（总价）")</f>
        <v>取值（单价）</v>
      </c>
      <c r="G33" s="129"/>
      <c r="H33" s="129"/>
      <c r="I33" s="129"/>
    </row>
    <row r="34" spans="1:15" ht="15">
      <c r="A34" s="1781"/>
      <c r="B34" s="1782" t="s">
        <v>1306</v>
      </c>
      <c r="C34" s="148">
        <f>IF(C33="自定义",F34,C32-C35)</f>
        <v>0</v>
      </c>
      <c r="D34" s="861">
        <f ca="1">IF(C33="自定义",ROUND(C34/C32,3),IF(C33="收益比率",SUMIF(INDIRECT("'"&amp;D33&amp;"'"&amp;"!b:b"),"土地收益比率",INDIRECT("'"&amp;D33&amp;"'"&amp;"!c:c")),SUMIF(INDIRECT("'"&amp;D33&amp;"'"&amp;"!b:b"),"土地成本比率",INDIRECT("'"&amp;D33&amp;"'"&amp;"!c:c"))))</f>
        <v>0</v>
      </c>
      <c r="E34" s="1783" t="s">
        <v>1307</v>
      </c>
      <c r="F34" s="1330"/>
      <c r="G34" s="129"/>
      <c r="H34" s="129"/>
      <c r="I34" s="129"/>
    </row>
    <row r="35" spans="1:15" ht="15.75" thickBot="1">
      <c r="A35" s="1784"/>
      <c r="B35" s="1785" t="s">
        <v>1308</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1309</v>
      </c>
      <c r="F35" s="154"/>
      <c r="G35" s="129"/>
      <c r="H35" s="129"/>
      <c r="I35" s="129"/>
    </row>
    <row r="36" spans="1:15" ht="15.75" thickBot="1">
      <c r="A36" s="3571" t="s">
        <v>1310</v>
      </c>
      <c r="B36" s="1787" t="s">
        <v>1311</v>
      </c>
      <c r="C36" s="145"/>
      <c r="D36" s="1788"/>
      <c r="E36" s="1789"/>
      <c r="F36" s="1790"/>
      <c r="G36" s="129"/>
      <c r="H36" s="129"/>
      <c r="I36" s="129"/>
    </row>
    <row r="37" spans="1:15" ht="15.75" thickBot="1">
      <c r="A37" s="3572"/>
      <c r="B37" s="1674" t="s">
        <v>1312</v>
      </c>
      <c r="C37" s="147"/>
      <c r="D37" s="1139"/>
      <c r="E37" s="1139"/>
      <c r="F37" s="1790"/>
      <c r="G37" s="129"/>
      <c r="H37" s="129"/>
      <c r="I37" s="129"/>
    </row>
    <row r="38" spans="1:15" ht="15.75" thickBot="1">
      <c r="A38" s="3573"/>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548" t="s">
        <v>1324</v>
      </c>
      <c r="B45" s="3549"/>
      <c r="C45" s="3550"/>
      <c r="D45" s="155">
        <f ca="1">ROUND(H101*F45,0)</f>
        <v>280</v>
      </c>
      <c r="E45" s="156" t="s">
        <v>1325</v>
      </c>
      <c r="F45" s="157">
        <v>1</v>
      </c>
      <c r="G45" s="158" t="s">
        <v>1326</v>
      </c>
      <c r="H45" s="129"/>
      <c r="I45" s="129"/>
      <c r="J45" s="3626" t="s">
        <v>1327</v>
      </c>
      <c r="K45" s="3626"/>
      <c r="L45" s="3626"/>
      <c r="M45" s="3626"/>
      <c r="N45" s="3626"/>
      <c r="O45" s="3626"/>
    </row>
    <row r="46" spans="1:15" ht="14.25" customHeight="1">
      <c r="A46" s="3545" t="s">
        <v>1328</v>
      </c>
      <c r="B46" s="3546"/>
      <c r="C46" s="3546"/>
      <c r="D46" s="3546"/>
      <c r="E46" s="3546"/>
      <c r="F46" s="3546"/>
      <c r="G46" s="3547"/>
      <c r="H46" s="1806"/>
      <c r="I46" s="159"/>
      <c r="J46" s="2523">
        <v>1</v>
      </c>
      <c r="K46" s="3607" t="s">
        <v>1329</v>
      </c>
      <c r="L46" s="3607"/>
      <c r="M46" s="3627"/>
      <c r="N46" s="3627"/>
      <c r="O46" s="3627"/>
    </row>
    <row r="47" spans="1:15" ht="12" customHeight="1">
      <c r="A47" s="160" t="s">
        <v>1330</v>
      </c>
      <c r="B47" s="161"/>
      <c r="C47" s="162"/>
      <c r="D47" s="1087" t="s">
        <v>1331</v>
      </c>
      <c r="E47" s="302" t="s">
        <v>1332</v>
      </c>
      <c r="F47" s="163" t="s">
        <v>1333</v>
      </c>
      <c r="G47" s="2546" t="s">
        <v>1334</v>
      </c>
      <c r="H47" s="2547"/>
      <c r="I47" s="159"/>
      <c r="J47" s="2523">
        <v>2</v>
      </c>
      <c r="K47" s="3607" t="s">
        <v>1335</v>
      </c>
      <c r="L47" s="3607"/>
      <c r="M47" s="3628">
        <f>'数据-取费表'!B2</f>
        <v>45076</v>
      </c>
      <c r="N47" s="3628"/>
      <c r="O47" s="3628"/>
    </row>
    <row r="48" spans="1:15" ht="25.5">
      <c r="A48" s="3576" t="s">
        <v>1336</v>
      </c>
      <c r="B48" s="3559"/>
      <c r="C48" s="355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1337</v>
      </c>
      <c r="H48" s="2550"/>
      <c r="I48" s="1806"/>
      <c r="J48" s="2523">
        <v>3</v>
      </c>
      <c r="K48" s="3607" t="s">
        <v>1338</v>
      </c>
      <c r="L48" s="3607"/>
      <c r="M48" s="3629">
        <f ca="1">H101</f>
        <v>280</v>
      </c>
      <c r="N48" s="3629"/>
      <c r="O48" s="3629"/>
    </row>
    <row r="49" spans="1:35" ht="25.5" customHeight="1">
      <c r="A49" s="2333" t="s">
        <v>1339</v>
      </c>
      <c r="B49" s="3543" t="s">
        <v>1340</v>
      </c>
      <c r="C49" s="3543"/>
      <c r="D49" s="1590">
        <v>0</v>
      </c>
      <c r="E49" s="324" t="s">
        <v>1341</v>
      </c>
      <c r="F49" s="2424" t="s">
        <v>28</v>
      </c>
      <c r="G49" s="3613"/>
      <c r="H49" s="2310" t="s">
        <v>2132</v>
      </c>
      <c r="I49" s="2311"/>
      <c r="J49" s="2523">
        <v>4</v>
      </c>
      <c r="K49" s="3607" t="str">
        <f>IF(项目基本情况!E8="房地产抵押价值","房地产抵押价值","抵押担保权已注销时的房地产抵押价值")</f>
        <v>房地产抵押价值</v>
      </c>
      <c r="L49" s="3607"/>
      <c r="M49" s="3629">
        <f ca="1">IF(项目基本情况!E8="房地产抵押价值",H107,H109)</f>
        <v>280</v>
      </c>
      <c r="N49" s="3629"/>
      <c r="O49" s="3629"/>
    </row>
    <row r="50" spans="1:35" ht="25.5" customHeight="1">
      <c r="A50" s="2551"/>
      <c r="B50" s="3543" t="s">
        <v>1342</v>
      </c>
      <c r="C50" s="3543"/>
      <c r="D50" s="2552"/>
      <c r="E50" s="332"/>
      <c r="F50" s="2424"/>
      <c r="G50" s="3614"/>
      <c r="H50" s="2312" t="s">
        <v>2133</v>
      </c>
      <c r="I50" s="2311"/>
      <c r="J50" s="3626" t="s">
        <v>1343</v>
      </c>
      <c r="K50" s="3626"/>
      <c r="L50" s="3626"/>
      <c r="M50" s="3626"/>
      <c r="N50" s="3626"/>
      <c r="O50" s="3626"/>
    </row>
    <row r="51" spans="1:35" ht="20.45" customHeight="1">
      <c r="A51" s="2553"/>
      <c r="B51" s="3543" t="s">
        <v>1344</v>
      </c>
      <c r="C51" s="3543"/>
      <c r="D51" s="1087"/>
      <c r="E51" s="327"/>
      <c r="F51" s="2424"/>
      <c r="G51" s="3615"/>
      <c r="H51" s="2312" t="s">
        <v>2134</v>
      </c>
      <c r="I51" s="2311"/>
      <c r="J51" s="2524" t="s">
        <v>1345</v>
      </c>
      <c r="K51" s="3607" t="s">
        <v>1346</v>
      </c>
      <c r="L51" s="3607"/>
      <c r="M51" s="2524" t="s">
        <v>1347</v>
      </c>
      <c r="N51" s="2524" t="s">
        <v>1348</v>
      </c>
      <c r="O51" s="2524" t="s">
        <v>1349</v>
      </c>
    </row>
    <row r="52" spans="1:35" ht="24" customHeight="1">
      <c r="A52" s="2335" t="s">
        <v>1350</v>
      </c>
      <c r="B52" s="3543" t="s">
        <v>1351</v>
      </c>
      <c r="C52" s="3543"/>
      <c r="D52" s="1087">
        <f ca="1">ROUND(D45*'数据-取费表'!B41/(1+'数据-取费表'!C42),0)</f>
        <v>15</v>
      </c>
      <c r="E52" s="2334" t="s">
        <v>1352</v>
      </c>
      <c r="F52" s="2554">
        <f>'数据-取费表'!B41</f>
        <v>5.5000000000000007E-2</v>
      </c>
      <c r="G52" s="2555"/>
      <c r="H52" s="2544"/>
      <c r="I52" s="1807"/>
      <c r="J52" s="2523">
        <v>1</v>
      </c>
      <c r="K52" s="3608" t="s">
        <v>1353</v>
      </c>
      <c r="L52" s="3608"/>
      <c r="M52" s="2525" t="b">
        <f>D48</f>
        <v>0</v>
      </c>
      <c r="N52" s="2523" t="str">
        <f>E48</f>
        <v>销售额×税（费）率</v>
      </c>
      <c r="O52" s="2526">
        <f>F48</f>
        <v>5.5000000000000007E-2</v>
      </c>
    </row>
    <row r="53" spans="1:35" ht="12" customHeight="1">
      <c r="A53" s="2335" t="s">
        <v>1354</v>
      </c>
      <c r="B53" s="3569" t="s">
        <v>2289</v>
      </c>
      <c r="C53" s="3570"/>
      <c r="D53" s="1087">
        <f ca="1">ROUND(D45*'数据-取费表'!B41/(1+'数据-取费表'!C42),0)</f>
        <v>15</v>
      </c>
      <c r="E53" s="2334" t="s">
        <v>1352</v>
      </c>
      <c r="F53" s="2554">
        <f>'数据-取费表'!B41</f>
        <v>5.5000000000000007E-2</v>
      </c>
      <c r="G53" s="2555"/>
      <c r="H53" s="2544"/>
      <c r="I53" s="1807"/>
      <c r="J53" s="2523">
        <v>2</v>
      </c>
      <c r="K53" s="3608" t="s">
        <v>1355</v>
      </c>
      <c r="L53" s="3608"/>
      <c r="M53" s="2525">
        <f t="shared" ref="M53:O54" ca="1" si="0">D55</f>
        <v>0</v>
      </c>
      <c r="N53" s="2523" t="str">
        <f t="shared" si="0"/>
        <v>销售额×税（费）率</v>
      </c>
      <c r="O53" s="2526" t="str">
        <f t="shared" si="0"/>
        <v>免征</v>
      </c>
    </row>
    <row r="54" spans="1:35" ht="12" customHeight="1">
      <c r="A54" s="2335" t="s">
        <v>1356</v>
      </c>
      <c r="B54" s="3569" t="s">
        <v>2290</v>
      </c>
      <c r="C54" s="3570"/>
      <c r="D54" s="1087">
        <f ca="1">C68</f>
        <v>15</v>
      </c>
      <c r="E54" s="327" t="s">
        <v>1357</v>
      </c>
      <c r="F54" s="2554">
        <f>'数据-取费表'!B41</f>
        <v>5.5000000000000007E-2</v>
      </c>
      <c r="G54" s="2555"/>
      <c r="H54" s="2556"/>
      <c r="I54" s="1807"/>
      <c r="J54" s="2523">
        <v>3</v>
      </c>
      <c r="K54" s="3608" t="s">
        <v>1358</v>
      </c>
      <c r="L54" s="3608"/>
      <c r="M54" s="2525">
        <f t="shared" ca="1" si="0"/>
        <v>159</v>
      </c>
      <c r="N54" s="2523" t="str">
        <f t="shared" si="0"/>
        <v>增值额×税（费）率</v>
      </c>
      <c r="O54" s="2527" t="str">
        <f t="shared" si="0"/>
        <v>免征</v>
      </c>
    </row>
    <row r="55" spans="1:35" ht="24" customHeight="1">
      <c r="A55" s="3558" t="s">
        <v>1359</v>
      </c>
      <c r="B55" s="3559"/>
      <c r="C55" s="3559"/>
      <c r="D55" s="2324">
        <f ca="1">IF(H55="个人住宅",0,ROUND(D45*I55,0))</f>
        <v>0</v>
      </c>
      <c r="E55" s="2334" t="s">
        <v>1360</v>
      </c>
      <c r="F55" s="2554" t="str">
        <f>IF(H55="正常",I55,"免征")</f>
        <v>免征</v>
      </c>
      <c r="G55" s="2555"/>
      <c r="H55" s="2550"/>
      <c r="I55" s="165">
        <f>'数据-取费表'!B49</f>
        <v>5.0000000000000001E-4</v>
      </c>
      <c r="J55" s="2523">
        <f>IF(H59="非个人房产","",4)</f>
        <v>4</v>
      </c>
      <c r="K55" s="3608" t="str">
        <f>IF(H59="非个人房产","——","个人所得税")</f>
        <v>个人所得税</v>
      </c>
      <c r="L55" s="3608"/>
      <c r="M55" s="2528">
        <f ca="1">D59</f>
        <v>3</v>
      </c>
      <c r="N55" s="2040" t="str">
        <f>E59</f>
        <v>差额计税</v>
      </c>
      <c r="O55" s="2529">
        <f>F59</f>
        <v>0.01</v>
      </c>
    </row>
    <row r="56" spans="1:35" ht="24.75">
      <c r="A56" s="3558" t="s">
        <v>1361</v>
      </c>
      <c r="B56" s="3559"/>
      <c r="C56" s="3559"/>
      <c r="D56" s="2324">
        <f ca="1">IF(H56="个人住宅",D57,D58)</f>
        <v>159</v>
      </c>
      <c r="E56" s="2334" t="s">
        <v>1362</v>
      </c>
      <c r="F56" s="2554" t="str">
        <f>IF(H56="正常",F58,"免征")</f>
        <v>免征</v>
      </c>
      <c r="G56" s="2557" t="s">
        <v>1363</v>
      </c>
      <c r="H56" s="2558"/>
      <c r="I56" s="1808"/>
      <c r="J56" s="2523" t="str">
        <f>IF(项目基本情况!K6="上海银行",IF(J55="",4,J55+1),"")</f>
        <v/>
      </c>
      <c r="K56" s="3631" t="str">
        <f>IF(项目基本情况!K6="上海银行","其他处置费用","")</f>
        <v/>
      </c>
      <c r="L56" s="3632"/>
      <c r="M56" s="2525" t="str">
        <f>IF(项目基本情况!K6="上海银行",M69,"")</f>
        <v/>
      </c>
      <c r="N56" s="3631" t="str">
        <f>IF(项目基本情况!K6="上海银行","包含处置中涉及的律师、诉讼、拍卖、评估等费用","")</f>
        <v/>
      </c>
      <c r="O56" s="3634"/>
    </row>
    <row r="57" spans="1:35" ht="12.75">
      <c r="A57" s="2335" t="s">
        <v>1339</v>
      </c>
      <c r="B57" s="3569" t="s">
        <v>1364</v>
      </c>
      <c r="C57" s="3570"/>
      <c r="D57" s="1590">
        <v>0</v>
      </c>
      <c r="E57" s="324" t="s">
        <v>1341</v>
      </c>
      <c r="F57" s="302"/>
      <c r="G57" s="2555"/>
      <c r="H57" s="2559"/>
      <c r="I57" s="1808"/>
      <c r="J57" s="3608">
        <f>IF(AND(J55="",J56=""),4,IF(项目基本情况!K6="上海银行",结果表!J56+1,结果表!J55+1))</f>
        <v>5</v>
      </c>
      <c r="K57" s="3608" t="s">
        <v>1365</v>
      </c>
      <c r="L57" s="2530" t="s">
        <v>1366</v>
      </c>
      <c r="M57" s="2531"/>
      <c r="N57" s="2532">
        <f ca="1">SUMIF(M52:M56,"&lt;9e307")</f>
        <v>162</v>
      </c>
      <c r="O57" s="2533"/>
      <c r="P57" s="2690">
        <f ca="1">N57/M49</f>
        <v>0.57857142857142863</v>
      </c>
    </row>
    <row r="58" spans="1:35" ht="24.75">
      <c r="A58" s="2335" t="s">
        <v>1350</v>
      </c>
      <c r="B58" s="3569" t="s">
        <v>1367</v>
      </c>
      <c r="C58" s="3543"/>
      <c r="D58" s="2324">
        <f ca="1">IF(H58="转让取得",C81,C97)</f>
        <v>159</v>
      </c>
      <c r="E58" s="2334" t="s">
        <v>1362</v>
      </c>
      <c r="F58" s="302" t="s">
        <v>28</v>
      </c>
      <c r="G58" s="2555"/>
      <c r="H58" s="2558"/>
      <c r="I58" s="1808"/>
      <c r="J58" s="3608"/>
      <c r="K58" s="3608"/>
      <c r="L58" s="2530" t="s">
        <v>1368</v>
      </c>
      <c r="M58" s="2534"/>
      <c r="N58" s="2535" t="str">
        <f ca="1">NUMBERSTRING(INT(N57*10000),2)&amp;"元整"</f>
        <v>壹佰陆拾贰万元整</v>
      </c>
      <c r="O58" s="2536"/>
    </row>
    <row r="59" spans="1:35" ht="24.75" thickBot="1">
      <c r="A59" s="3611" t="s">
        <v>1369</v>
      </c>
      <c r="B59" s="3612"/>
      <c r="C59" s="3612"/>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1363</v>
      </c>
      <c r="H59" s="2314"/>
      <c r="I59" s="2313" t="s">
        <v>2135</v>
      </c>
      <c r="J59" s="3609">
        <f>J57+1</f>
        <v>6</v>
      </c>
      <c r="K59" s="3608" t="s">
        <v>1370</v>
      </c>
      <c r="L59" s="2523" t="s">
        <v>1366</v>
      </c>
      <c r="M59" s="2537"/>
      <c r="N59" s="2538">
        <f ca="1">M49-N57</f>
        <v>118</v>
      </c>
      <c r="O59" s="2539"/>
    </row>
    <row r="60" spans="1:35" ht="12" customHeight="1">
      <c r="A60" s="1809"/>
      <c r="B60" s="1747"/>
      <c r="C60" s="1747"/>
      <c r="D60" s="1747"/>
      <c r="E60" s="1578"/>
      <c r="F60" s="1808"/>
      <c r="G60" s="1808"/>
      <c r="H60" s="1810"/>
      <c r="I60" s="129"/>
      <c r="J60" s="3610"/>
      <c r="K60" s="3608"/>
      <c r="L60" s="2530" t="s">
        <v>1368</v>
      </c>
      <c r="M60" s="2534"/>
      <c r="N60" s="2535" t="str">
        <f ca="1">NUMBERSTRING(INT(N59*10000),2)&amp;"元整"</f>
        <v>壹佰壹拾捌万元整</v>
      </c>
      <c r="O60" s="2536"/>
    </row>
    <row r="61" spans="1:35" ht="13.5" thickBot="1">
      <c r="A61" s="3556" t="s">
        <v>1371</v>
      </c>
      <c r="B61" s="3556"/>
      <c r="C61" s="3556"/>
      <c r="D61" s="3556"/>
      <c r="E61" s="3556"/>
      <c r="F61" s="1808"/>
      <c r="G61" s="1808"/>
      <c r="H61" s="1810"/>
      <c r="I61" s="129"/>
      <c r="J61" s="2523">
        <f>J59+1</f>
        <v>7</v>
      </c>
      <c r="K61" s="3608" t="s">
        <v>1372</v>
      </c>
      <c r="L61" s="3608"/>
      <c r="M61" s="2540"/>
      <c r="N61" s="2541">
        <f ca="1">ROUND(N59*10000/'数据-汇总表'!E3,0)</f>
        <v>13341</v>
      </c>
      <c r="O61" s="2542"/>
    </row>
    <row r="62" spans="1:35" ht="12.75">
      <c r="A62" s="3574" t="s">
        <v>1373</v>
      </c>
      <c r="B62" s="3575"/>
      <c r="C62" s="2021"/>
      <c r="D62" s="2021" t="s">
        <v>1374</v>
      </c>
      <c r="E62" s="166" t="s">
        <v>1375</v>
      </c>
      <c r="F62" s="1808"/>
      <c r="G62" s="1808"/>
      <c r="H62" s="1810"/>
      <c r="I62" s="129"/>
    </row>
    <row r="63" spans="1:35" ht="12.75">
      <c r="A63" s="173" t="s">
        <v>330</v>
      </c>
      <c r="B63" s="167" t="s">
        <v>1376</v>
      </c>
      <c r="C63" s="2564">
        <f ca="1">ROUND((C64+C65)/(1+'数据-取费表'!C42),0)</f>
        <v>267</v>
      </c>
      <c r="D63" s="167"/>
      <c r="E63" s="168"/>
      <c r="F63" s="1808"/>
      <c r="G63" s="1808"/>
      <c r="H63" s="1810"/>
      <c r="I63" s="129"/>
      <c r="J63" s="3633" t="s">
        <v>1377</v>
      </c>
      <c r="K63" s="1332" t="s">
        <v>1378</v>
      </c>
      <c r="L63" s="1332">
        <f ca="1">IF(M49&gt;10000,M49*0.5%,IF(AND(M49&gt;1000,M49&lt;=10000),M49*1%,IF(AND(M49&gt;100,M49&lt;=1000),M49*3%,IF(AND(M49&gt;10,M49&lt;=100),M49*5%,M49*8%))))</f>
        <v>8.4</v>
      </c>
      <c r="M63" s="302">
        <f ca="1">ROUND(L63,1)</f>
        <v>8.4</v>
      </c>
      <c r="N63" s="2543"/>
      <c r="Z63" s="1752"/>
      <c r="AI63" s="1753"/>
    </row>
    <row r="64" spans="1:35" ht="14.25" customHeight="1">
      <c r="A64" s="169" t="s">
        <v>325</v>
      </c>
      <c r="B64" s="170" t="s">
        <v>1379</v>
      </c>
      <c r="C64" s="2565">
        <f ca="1">D45</f>
        <v>280</v>
      </c>
      <c r="D64" s="170" t="s">
        <v>26</v>
      </c>
      <c r="E64" s="172"/>
      <c r="F64" s="1808"/>
      <c r="G64" s="1808"/>
      <c r="H64" s="1810"/>
      <c r="I64" s="129"/>
      <c r="J64" s="3633"/>
      <c r="K64" s="1332" t="s">
        <v>1380</v>
      </c>
      <c r="L64" s="1332">
        <f ca="1">IF(M49&gt;2000,M49*0.5%,IF(AND(M49&gt;1000,M49&lt;=2000),M49*0.6%,IF(AND(M49&gt;500,M49&lt;=1000),M49*0.7%,IF(AND(M49&gt;200,M49&lt;=500),M49*0.8%,IF(AND(M49&gt;100,M49&lt;=200),M49*0.9%,IF(AND(M49&gt;50,M49&lt;=100),M49*1%,IF(AND(M49&gt;20,M49&lt;=50),M49*1.5%,IF(AND(M49&gt;10,M49&lt;=20),M49*2%,IF(AND(M49&gt;1,M49&lt;=10),M49*2.5%)))))))))</f>
        <v>2.2400000000000002</v>
      </c>
      <c r="M64" s="302">
        <f t="shared" ref="M64:M65" ca="1" si="1">ROUND(L64,1)</f>
        <v>2.2000000000000002</v>
      </c>
      <c r="N64" s="2544" t="s">
        <v>1381</v>
      </c>
      <c r="Z64" s="1752"/>
      <c r="AI64" s="1753"/>
    </row>
    <row r="65" spans="1:35" ht="14.25" customHeight="1">
      <c r="A65" s="169" t="s">
        <v>326</v>
      </c>
      <c r="B65" s="170" t="s">
        <v>1382</v>
      </c>
      <c r="C65" s="2566"/>
      <c r="D65" s="170"/>
      <c r="E65" s="172"/>
      <c r="F65" s="1808"/>
      <c r="G65" s="1808"/>
      <c r="H65" s="1810"/>
      <c r="I65" s="129"/>
      <c r="J65" s="3633"/>
      <c r="K65" s="1332" t="s">
        <v>1383</v>
      </c>
      <c r="L65" s="1332">
        <f ca="1">IF(M49&gt;1000,M49*0.1%,IF(AND(M49&gt;500,M49&lt;=1000),M49*0.5%,IF(AND(M49&gt;50,M49&lt;=500),M49*1%,IF(AND(M49&gt;1,M49&lt;=50),M49*1.5%))))</f>
        <v>2.8000000000000003</v>
      </c>
      <c r="M65" s="302">
        <f t="shared" ca="1" si="1"/>
        <v>2.8</v>
      </c>
      <c r="N65" s="2544" t="s">
        <v>1381</v>
      </c>
      <c r="Z65" s="1752"/>
      <c r="AI65" s="1753"/>
    </row>
    <row r="66" spans="1:35" ht="14.25" customHeight="1">
      <c r="A66" s="173" t="s">
        <v>327</v>
      </c>
      <c r="B66" s="174" t="s">
        <v>1384</v>
      </c>
      <c r="C66" s="2567"/>
      <c r="D66" s="174" t="s">
        <v>26</v>
      </c>
      <c r="E66" s="1338" t="s">
        <v>669</v>
      </c>
      <c r="F66" s="1808"/>
      <c r="G66" s="1808"/>
      <c r="H66" s="1810"/>
      <c r="I66" s="129"/>
      <c r="J66" s="3633"/>
      <c r="K66" s="1332" t="s">
        <v>1385</v>
      </c>
      <c r="L66" s="1332">
        <f ca="1">M49*0.5%</f>
        <v>1.4000000000000001</v>
      </c>
      <c r="M66" s="302">
        <f ca="1">IF(L66&gt;0.5,0.5,ROUND(L66,0))</f>
        <v>0.5</v>
      </c>
      <c r="N66" s="2544" t="s">
        <v>1386</v>
      </c>
      <c r="Z66" s="1752"/>
      <c r="AI66" s="1753"/>
    </row>
    <row r="67" spans="1:35" ht="14.25" customHeight="1">
      <c r="A67" s="173" t="s">
        <v>328</v>
      </c>
      <c r="B67" s="174" t="s">
        <v>1387</v>
      </c>
      <c r="C67" s="2568">
        <f ca="1">C63-C66</f>
        <v>267</v>
      </c>
      <c r="D67" s="170" t="s">
        <v>26</v>
      </c>
      <c r="E67" s="172"/>
      <c r="F67" s="1808"/>
      <c r="G67" s="1808"/>
      <c r="H67" s="1810"/>
      <c r="I67" s="129"/>
      <c r="J67" s="3633"/>
      <c r="K67" s="1332" t="s">
        <v>1388</v>
      </c>
      <c r="L67" s="1332">
        <f ca="1">IF(M49&gt;=10000,(8.25+(M49-10000)*0.01%),IF(AND(M49&gt;=8000,M49&lt;10000),(7.85+(M49-8000)*0.02%),IF(AND(M49&gt;=5000,M49&lt;8000),(6.65+(M49-5000)*0.04%),IF(AND(M49&gt;=2000,M49&lt;5000),(4.25+(PM49-2000)*0.08%),IF(AND(M49&gt;=1000,M49&lt;2000),(2.75+(M49-1000)*0.15%),IF(AND(M49&gt;=100,M49&lt;1000),(0.5+(M49-100)*0.25%),IF(AND(M49&gt;0,M49&lt;100),M49*0.5%)))))))</f>
        <v>0.95</v>
      </c>
      <c r="M67" s="302">
        <f ca="1">ROUND(L67*0.9,1)</f>
        <v>0.9</v>
      </c>
      <c r="N67" s="2543"/>
      <c r="Z67" s="1752"/>
      <c r="AI67" s="1753"/>
    </row>
    <row r="68" spans="1:35" ht="14.25" customHeight="1" thickBot="1">
      <c r="A68" s="176" t="s">
        <v>329</v>
      </c>
      <c r="B68" s="177" t="s">
        <v>1389</v>
      </c>
      <c r="C68" s="2569">
        <f ca="1">IF(C67&lt;=0,0,ROUND(C67*D68,0))</f>
        <v>15</v>
      </c>
      <c r="D68" s="2570">
        <f>'数据-取费表'!B41</f>
        <v>5.5000000000000007E-2</v>
      </c>
      <c r="E68" s="178"/>
      <c r="F68" s="1808"/>
      <c r="G68" s="1808"/>
      <c r="H68" s="1810"/>
      <c r="I68" s="129"/>
      <c r="J68" s="3633"/>
      <c r="K68" s="1332" t="s">
        <v>1390</v>
      </c>
      <c r="L68" s="1332">
        <f ca="1">IF(M49&gt;10000,M49*0.5%,IF(AND(M49&gt;5000,M49&lt;=10000),M49*1%,IF(AND(M49&gt;1000,M49&lt;=5000),M49*2%,IF(AND(M49&gt;200,M49&lt;=1000),M49*3%,M49*5%))))</f>
        <v>8.4</v>
      </c>
      <c r="M68" s="302">
        <f ca="1">ROUND(L68,1)</f>
        <v>8.4</v>
      </c>
      <c r="N68" s="2543"/>
      <c r="Z68" s="1752"/>
      <c r="AI68" s="1753"/>
    </row>
    <row r="69" spans="1:35" s="1772" customFormat="1" ht="16.5" customHeight="1">
      <c r="A69" s="1811"/>
      <c r="B69" s="1812"/>
      <c r="C69" s="1813"/>
      <c r="D69" s="1814"/>
      <c r="E69" s="1815"/>
      <c r="F69" s="1578"/>
      <c r="G69" s="1578"/>
      <c r="H69" s="1577"/>
      <c r="I69" s="1747"/>
      <c r="J69" s="3633"/>
      <c r="K69" s="1332" t="s">
        <v>1391</v>
      </c>
      <c r="L69" s="1332"/>
      <c r="M69" s="302">
        <f ca="1">ROUND(SUM(M63:M68),0)</f>
        <v>23</v>
      </c>
      <c r="N69" s="2545">
        <f ca="1">M69/M49</f>
        <v>8.2142857142857142E-2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1392</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1373</v>
      </c>
      <c r="B71" s="3575"/>
      <c r="C71" s="2021"/>
      <c r="D71" s="2021" t="s">
        <v>1374</v>
      </c>
      <c r="E71" s="179" t="s">
        <v>1375</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8">
        <f ca="1">ROUND(D45/(1+'数据-取费表'!C42),0)</f>
        <v>267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71"/>
      <c r="D75" s="170" t="s">
        <v>26</v>
      </c>
      <c r="E75" s="184" t="s">
        <v>1397</v>
      </c>
      <c r="F75" s="2572"/>
      <c r="G75" s="184" t="s">
        <v>1398</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4">
        <v>0.05</v>
      </c>
      <c r="E76" s="3569" t="s">
        <v>1400</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5">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6">
        <f ca="1">ROUND(D45*D78/(1+'数据-取费表'!C42),0)</f>
        <v>1</v>
      </c>
      <c r="D78" s="2577">
        <f>'数据-取费表'!B43</f>
        <v>5.000000000000001E-3</v>
      </c>
      <c r="E78" s="3553" t="s">
        <v>1404</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8">
        <f ca="1">C72-C73</f>
        <v>266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8">
        <f ca="1">IF(C79&lt;=0,0,C79/C73)</f>
        <v>266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9">
        <f ca="1">ROUND(IF(C79&lt;=0,0,IF(C80&gt;=200%,C79*60%-C73*35%,IF(C80&gt;=100%,C79*50%-C73*15%,IF(C80&gt;=50%,C79*40%-C73*5%,IF(C80&lt;50%,C79*30%,0))))),0)</f>
        <v>159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1408</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1373</v>
      </c>
      <c r="B84" s="3575"/>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8">
        <f ca="1">ROUND(D45/(1+'数据-取费表'!C42),0)</f>
        <v>267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2"/>
      <c r="D88" s="2577"/>
      <c r="E88" s="193" t="s">
        <v>1411</v>
      </c>
      <c r="F88" s="2327"/>
      <c r="G88" s="194" t="s">
        <v>1412</v>
      </c>
      <c r="H88" s="1824"/>
      <c r="I88" s="1821"/>
      <c r="J88" s="2521"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6">
        <f>ROUND(C88*D89,0)</f>
        <v>0</v>
      </c>
      <c r="D89" s="2577">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2"/>
      <c r="D90" s="2577"/>
      <c r="E90" s="193" t="str">
        <f>IF(H88="-","土地取得成本中已包含该笔费用"," ")</f>
        <v xml:space="preserve"> </v>
      </c>
      <c r="F90" s="2327"/>
      <c r="G90" s="3635" t="s">
        <v>2127</v>
      </c>
      <c r="H90" s="3636"/>
      <c r="I90" s="1821"/>
      <c r="J90" s="2521"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6">
        <f>IF(H91="——",成本法!C33,I91)</f>
        <v>0</v>
      </c>
      <c r="D91" s="2577"/>
      <c r="E91" s="3553" t="s">
        <v>1417</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6">
        <f>ROUND((C87+C90+C91)*D92,0)</f>
        <v>0</v>
      </c>
      <c r="D92" s="2583"/>
      <c r="E92" s="3553" t="s">
        <v>1420</v>
      </c>
      <c r="F92" s="3554"/>
      <c r="G92" s="3554"/>
      <c r="H92" s="3563"/>
      <c r="I92" s="1821"/>
      <c r="J92" s="2522"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6">
        <f ca="1">ROUND(D45*D93/(1+'数据-取费表'!C42),0)</f>
        <v>1</v>
      </c>
      <c r="D93" s="2577">
        <f>'数据-取费表'!B43</f>
        <v>5.000000000000001E-3</v>
      </c>
      <c r="E93" s="3553" t="s">
        <v>1404</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2">
        <f>ROUND((C87+C90+C91)*D94,0)</f>
        <v>0</v>
      </c>
      <c r="D94" s="2577">
        <v>0.2</v>
      </c>
      <c r="E94" s="3564" t="s">
        <v>1424</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8">
        <f ca="1">ROUND(C85-C86,0)</f>
        <v>266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8">
        <f ca="1">IF(C95&lt;=0,0,C95/C86)</f>
        <v>266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9">
        <f ca="1">ROUND(IF(C95&lt;=0,0,IF(C96&gt;=200%,C95*60%-C86*35%,IF(C96&gt;=100%,C95*50%-C86*15%,IF(C96&gt;=50%,C95*40%-C86*5%,IF(C96&lt;50%,C95*30%,0))))),0)</f>
        <v>159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37" t="s">
        <v>1426</v>
      </c>
      <c r="B100" s="3538"/>
      <c r="C100" s="3538"/>
      <c r="D100" s="3555"/>
      <c r="E100" s="3538" t="s">
        <v>1427</v>
      </c>
      <c r="F100" s="3538"/>
      <c r="G100" s="3538"/>
      <c r="H100" s="3555"/>
      <c r="I100" s="129"/>
    </row>
    <row r="101" spans="1:35" ht="18.75" customHeight="1">
      <c r="A101" s="3616" t="s">
        <v>1428</v>
      </c>
      <c r="B101" s="3617"/>
      <c r="C101" s="2585" t="str">
        <f>C4</f>
        <v>比较法-商业</v>
      </c>
      <c r="D101" s="2586" t="str">
        <f>D4</f>
        <v>收益法 (元)</v>
      </c>
      <c r="E101" s="3630" t="s">
        <v>1429</v>
      </c>
      <c r="F101" s="3587"/>
      <c r="G101" s="1827" t="s">
        <v>1430</v>
      </c>
      <c r="H101" s="2595">
        <f ca="1">H118</f>
        <v>280</v>
      </c>
      <c r="I101" s="129"/>
    </row>
    <row r="102" spans="1:35" ht="18.75" customHeight="1">
      <c r="A102" s="3589" t="s">
        <v>1431</v>
      </c>
      <c r="B102" s="2584" t="s">
        <v>1430</v>
      </c>
      <c r="C102" s="2585">
        <f ca="1">IF(D32="楼面单价",ROUND(C19,0),C19)</f>
        <v>292</v>
      </c>
      <c r="D102" s="2586">
        <f ca="1">IF(D32="楼面单价",ROUND(D19,0),D19)</f>
        <v>267</v>
      </c>
      <c r="E102" s="3630"/>
      <c r="F102" s="3587"/>
      <c r="G102" s="1827" t="s">
        <v>1432</v>
      </c>
      <c r="H102" s="2555">
        <f ca="1">I118</f>
        <v>31617</v>
      </c>
      <c r="I102" s="129"/>
    </row>
    <row r="103" spans="1:35" ht="42.75" customHeight="1">
      <c r="A103" s="3589"/>
      <c r="B103" s="2584" t="s">
        <v>1432</v>
      </c>
      <c r="C103" s="2587">
        <f ca="1">C20</f>
        <v>33016</v>
      </c>
      <c r="D103" s="2588">
        <f ca="1">D20</f>
        <v>30218</v>
      </c>
      <c r="E103" s="3624" t="s">
        <v>1433</v>
      </c>
      <c r="F103" s="3625"/>
      <c r="G103" s="1828" t="s">
        <v>1434</v>
      </c>
      <c r="H103" s="2595">
        <f>IF(D36="正常操作",H104+H105+H106,H105+H106)</f>
        <v>0</v>
      </c>
      <c r="I103" s="129"/>
    </row>
    <row r="104" spans="1:35" ht="18.75" customHeight="1">
      <c r="A104" s="3589" t="s">
        <v>1435</v>
      </c>
      <c r="B104" s="2589" t="s">
        <v>1430</v>
      </c>
      <c r="C104" s="2590">
        <f ca="1">H118</f>
        <v>280</v>
      </c>
      <c r="D104" s="2591"/>
      <c r="E104" s="1674" t="s">
        <v>1436</v>
      </c>
      <c r="F104" s="1666"/>
      <c r="G104" s="1828" t="s">
        <v>1434</v>
      </c>
      <c r="H104" s="2596">
        <f>IF(D36="同一抵押权人同一抵押物续贷",C36&amp;"（续贷，未扣减，详见特别提示）",C36)</f>
        <v>0</v>
      </c>
      <c r="I104" s="129"/>
    </row>
    <row r="105" spans="1:35" ht="18.75" customHeight="1" thickBot="1">
      <c r="A105" s="3590"/>
      <c r="B105" s="2592" t="s">
        <v>1432</v>
      </c>
      <c r="C105" s="2593">
        <f ca="1">I118</f>
        <v>31617</v>
      </c>
      <c r="D105" s="2594"/>
      <c r="E105" s="1674" t="s">
        <v>1437</v>
      </c>
      <c r="F105" s="1666"/>
      <c r="G105" s="1828" t="s">
        <v>1434</v>
      </c>
      <c r="H105" s="2597">
        <f>C37</f>
        <v>0</v>
      </c>
      <c r="I105" s="129"/>
    </row>
    <row r="106" spans="1:35" ht="18.75" customHeight="1">
      <c r="A106" s="1747" t="s">
        <v>1438</v>
      </c>
      <c r="B106" s="1747"/>
      <c r="C106" s="1747"/>
      <c r="D106" s="1747"/>
      <c r="E106" s="1829" t="s">
        <v>1439</v>
      </c>
      <c r="F106" s="1666"/>
      <c r="G106" s="1828" t="s">
        <v>1434</v>
      </c>
      <c r="H106" s="2597">
        <f>C38</f>
        <v>0</v>
      </c>
      <c r="I106" s="129"/>
    </row>
    <row r="107" spans="1:35" ht="18.75" customHeight="1">
      <c r="A107" s="129"/>
      <c r="B107" s="129"/>
      <c r="C107" s="129"/>
      <c r="D107" s="129"/>
      <c r="E107" s="3586" t="str">
        <f>IF(项目基本情况!E8="已注销","——","3.房地产抵押价值")</f>
        <v>3.房地产抵押价值</v>
      </c>
      <c r="F107" s="3587"/>
      <c r="G107" s="1827" t="s">
        <v>1430</v>
      </c>
      <c r="H107" s="2595">
        <f ca="1">IF(E107="——","——",H101-H103)</f>
        <v>280</v>
      </c>
      <c r="I107" s="129"/>
    </row>
    <row r="108" spans="1:35" ht="18.75" customHeight="1">
      <c r="A108" s="129"/>
      <c r="B108" s="129"/>
      <c r="C108" s="129"/>
      <c r="D108" s="129"/>
      <c r="E108" s="3586"/>
      <c r="F108" s="3587"/>
      <c r="G108" s="1827" t="s">
        <v>1432</v>
      </c>
      <c r="H108" s="2555">
        <f ca="1">IF(H107=H101,H102,ROUND(H107*10000/'数据-汇总表'!E3,0))</f>
        <v>31617</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1430</v>
      </c>
      <c r="H109" s="2598" t="str">
        <f>IF(E109="——","——",H101-H105-H106)</f>
        <v>——</v>
      </c>
      <c r="I109" s="129"/>
    </row>
    <row r="110" spans="1:35" ht="18.75" customHeight="1">
      <c r="A110" s="129"/>
      <c r="B110" s="129"/>
      <c r="C110" s="129"/>
      <c r="D110" s="129"/>
      <c r="E110" s="3586"/>
      <c r="F110" s="3587"/>
      <c r="G110" s="1827" t="s">
        <v>1432</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7" t="s">
        <v>1430</v>
      </c>
      <c r="H111" s="2595" t="str">
        <f>IF(E111="——","——",N59)</f>
        <v>——</v>
      </c>
      <c r="I111" s="129"/>
    </row>
    <row r="112" spans="1:35" ht="18.75" customHeight="1" thickBot="1">
      <c r="A112" s="129"/>
      <c r="B112" s="129"/>
      <c r="C112" s="129"/>
      <c r="D112" s="129"/>
      <c r="E112" s="3619"/>
      <c r="F112" s="3620"/>
      <c r="G112" s="1830" t="s">
        <v>1432</v>
      </c>
      <c r="H112" s="2599" t="str">
        <f>IF(E111="——","——",N61)</f>
        <v>——</v>
      </c>
      <c r="I112" s="129"/>
    </row>
    <row r="113" spans="1:27" ht="18.75" customHeight="1">
      <c r="A113" s="129"/>
      <c r="B113" s="129"/>
      <c r="C113" s="129"/>
      <c r="D113" s="129"/>
      <c r="E113" s="3591" t="s">
        <v>1438</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1440</v>
      </c>
      <c r="B115" s="3602"/>
      <c r="C115" s="3602"/>
      <c r="D115" s="3602"/>
      <c r="E115" s="3602"/>
      <c r="F115" s="3602"/>
      <c r="G115" s="3602"/>
      <c r="H115" s="3602"/>
      <c r="I115" s="3603"/>
    </row>
    <row r="116" spans="1:27" ht="27" customHeight="1">
      <c r="A116" s="3557" t="s">
        <v>1441</v>
      </c>
      <c r="B116" s="3592" t="s">
        <v>1442</v>
      </c>
      <c r="C116" s="3592" t="s">
        <v>1443</v>
      </c>
      <c r="D116" s="3605" t="s">
        <v>1444</v>
      </c>
      <c r="E116" s="3606"/>
      <c r="F116" s="3600" t="s">
        <v>1445</v>
      </c>
      <c r="G116" s="3600"/>
      <c r="H116" s="3557" t="s">
        <v>1446</v>
      </c>
      <c r="I116" s="3557"/>
    </row>
    <row r="117" spans="1:27" ht="18.75" customHeight="1">
      <c r="A117" s="3557"/>
      <c r="B117" s="3593"/>
      <c r="C117" s="3593"/>
      <c r="D117" s="2329" t="s">
        <v>1447</v>
      </c>
      <c r="E117" s="2329" t="s">
        <v>1448</v>
      </c>
      <c r="F117" s="2329" t="s">
        <v>1447</v>
      </c>
      <c r="G117" s="2329" t="s">
        <v>1449</v>
      </c>
      <c r="H117" s="2329" t="s">
        <v>1447</v>
      </c>
      <c r="I117" s="2329" t="s">
        <v>1449</v>
      </c>
    </row>
    <row r="118" spans="1:27" ht="24.75" customHeight="1">
      <c r="A118" s="2600" t="str">
        <f>项目基本情况!S2</f>
        <v>北京市顺义区梅香街9号院12号楼1层104房地产</v>
      </c>
      <c r="B118" s="2329">
        <f>M18</f>
        <v>88.45</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280</v>
      </c>
      <c r="I118" s="2329">
        <f ca="1">ROUND(IF(D32="楼面单价",C32,H118*10000/B118),0)</f>
        <v>31617</v>
      </c>
    </row>
    <row r="119" spans="1:27" ht="18.75" customHeight="1">
      <c r="A119" s="3557" t="s">
        <v>1450</v>
      </c>
      <c r="B119" s="3557"/>
      <c r="C119" s="3557"/>
      <c r="D119" s="3597" t="str">
        <f>NUMBERSTRING(INT(D118*10000),2)&amp;"元整"</f>
        <v>零元整</v>
      </c>
      <c r="E119" s="3599"/>
      <c r="F119" s="3597" t="str">
        <f>NUMBERSTRING(INT(F118*10000),2)&amp;"元整"</f>
        <v>零元整</v>
      </c>
      <c r="G119" s="3599"/>
      <c r="H119" s="3597" t="str">
        <f ca="1">NUMBERSTRING(INT(H118*10000),2)&amp;"元整"</f>
        <v>贰佰捌拾万元整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1450</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280</v>
      </c>
      <c r="E122" s="3622"/>
      <c r="F122" s="3622"/>
      <c r="G122" s="3622"/>
      <c r="H122" s="3622"/>
      <c r="I122" s="3623"/>
      <c r="AA122" s="725"/>
    </row>
    <row r="123" spans="1:27" ht="18.75" customHeight="1">
      <c r="A123" s="3557" t="s">
        <v>1450</v>
      </c>
      <c r="B123" s="3557"/>
      <c r="C123" s="3557"/>
      <c r="D123" s="3597" t="str">
        <f ca="1">NUMBERSTRING(INT(D122*10000),2)&amp;"元整"</f>
        <v>贰佰捌拾万元整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1450</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1450</v>
      </c>
      <c r="B127" s="3557"/>
      <c r="C127" s="3557"/>
      <c r="D127" s="3597" t="e">
        <f>NUMBERSTRING(INT(D126*10000),2)&amp;"元整"</f>
        <v>#VALUE!</v>
      </c>
      <c r="E127" s="3598"/>
      <c r="F127" s="3598"/>
      <c r="G127" s="3598"/>
      <c r="H127" s="3598"/>
      <c r="I127" s="3599"/>
      <c r="AA127" s="725"/>
    </row>
    <row r="128" spans="1:27" ht="21.75" customHeight="1">
      <c r="A128" s="3604" t="s">
        <v>1451</v>
      </c>
      <c r="B128" s="3604"/>
      <c r="C128" s="3604"/>
      <c r="D128" s="3604"/>
      <c r="E128" s="3604"/>
      <c r="F128" s="3604"/>
      <c r="G128" s="3604"/>
      <c r="H128" s="3604"/>
      <c r="I128" s="3604"/>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64" sqref="J6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t="s">
        <v>3383</v>
      </c>
      <c r="C1" s="198"/>
      <c r="D1" s="198"/>
      <c r="E1" s="198"/>
      <c r="F1" s="198"/>
      <c r="G1" s="1126" t="e">
        <f>MATCH(B1,'数据-取费表'!A6:A16,0)+5</f>
        <v>#N/A</v>
      </c>
    </row>
    <row r="2" spans="1:9" s="200" customFormat="1" ht="18" customHeight="1">
      <c r="A2" s="201" t="s">
        <v>1460</v>
      </c>
      <c r="B2" s="202" t="e">
        <f ca="1">IF(D2="——",C52,C52-E2)</f>
        <v>#DIV/0!</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t="e">
        <f ca="1">ROUND(B2*10000/(IF(B1="",'数据-汇总表'!E3,INDIRECT("'数据-取费表'!k"&amp;$G$1))),0)</f>
        <v>#DIV/0!</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t="e">
        <f ca="1">C6+C7+C8</f>
        <v>#DIV/0!</v>
      </c>
      <c r="D5" s="211" t="s">
        <v>1467</v>
      </c>
      <c r="E5" s="212" t="s">
        <v>1468</v>
      </c>
      <c r="F5" s="212" t="s">
        <v>1469</v>
      </c>
      <c r="G5" s="213"/>
    </row>
    <row r="6" spans="1:9" s="214" customFormat="1" ht="13.5" customHeight="1">
      <c r="A6" s="778" t="s">
        <v>1470</v>
      </c>
      <c r="B6" s="215" t="s">
        <v>1471</v>
      </c>
      <c r="C6" s="216" t="e">
        <f>基准地价修正!E37+基准地价修正!V2+基准地价修正!V3+基准地价修正!V4</f>
        <v>#DIV/0!</v>
      </c>
      <c r="D6" s="217"/>
      <c r="E6" s="218"/>
      <c r="F6" s="218"/>
      <c r="G6" s="219"/>
    </row>
    <row r="7" spans="1:9" s="214" customFormat="1" ht="13.5" customHeight="1">
      <c r="A7" s="778" t="s">
        <v>1472</v>
      </c>
      <c r="B7" s="215" t="s">
        <v>1473</v>
      </c>
      <c r="C7" s="220" t="e">
        <f>ROUND(C6*F7,0)</f>
        <v>#DIV/0!</v>
      </c>
      <c r="D7" s="220"/>
      <c r="E7" s="218"/>
      <c r="F7" s="221">
        <f>IF(项目基本情况!B8="出让",0,'数据-取费表'!B48+'数据-取费表'!B49)</f>
        <v>3.0499999999999999E-2</v>
      </c>
      <c r="G7" s="219"/>
    </row>
    <row r="8" spans="1:9" s="223" customFormat="1">
      <c r="A8" s="778" t="s">
        <v>1474</v>
      </c>
      <c r="B8" s="215" t="s">
        <v>1475</v>
      </c>
      <c r="C8" s="220" t="e">
        <f ca="1">IF(G8="已包含在土地购买价格中","0",IF(B1="",'数据-取费表'!B29,IF(G9="全部缴纳",C9+C10,H9)))</f>
        <v>#N/A</v>
      </c>
      <c r="D8" s="222"/>
      <c r="E8" s="220"/>
      <c r="F8" s="221"/>
      <c r="G8" s="1856" t="s">
        <v>3404</v>
      </c>
    </row>
    <row r="9" spans="1:9" s="214" customFormat="1" ht="13.5" customHeight="1">
      <c r="A9" s="779" t="s">
        <v>355</v>
      </c>
      <c r="B9" s="224" t="s">
        <v>1476</v>
      </c>
      <c r="C9" s="225" t="e">
        <f ca="1">ROUND(D9*E9/10000,0)</f>
        <v>#N/A</v>
      </c>
      <c r="D9" s="845" t="e">
        <f ca="1">IF(B1="",'数据-汇总表'!E5,IF(INDIRECT("'数据-取费表'!c"&amp;$G$1)="住宅",INDIRECT("'数据-取费表'!k"&amp;$G$1),0))</f>
        <v>#N/A</v>
      </c>
      <c r="E9" s="225">
        <f>'数据-取费表'!B27</f>
        <v>0</v>
      </c>
      <c r="F9" s="221"/>
      <c r="G9" s="1857" t="s">
        <v>3410</v>
      </c>
      <c r="H9" s="1137"/>
      <c r="I9" s="1858" t="s">
        <v>1477</v>
      </c>
    </row>
    <row r="10" spans="1:9" s="214" customFormat="1" ht="13.5" customHeight="1">
      <c r="A10" s="779" t="s">
        <v>356</v>
      </c>
      <c r="B10" s="224" t="s">
        <v>1478</v>
      </c>
      <c r="C10" s="225" t="e">
        <f ca="1">ROUND(D10*E10/10000,0)</f>
        <v>#N/A</v>
      </c>
      <c r="D10" s="845" t="e">
        <f ca="1">IF(B1="",'数据-汇总表'!E6,IF(INDIRECT("'数据-取费表'!c"&amp;$G$1)="住宅",INDIRECT("'数据-取费表'!s"&amp;$G$1),INDIRECT("'数据-取费表'!k"&amp;$G$1)+INDIRECT("'数据-取费表'!s"&amp;$G$1)))</f>
        <v>#N/A</v>
      </c>
      <c r="E10" s="225">
        <f>'数据-取费表'!B28</f>
        <v>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t="e">
        <f ca="1">D9+D10</f>
        <v>#N/A</v>
      </c>
      <c r="E19" s="211">
        <f>'数据-取费表'!B31</f>
        <v>200</v>
      </c>
      <c r="F19" s="231"/>
      <c r="G19" s="1856" t="s">
        <v>3405</v>
      </c>
    </row>
    <row r="20" spans="1:7" s="214" customFormat="1" ht="13.5" customHeight="1">
      <c r="A20" s="255" t="s">
        <v>1491</v>
      </c>
      <c r="B20" s="210" t="s">
        <v>1492</v>
      </c>
      <c r="C20" s="232" t="e">
        <f ca="1">ROUND((C5+C19)*F20,0)</f>
        <v>#DIV/0!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t="e">
        <f ca="1">ROUND(SUM(C23:C25),0)</f>
        <v>#DIV/0!</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t="e">
        <f ca="1">ROUND(IF('数据-取费表'!B22&lt;=1,C5*F22*'数据-取费表'!B23,C5*(POWER((1+F22),'数据-取费表'!B23)-1)),0)</f>
        <v>#DIV/0!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t="e">
        <f ca="1">ROUND(IF('数据-取费表'!B22&lt;=1,C20*F22*'数据-取费表'!B23/2,C20*(POWER((1+F22),'数据-取费表'!B23/2)-1)),0)</f>
        <v>#DIV/0!</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t="e">
        <f ca="1">C28</f>
        <v>#DIV/0!</v>
      </c>
      <c r="D27" s="235" t="e">
        <f ca="1">C29</f>
        <v>#N/A</v>
      </c>
      <c r="E27" s="236" t="s">
        <v>1512</v>
      </c>
      <c r="F27" s="246" t="e">
        <f ca="1">IF(B1="",'数据-取费表'!Q16,INDIRECT("'数据-取费表'!q"&amp;$G$1))</f>
        <v>#N/A</v>
      </c>
      <c r="G27" s="247" t="s">
        <v>1513</v>
      </c>
    </row>
    <row r="28" spans="1:7" s="214" customFormat="1" ht="13.5" customHeight="1">
      <c r="A28" s="780" t="s">
        <v>346</v>
      </c>
      <c r="B28" s="248" t="s">
        <v>1514</v>
      </c>
      <c r="C28" s="249" t="e">
        <f ca="1">ROUND((C5+C19+C20)*F27*'数据-取费表'!B21/'数据-取费表'!B20,0)</f>
        <v>#DIV/0!</v>
      </c>
      <c r="D28" s="235"/>
      <c r="E28" s="236"/>
      <c r="F28" s="246"/>
      <c r="G28" s="247"/>
    </row>
    <row r="29" spans="1:7" s="214" customFormat="1" ht="13.5" customHeight="1">
      <c r="A29" s="780" t="s">
        <v>347</v>
      </c>
      <c r="B29" s="248" t="s">
        <v>1515</v>
      </c>
      <c r="C29" s="238" t="e">
        <f ca="1">ROUND(C21*F27*'数据-取费表'!B21/'数据-取费表'!B20,4)</f>
        <v>#N/A</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t="e">
        <f ca="1">ROUND((C5+C19+C20+C22+C27)/(1-C21-D22-D27-C30),0)</f>
        <v>#DIV/0!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t="e">
        <f ca="1">SUM(C34:C38)</f>
        <v>#N/A</v>
      </c>
      <c r="D33" s="232"/>
      <c r="E33" s="212"/>
      <c r="F33" s="241"/>
      <c r="G33" s="234"/>
    </row>
    <row r="34" spans="1:7" s="258" customFormat="1" ht="13.5" customHeight="1">
      <c r="A34" s="780" t="s">
        <v>346</v>
      </c>
      <c r="B34" s="215" t="s">
        <v>1523</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1524</v>
      </c>
    </row>
    <row r="35" spans="1:7" ht="13.5" customHeight="1">
      <c r="A35" s="780" t="s">
        <v>351</v>
      </c>
      <c r="B35" s="215" t="s">
        <v>1525</v>
      </c>
      <c r="C35" s="220" t="e">
        <f ca="1">ROUND(C34*F35,0)</f>
        <v>#N/A</v>
      </c>
      <c r="D35" s="220"/>
      <c r="E35" s="220"/>
      <c r="F35" s="259">
        <f>'数据-取费表'!B33</f>
        <v>0.05</v>
      </c>
      <c r="G35" s="219" t="s">
        <v>1526</v>
      </c>
    </row>
    <row r="36" spans="1:7" ht="24">
      <c r="A36" s="780" t="s">
        <v>352</v>
      </c>
      <c r="B36" s="215" t="s">
        <v>1527</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1528</v>
      </c>
    </row>
    <row r="37" spans="1:7" s="258" customFormat="1" ht="13.5" customHeight="1">
      <c r="A37" s="780" t="s">
        <v>353</v>
      </c>
      <c r="B37" s="215" t="s">
        <v>1529</v>
      </c>
      <c r="C37" s="249" t="e">
        <f ca="1">ROUND(E37*D37*F34/10000,0)</f>
        <v>#N/A</v>
      </c>
      <c r="D37" s="217" t="e">
        <f ca="1">D19</f>
        <v>#N/A</v>
      </c>
      <c r="E37" s="249">
        <f>'数据-取费表'!B35</f>
        <v>200</v>
      </c>
      <c r="F37" s="259"/>
      <c r="G37" s="261" t="s">
        <v>1530</v>
      </c>
    </row>
    <row r="38" spans="1:7" ht="13.5" customHeight="1">
      <c r="A38" s="780" t="s">
        <v>354</v>
      </c>
      <c r="B38" s="215" t="s">
        <v>1531</v>
      </c>
      <c r="C38" s="220" t="e">
        <f ca="1">ROUND(C34*F38,0)</f>
        <v>#N/A</v>
      </c>
      <c r="D38" s="220"/>
      <c r="E38" s="220"/>
      <c r="F38" s="259">
        <f>'数据-取费表'!B36</f>
        <v>1.4999999999999999E-2</v>
      </c>
      <c r="G38" s="219" t="s">
        <v>1526</v>
      </c>
    </row>
    <row r="39" spans="1:7" s="214" customFormat="1" ht="13.5" customHeight="1">
      <c r="A39" s="255" t="s">
        <v>1532</v>
      </c>
      <c r="B39" s="210" t="s">
        <v>1533</v>
      </c>
      <c r="C39" s="232" t="e">
        <f ca="1">ROUND(C33*F20,0)</f>
        <v>#N/A</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t="e">
        <f ca="1">ROUND(SUM(C42:C43),0)</f>
        <v>#N/A</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t="e">
        <f ca="1">ROUND(IF('数据-取费表'!B22&lt;=1,C33*F22*'数据-取费表'!B21/2,C33*(POWER((1+F22),'数据-取费表'!B21/2)-1)),0)</f>
        <v>#N/A</v>
      </c>
      <c r="D42" s="238"/>
      <c r="E42" s="238"/>
      <c r="F42" s="239"/>
      <c r="G42" s="3637" t="s">
        <v>1542</v>
      </c>
    </row>
    <row r="43" spans="1:7" ht="13.5" customHeight="1">
      <c r="A43" s="780" t="s">
        <v>347</v>
      </c>
      <c r="B43" s="215" t="s">
        <v>1543</v>
      </c>
      <c r="C43" s="238" t="e">
        <f ca="1">ROUND(IF('数据-取费表'!B22&lt;=1,C39*F22*'数据-取费表'!B21/2,C39*(POWER((1+F22),'数据-取费表'!B21/2)-1)),0)</f>
        <v>#N/A</v>
      </c>
      <c r="D43" s="238"/>
      <c r="E43" s="238"/>
      <c r="F43" s="239"/>
      <c r="G43" s="3638"/>
    </row>
    <row r="44" spans="1:7" ht="13.5" customHeight="1">
      <c r="A44" s="780" t="s">
        <v>348</v>
      </c>
      <c r="B44" s="215" t="s">
        <v>1544</v>
      </c>
      <c r="C44" s="238">
        <f ca="1">ROUND(IF('数据-取费表'!B22&lt;=1,C40*F22*'数据-取费表'!B21/2,C40*(POWER((1+F22),'数据-取费表'!B21/2)-1)),4)</f>
        <v>8.0000000000000004E-4</v>
      </c>
      <c r="D44" s="238"/>
      <c r="E44" s="238"/>
      <c r="F44" s="239"/>
      <c r="G44" s="3639"/>
    </row>
    <row r="45" spans="1:7" s="214" customFormat="1" ht="13.5" customHeight="1">
      <c r="A45" s="255" t="s">
        <v>1545</v>
      </c>
      <c r="B45" s="244" t="s">
        <v>1511</v>
      </c>
      <c r="C45" s="245" t="e">
        <f ca="1">C46</f>
        <v>#N/A</v>
      </c>
      <c r="D45" s="235" t="e">
        <f ca="1">C47</f>
        <v>#N/A</v>
      </c>
      <c r="E45" s="236" t="s">
        <v>1537</v>
      </c>
      <c r="F45" s="246" t="e">
        <f ca="1">F27</f>
        <v>#N/A</v>
      </c>
      <c r="G45" s="247" t="s">
        <v>1546</v>
      </c>
    </row>
    <row r="46" spans="1:7" s="214" customFormat="1" ht="13.5" customHeight="1">
      <c r="A46" s="780" t="s">
        <v>346</v>
      </c>
      <c r="B46" s="248" t="s">
        <v>1547</v>
      </c>
      <c r="C46" s="249" t="e">
        <f ca="1">ROUND((C33+C39)*F27,0)</f>
        <v>#N/A</v>
      </c>
      <c r="D46" s="263"/>
      <c r="E46" s="236"/>
      <c r="F46" s="246"/>
      <c r="G46" s="247"/>
    </row>
    <row r="47" spans="1:7" s="214" customFormat="1" ht="13.5" customHeight="1">
      <c r="A47" s="780" t="s">
        <v>347</v>
      </c>
      <c r="B47" s="248" t="s">
        <v>1548</v>
      </c>
      <c r="C47" s="238" t="e">
        <f ca="1">ROUND(C40*F27,4)</f>
        <v>#N/A</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t="e">
        <f ca="1">ROUND((C33+C39+C41+C45)/(1-C40-D41-D45-C48),0)</f>
        <v>#N/A</v>
      </c>
      <c r="D49" s="232"/>
      <c r="E49" s="232"/>
      <c r="F49" s="264"/>
      <c r="G49" s="234" t="s">
        <v>1552</v>
      </c>
    </row>
    <row r="50" spans="1:7" s="258" customFormat="1" ht="24">
      <c r="A50" s="255" t="s">
        <v>1553</v>
      </c>
      <c r="B50" s="210" t="s">
        <v>1554</v>
      </c>
      <c r="C50" s="232"/>
      <c r="D50" s="232"/>
      <c r="E50" s="232"/>
      <c r="F50" s="264">
        <f>IF('数据-取费表'!B24=0,'数据-取费表'!N16,1)</f>
        <v>0.85</v>
      </c>
      <c r="G50" s="247" t="s">
        <v>1555</v>
      </c>
    </row>
    <row r="51" spans="1:7" ht="16.5" customHeight="1">
      <c r="A51" s="255" t="s">
        <v>1556</v>
      </c>
      <c r="B51" s="210" t="s">
        <v>1557</v>
      </c>
      <c r="C51" s="232" t="e">
        <f ca="1">ROUND(C49*F50,0)</f>
        <v>#N/A</v>
      </c>
      <c r="D51" s="232"/>
      <c r="E51" s="232"/>
      <c r="F51" s="264"/>
      <c r="G51" s="234" t="s">
        <v>1558</v>
      </c>
    </row>
    <row r="52" spans="1:7" s="208" customFormat="1" ht="16.5" thickBot="1">
      <c r="A52" s="265" t="s">
        <v>1559</v>
      </c>
      <c r="B52" s="266"/>
      <c r="C52" s="267" t="e">
        <f ca="1">C31+C51</f>
        <v>#DIV/0!</v>
      </c>
      <c r="D52" s="266"/>
      <c r="E52" s="266"/>
      <c r="F52" s="266"/>
      <c r="G52" s="268"/>
    </row>
    <row r="55" spans="1:7" ht="15">
      <c r="B55" s="270" t="s">
        <v>1560</v>
      </c>
      <c r="C55" s="271"/>
    </row>
    <row r="56" spans="1:7">
      <c r="B56" s="273" t="s">
        <v>800</v>
      </c>
      <c r="C56" s="275" t="e">
        <f ca="1">1-C57</f>
        <v>#N/A</v>
      </c>
    </row>
    <row r="57" spans="1:7">
      <c r="B57" s="273" t="s">
        <v>801</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北京市顺义区梅香街9号院12号楼1层104房地产抵押价值预评估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64" sqref="J6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t="s">
        <v>3382</v>
      </c>
      <c r="C1" s="1859" t="s">
        <v>1561</v>
      </c>
      <c r="D1" s="198"/>
      <c r="E1" s="198"/>
      <c r="F1" s="198"/>
      <c r="G1" s="1126" t="e">
        <f>MATCH(B1,'数据-取费表'!A6:A16,0)+5</f>
        <v>#N/A</v>
      </c>
      <c r="H1" s="1061" t="str">
        <f>IF(ISERROR(FIND("住宅",B1)),"非住宅","住宅")</f>
        <v>非住宅</v>
      </c>
    </row>
    <row r="2" spans="1:8" s="200" customFormat="1" ht="18" customHeight="1">
      <c r="A2" s="201" t="s">
        <v>1460</v>
      </c>
      <c r="B2" s="3424" t="e">
        <f ca="1">ROUND(IF(D2="——",C52/10000,C52/10000-E2),4)</f>
        <v>#N/A</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t="e">
        <f ca="1">ROUND(B2*10000/(IF(B1="",'数据-汇总表'!E3,INDIRECT("'数据-取费表'!k"&amp;$G$1))),0)</f>
        <v>#N/A</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t="e">
        <f ca="1">C6+C7+C8</f>
        <v>#N/A</v>
      </c>
      <c r="D5" s="211" t="s">
        <v>1467</v>
      </c>
      <c r="E5" s="212" t="s">
        <v>1468</v>
      </c>
      <c r="F5" s="212" t="s">
        <v>1469</v>
      </c>
      <c r="G5" s="213"/>
    </row>
    <row r="6" spans="1:8" s="214" customFormat="1" ht="13.5" customHeight="1">
      <c r="A6" s="778" t="s">
        <v>1470</v>
      </c>
      <c r="B6" s="215" t="s">
        <v>1471</v>
      </c>
      <c r="C6" s="216" t="e">
        <f ca="1">ROUND(D19*基准地价修正!T2,0)</f>
        <v>#N/A</v>
      </c>
      <c r="D6" s="217"/>
      <c r="E6" s="218"/>
      <c r="F6" s="218"/>
      <c r="G6" s="219"/>
    </row>
    <row r="7" spans="1:8" s="214" customFormat="1" ht="13.5" customHeight="1">
      <c r="A7" s="778" t="s">
        <v>1472</v>
      </c>
      <c r="B7" s="215" t="s">
        <v>1473</v>
      </c>
      <c r="C7" s="220" t="e">
        <f ca="1">ROUND(C6*F7,0)</f>
        <v>#N/A</v>
      </c>
      <c r="D7" s="220"/>
      <c r="E7" s="218"/>
      <c r="F7" s="221">
        <f>IF(项目基本情况!B8="出让",0,'数据-取费表'!B48+'数据-取费表'!B49)</f>
        <v>3.0499999999999999E-2</v>
      </c>
      <c r="G7" s="219"/>
    </row>
    <row r="8" spans="1:8" s="223" customFormat="1">
      <c r="A8" s="778" t="s">
        <v>1474</v>
      </c>
      <c r="B8" s="215" t="s">
        <v>1475</v>
      </c>
      <c r="C8" s="220" t="e">
        <f ca="1">IF(G8="已包含在土地购买价格中",0,C9+C10)</f>
        <v>#N/A</v>
      </c>
      <c r="D8" s="222"/>
      <c r="E8" s="220"/>
      <c r="F8" s="221"/>
      <c r="G8" s="1856" t="s">
        <v>3404</v>
      </c>
    </row>
    <row r="9" spans="1:8" s="214" customFormat="1" ht="13.5" customHeight="1">
      <c r="A9" s="779" t="s">
        <v>355</v>
      </c>
      <c r="B9" s="224" t="s">
        <v>1476</v>
      </c>
      <c r="C9" s="225" t="e">
        <f ca="1">ROUND(D9*E9,0)</f>
        <v>#N/A</v>
      </c>
      <c r="D9" s="845" t="e">
        <f ca="1">IF(B1="",'数据-汇总表'!E5,IF(INDIRECT("'数据-取费表'!c"&amp;$G$1)="住宅",INDIRECT("'数据-取费表'!k"&amp;$G$1),0))</f>
        <v>#N/A</v>
      </c>
      <c r="E9" s="225">
        <f>'数据-取费表'!B27</f>
        <v>0</v>
      </c>
      <c r="F9" s="221"/>
      <c r="G9" s="226"/>
    </row>
    <row r="10" spans="1:8" s="214" customFormat="1" ht="13.5" customHeight="1">
      <c r="A10" s="779" t="s">
        <v>356</v>
      </c>
      <c r="B10" s="224" t="s">
        <v>1478</v>
      </c>
      <c r="C10" s="225" t="e">
        <f ca="1">ROUND(D10*E10,0)</f>
        <v>#N/A</v>
      </c>
      <c r="D10" s="845" t="e">
        <f ca="1">IF(B1="",'数据-汇总表'!E6,IF(INDIRECT("'数据-取费表'!c"&amp;$G$1)="住宅",INDIRECT("'数据-取费表'!s"&amp;$G$1),INDIRECT("'数据-取费表'!k"&amp;$G$1)+INDIRECT("'数据-取费表'!s"&amp;$G$1)))</f>
        <v>#N/A</v>
      </c>
      <c r="E10" s="225">
        <f>'数据-取费表'!B28</f>
        <v>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t="e">
        <f ca="1">D9+D10</f>
        <v>#N/A</v>
      </c>
      <c r="E19" s="211">
        <f>'数据-取费表'!B31</f>
        <v>200</v>
      </c>
      <c r="F19" s="231"/>
      <c r="G19" s="1856" t="s">
        <v>3405</v>
      </c>
    </row>
    <row r="20" spans="1:7" s="214" customFormat="1" ht="13.5" customHeight="1">
      <c r="A20" s="255" t="s">
        <v>1572</v>
      </c>
      <c r="B20" s="210" t="s">
        <v>1573</v>
      </c>
      <c r="C20" s="232" t="e">
        <f ca="1">ROUND((C5+C19)*F20,0)</f>
        <v>#N/A</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t="e">
        <f ca="1">ROUND(SUM(C23:C25),0)</f>
        <v>#N/A</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t="e">
        <f ca="1">ROUND(IF('数据-取费表'!B22&lt;=1,C5*F22*'数据-取费表'!B22,C5*(POWER((1+F22),'数据-取费表'!B22)-1)),0)</f>
        <v>#N/A</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t="e">
        <f ca="1">ROUND(IF('数据-取费表'!B22&lt;=1,C20*F22*'数据-取费表'!B22/2,C20*(POWER((1+F22),'数据-取费表'!B22/2)-1)),0)</f>
        <v>#N/A</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t="e">
        <f ca="1">C28</f>
        <v>#N/A</v>
      </c>
      <c r="D27" s="235" t="e">
        <f ca="1">C29</f>
        <v>#N/A</v>
      </c>
      <c r="E27" s="236" t="s">
        <v>1512</v>
      </c>
      <c r="F27" s="246" t="e">
        <f ca="1">IF(B1="",'数据-取费表'!Q16,INDIRECT("'数据-取费表'!q"&amp;$G$1))</f>
        <v>#N/A</v>
      </c>
      <c r="G27" s="247" t="s">
        <v>1513</v>
      </c>
    </row>
    <row r="28" spans="1:7" s="214" customFormat="1" ht="13.5" customHeight="1">
      <c r="A28" s="780" t="s">
        <v>346</v>
      </c>
      <c r="B28" s="248" t="s">
        <v>1514</v>
      </c>
      <c r="C28" s="249" t="e">
        <f ca="1">ROUND((C5+C19+C20)*F27,0)</f>
        <v>#N/A</v>
      </c>
      <c r="D28" s="235"/>
      <c r="E28" s="236"/>
      <c r="F28" s="246"/>
      <c r="G28" s="247"/>
    </row>
    <row r="29" spans="1:7" s="214" customFormat="1" ht="13.5" customHeight="1">
      <c r="A29" s="780" t="s">
        <v>347</v>
      </c>
      <c r="B29" s="248" t="s">
        <v>1515</v>
      </c>
      <c r="C29" s="238" t="e">
        <f ca="1">ROUND(C21*F27,4)</f>
        <v>#N/A</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t="e">
        <f ca="1">ROUND((C5+C19+C20+C22+C27)/(1-C21-D22-D27-C30),0)</f>
        <v>#N/A</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t="e">
        <f ca="1">SUM(C34:C38)</f>
        <v>#N/A</v>
      </c>
      <c r="D33" s="232"/>
      <c r="E33" s="212"/>
      <c r="F33" s="241"/>
      <c r="G33" s="234"/>
    </row>
    <row r="34" spans="1:7" s="258" customFormat="1" ht="13.5" customHeight="1">
      <c r="A34" s="780" t="s">
        <v>346</v>
      </c>
      <c r="B34" s="215" t="s">
        <v>1523</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80" t="s">
        <v>351</v>
      </c>
      <c r="B35" s="215" t="s">
        <v>1525</v>
      </c>
      <c r="C35" s="220" t="e">
        <f ca="1">ROUND(C34*F35,0)</f>
        <v>#N/A</v>
      </c>
      <c r="D35" s="220"/>
      <c r="E35" s="220"/>
      <c r="F35" s="259">
        <f>'数据-取费表'!B33</f>
        <v>0.05</v>
      </c>
      <c r="G35" s="219" t="s">
        <v>1526</v>
      </c>
    </row>
    <row r="36" spans="1:7" ht="24">
      <c r="A36" s="780" t="s">
        <v>352</v>
      </c>
      <c r="B36" s="215" t="s">
        <v>1527</v>
      </c>
      <c r="C36" s="220" t="e">
        <f ca="1">ROUND(IF(B1="",SUM('数据-取费表'!AP6:AP13)*F36,IF(INDIRECT("'数据-取费表'!c"&amp;$G$1)="住宅",INDIRECT("'数据-取费表'!k"&amp;$G$1)*INDIRECT("'数据-取费表'!l"&amp;$G$1)*F36,0)),0)</f>
        <v>#N/A</v>
      </c>
      <c r="D36" s="220"/>
      <c r="E36" s="220"/>
      <c r="F36" s="259">
        <f>'数据-取费表'!B34</f>
        <v>0</v>
      </c>
      <c r="G36" s="260" t="s">
        <v>1528</v>
      </c>
    </row>
    <row r="37" spans="1:7" s="258" customFormat="1" ht="13.5" customHeight="1">
      <c r="A37" s="780" t="s">
        <v>353</v>
      </c>
      <c r="B37" s="215" t="s">
        <v>1529</v>
      </c>
      <c r="C37" s="249" t="e">
        <f ca="1">ROUND(E37*D37,0)</f>
        <v>#N/A</v>
      </c>
      <c r="D37" s="217" t="e">
        <f ca="1">D19</f>
        <v>#N/A</v>
      </c>
      <c r="E37" s="249">
        <f>'数据-取费表'!B35</f>
        <v>200</v>
      </c>
      <c r="F37" s="259"/>
      <c r="G37" s="261"/>
    </row>
    <row r="38" spans="1:7" ht="13.5" customHeight="1">
      <c r="A38" s="780" t="s">
        <v>354</v>
      </c>
      <c r="B38" s="215" t="s">
        <v>1531</v>
      </c>
      <c r="C38" s="220" t="e">
        <f ca="1">ROUND(C34*F38,0)</f>
        <v>#N/A</v>
      </c>
      <c r="D38" s="220"/>
      <c r="E38" s="220"/>
      <c r="F38" s="259">
        <f>'数据-取费表'!B36</f>
        <v>1.4999999999999999E-2</v>
      </c>
      <c r="G38" s="219" t="s">
        <v>1526</v>
      </c>
    </row>
    <row r="39" spans="1:7" s="214" customFormat="1" ht="13.5" customHeight="1">
      <c r="A39" s="255" t="s">
        <v>1532</v>
      </c>
      <c r="B39" s="210" t="s">
        <v>1533</v>
      </c>
      <c r="C39" s="232" t="e">
        <f ca="1">ROUND(C33*F20,0)</f>
        <v>#N/A</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t="e">
        <f ca="1">ROUND(SUM(C42:C43),0)</f>
        <v>#N/A</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t="e">
        <f ca="1">ROUND(IF('数据-取费表'!B22&lt;=1,C33*F22*'数据-取费表'!B20/2,C33*(POWER((1+F22),'数据-取费表'!B20/2)-1)),0)</f>
        <v>#N/A</v>
      </c>
      <c r="D42" s="238"/>
      <c r="E42" s="238"/>
      <c r="F42" s="239"/>
      <c r="G42" s="3637" t="s">
        <v>1589</v>
      </c>
    </row>
    <row r="43" spans="1:7" ht="13.5" customHeight="1">
      <c r="A43" s="780" t="s">
        <v>347</v>
      </c>
      <c r="B43" s="215" t="s">
        <v>1543</v>
      </c>
      <c r="C43" s="238" t="e">
        <f ca="1">ROUND(IF('数据-取费表'!B22&lt;=1,C39*F22*'数据-取费表'!B20/2,C39*(POWER((1+F22),'数据-取费表'!B20/2)-1)),0)</f>
        <v>#N/A</v>
      </c>
      <c r="D43" s="238"/>
      <c r="E43" s="238"/>
      <c r="F43" s="239"/>
      <c r="G43" s="3638"/>
    </row>
    <row r="44" spans="1:7" ht="13.5" customHeight="1">
      <c r="A44" s="780" t="s">
        <v>348</v>
      </c>
      <c r="B44" s="215" t="s">
        <v>1544</v>
      </c>
      <c r="C44" s="238">
        <f ca="1">ROUND(IF('数据-取费表'!B22&lt;=1,C40*F22*'数据-取费表'!B20/2,C40*(POWER((1+F22),'数据-取费表'!B20/2)-1)),4)</f>
        <v>8.0000000000000004E-4</v>
      </c>
      <c r="D44" s="238"/>
      <c r="E44" s="238"/>
      <c r="F44" s="239"/>
      <c r="G44" s="3639"/>
    </row>
    <row r="45" spans="1:7" s="214" customFormat="1" ht="13.5" customHeight="1">
      <c r="A45" s="255" t="s">
        <v>1545</v>
      </c>
      <c r="B45" s="244" t="s">
        <v>1511</v>
      </c>
      <c r="C45" s="245" t="e">
        <f ca="1">C46</f>
        <v>#N/A</v>
      </c>
      <c r="D45" s="235" t="e">
        <f ca="1">C47</f>
        <v>#N/A</v>
      </c>
      <c r="E45" s="236" t="s">
        <v>1537</v>
      </c>
      <c r="F45" s="246" t="e">
        <f ca="1">F27</f>
        <v>#N/A</v>
      </c>
      <c r="G45" s="247" t="s">
        <v>1546</v>
      </c>
    </row>
    <row r="46" spans="1:7" s="214" customFormat="1" ht="13.5" customHeight="1">
      <c r="A46" s="780" t="s">
        <v>346</v>
      </c>
      <c r="B46" s="248" t="s">
        <v>1547</v>
      </c>
      <c r="C46" s="249" t="e">
        <f ca="1">ROUND((C33+C39)*F27,0)</f>
        <v>#N/A</v>
      </c>
      <c r="D46" s="263"/>
      <c r="E46" s="236"/>
      <c r="F46" s="246"/>
      <c r="G46" s="247"/>
    </row>
    <row r="47" spans="1:7" s="214" customFormat="1" ht="13.5" customHeight="1">
      <c r="A47" s="780" t="s">
        <v>347</v>
      </c>
      <c r="B47" s="248" t="s">
        <v>1548</v>
      </c>
      <c r="C47" s="238" t="e">
        <f ca="1">ROUND(C40*F27,4)</f>
        <v>#N/A</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t="e">
        <f ca="1">ROUND((C33+C39+C41+C45)/(1-C40-D41-D45-C48),0)</f>
        <v>#N/A</v>
      </c>
      <c r="D49" s="232"/>
      <c r="E49" s="232"/>
      <c r="F49" s="264"/>
      <c r="G49" s="234" t="s">
        <v>1552</v>
      </c>
    </row>
    <row r="50" spans="1:7" s="258" customFormat="1">
      <c r="A50" s="255" t="s">
        <v>1553</v>
      </c>
      <c r="B50" s="210" t="s">
        <v>1554</v>
      </c>
      <c r="C50" s="232"/>
      <c r="D50" s="232"/>
      <c r="E50" s="232"/>
      <c r="F50" s="264">
        <f>IF('数据-取费表'!B24=0,'数据-取费表'!N16,1)</f>
        <v>0.85</v>
      </c>
      <c r="G50" s="247"/>
    </row>
    <row r="51" spans="1:7" ht="16.5" customHeight="1">
      <c r="A51" s="255" t="s">
        <v>1556</v>
      </c>
      <c r="B51" s="210" t="s">
        <v>1591</v>
      </c>
      <c r="C51" s="232" t="e">
        <f ca="1">ROUND(C49*F50,0)</f>
        <v>#N/A</v>
      </c>
      <c r="D51" s="232"/>
      <c r="E51" s="232"/>
      <c r="F51" s="264"/>
      <c r="G51" s="234" t="s">
        <v>1558</v>
      </c>
    </row>
    <row r="52" spans="1:7" s="208" customFormat="1" ht="16.5" thickBot="1">
      <c r="A52" s="265" t="s">
        <v>1559</v>
      </c>
      <c r="B52" s="266"/>
      <c r="C52" s="267" t="e">
        <f ca="1">C31+C51</f>
        <v>#N/A</v>
      </c>
      <c r="D52" s="266"/>
      <c r="E52" s="266"/>
      <c r="F52" s="266"/>
      <c r="G52" s="268"/>
    </row>
    <row r="55" spans="1:7" ht="15">
      <c r="B55" s="270" t="s">
        <v>1560</v>
      </c>
      <c r="C55" s="271"/>
    </row>
    <row r="56" spans="1:7">
      <c r="B56" s="273" t="s">
        <v>800</v>
      </c>
      <c r="C56" s="275" t="e">
        <f ca="1">1-C57</f>
        <v>#N/A</v>
      </c>
    </row>
    <row r="57" spans="1:7">
      <c r="B57" s="273" t="s">
        <v>801</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6"/>
      <c r="F1" s="2806"/>
      <c r="G1" s="2671"/>
      <c r="H1" s="2806"/>
      <c r="I1" s="2806"/>
      <c r="J1" s="2806"/>
      <c r="K1" s="2807">
        <f>MATCH(C1,'数据-取费表'!A6:A16,0)+5</f>
        <v>7</v>
      </c>
    </row>
    <row r="2" spans="1:33" ht="18" customHeight="1">
      <c r="A2" s="201" t="s">
        <v>1460</v>
      </c>
      <c r="B2" s="204">
        <f ca="1">C32</f>
        <v>0</v>
      </c>
      <c r="C2" s="276" t="s">
        <v>1593</v>
      </c>
      <c r="D2" s="276"/>
      <c r="E2" s="2806"/>
      <c r="F2" s="2806"/>
      <c r="G2" s="2806"/>
      <c r="H2" s="2806"/>
      <c r="I2" s="2806"/>
      <c r="J2" s="2806"/>
      <c r="K2" s="2806"/>
    </row>
    <row r="3" spans="1:33" ht="18" customHeight="1" thickBot="1">
      <c r="A3" s="203" t="s">
        <v>1462</v>
      </c>
      <c r="B3" s="204">
        <f ca="1">ROUND(B2*10000/IF(C1="",'数据-汇总表'!E3,INDIRECT("'数据-取费表'!K"&amp;$K$1)),0)</f>
        <v>0</v>
      </c>
      <c r="C3" s="276" t="s">
        <v>1594</v>
      </c>
      <c r="D3" s="276"/>
      <c r="E3" s="2806"/>
      <c r="F3" s="2806"/>
      <c r="G3" s="2806"/>
      <c r="H3" s="2806"/>
      <c r="I3" s="2806"/>
      <c r="J3" s="2806"/>
      <c r="K3" s="2806"/>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0.05</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88.45</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88.45</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1625</v>
      </c>
      <c r="C20" s="21">
        <f ca="1">ROUND(D20*E20/10000,0)</f>
        <v>0</v>
      </c>
      <c r="D20" s="846">
        <f ca="1">IF(C1="",'数据-汇总表'!E6,IF(INDIRECT("'数据-取费表'!c"&amp;$K$1)="住宅",INDIRECT("'数据-取费表'!s"&amp;$K$1),INDIRECT("'数据-取费表'!k"&amp;$K$1)+INDIRECT("'数据-取费表'!s"&amp;$K$1)))</f>
        <v>88.45</v>
      </c>
      <c r="E20" s="21">
        <f>'数据-取费表'!B28</f>
        <v>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K61" sqref="K6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3383</v>
      </c>
      <c r="D1" s="1362" t="s">
        <v>43</v>
      </c>
      <c r="E1" s="1363" t="s">
        <v>676</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t="e">
        <f ca="1">C40+J29+L46</f>
        <v>#N/A</v>
      </c>
      <c r="C2" s="1387" t="s">
        <v>803</v>
      </c>
      <c r="D2" s="1387"/>
      <c r="E2" s="1388"/>
      <c r="F2" s="1389"/>
      <c r="G2" s="2706"/>
      <c r="H2" s="2695"/>
      <c r="I2" s="2695"/>
      <c r="J2" s="2695"/>
      <c r="K2" s="2696"/>
      <c r="L2" s="2695"/>
      <c r="M2" s="2695"/>
    </row>
    <row r="3" spans="1:37" ht="18" customHeight="1" thickBot="1">
      <c r="A3" s="1390" t="s">
        <v>804</v>
      </c>
      <c r="B3" s="1391">
        <f ca="1">IF(ISERROR(B2*10000/F43),0,ROUND(B2*10000/F43,0))</f>
        <v>0</v>
      </c>
      <c r="C3" s="1387" t="s">
        <v>805</v>
      </c>
      <c r="D3" s="1387"/>
      <c r="E3" s="1388"/>
      <c r="F3" s="1389"/>
      <c r="G3" s="2706"/>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t="e">
        <f ca="1">C6+C10+C12</f>
        <v>#N/A</v>
      </c>
      <c r="D5" s="1364" t="s">
        <v>691</v>
      </c>
      <c r="E5" s="1071"/>
      <c r="F5" s="1072"/>
      <c r="G5" s="1384"/>
      <c r="H5" s="299">
        <v>1</v>
      </c>
      <c r="I5" s="300" t="s">
        <v>690</v>
      </c>
      <c r="J5" s="1070" t="e">
        <f ca="1">J6+J10+J12</f>
        <v>#N/A</v>
      </c>
      <c r="K5" s="1364" t="s">
        <v>691</v>
      </c>
      <c r="L5" s="1071"/>
      <c r="M5" s="1072"/>
    </row>
    <row r="6" spans="1:37" ht="18" customHeight="1">
      <c r="A6" s="1069" t="s">
        <v>398</v>
      </c>
      <c r="B6" s="3642" t="s">
        <v>692</v>
      </c>
      <c r="C6" s="1074" t="e">
        <f ca="1">ROUND(F6*F8*F7*(1-F9)/10000,0)</f>
        <v>#N/A</v>
      </c>
      <c r="D6" s="155" t="s">
        <v>2107</v>
      </c>
      <c r="E6" s="302" t="s">
        <v>694</v>
      </c>
      <c r="F6" s="303" t="e">
        <f ca="1">INDIRECT("'数据-取费表'!u"&amp;$G$1)</f>
        <v>#N/A</v>
      </c>
      <c r="G6" s="1384"/>
      <c r="H6" s="1069" t="s">
        <v>398</v>
      </c>
      <c r="I6" s="3642" t="s">
        <v>692</v>
      </c>
      <c r="J6" s="301" t="e">
        <f ca="1">ROUND(M6*M8*M7*(1-M9)/10000,0)</f>
        <v>#N/A</v>
      </c>
      <c r="K6" s="155" t="s">
        <v>2106</v>
      </c>
      <c r="L6" s="302" t="s">
        <v>694</v>
      </c>
      <c r="M6" s="303" t="e">
        <f ca="1">INDIRECT("'数据-取费表'!z"&amp;$G$1)</f>
        <v>#N/A</v>
      </c>
    </row>
    <row r="7" spans="1:37" ht="18" customHeight="1">
      <c r="A7" s="1073"/>
      <c r="B7" s="3643"/>
      <c r="C7" s="1075"/>
      <c r="D7" s="307"/>
      <c r="E7" s="1076" t="s">
        <v>695</v>
      </c>
      <c r="F7" s="303" t="e">
        <f ca="1">IF(INDIRECT("'数据-取费表'!ah"&amp;$G$1)="",INDIRECT("'数据-取费表'!k"&amp;$G$1),INDIRECT("'数据-取费表'!ah"&amp;$G$1))</f>
        <v>#N/A</v>
      </c>
      <c r="G7" s="1384"/>
      <c r="H7" s="304"/>
      <c r="I7" s="3643"/>
      <c r="J7" s="306"/>
      <c r="K7" s="307"/>
      <c r="L7" s="302" t="s">
        <v>695</v>
      </c>
      <c r="M7" s="303" t="e">
        <f ca="1">F7</f>
        <v>#N/A</v>
      </c>
    </row>
    <row r="8" spans="1:37" ht="18" customHeight="1">
      <c r="A8" s="304"/>
      <c r="B8" s="3643"/>
      <c r="C8" s="306"/>
      <c r="D8" s="307"/>
      <c r="E8" s="302" t="s">
        <v>696</v>
      </c>
      <c r="F8" s="303" t="e">
        <f ca="1">INDIRECT("'数据-取费表'!ai"&amp;$G$1)</f>
        <v>#N/A</v>
      </c>
      <c r="G8" s="1384"/>
      <c r="H8" s="304"/>
      <c r="I8" s="3643"/>
      <c r="J8" s="306"/>
      <c r="K8" s="307"/>
      <c r="L8" s="302" t="s">
        <v>696</v>
      </c>
      <c r="M8" s="303" t="e">
        <f ca="1">INDIRECT("'数据-取费表'!ai"&amp;$G$1)</f>
        <v>#N/A</v>
      </c>
    </row>
    <row r="9" spans="1:37" ht="18" customHeight="1">
      <c r="A9" s="304"/>
      <c r="B9" s="3644"/>
      <c r="C9" s="306"/>
      <c r="D9" s="307"/>
      <c r="E9" s="302" t="s">
        <v>697</v>
      </c>
      <c r="F9" s="312" t="e">
        <f ca="1">INDIRECT("'数据-取费表'!w"&amp;$G$1)</f>
        <v>#N/A</v>
      </c>
      <c r="G9" s="1384"/>
      <c r="H9" s="304"/>
      <c r="I9" s="3644"/>
      <c r="J9" s="306"/>
      <c r="K9" s="307"/>
      <c r="L9" s="313" t="s">
        <v>697</v>
      </c>
      <c r="M9" s="314" t="e">
        <f ca="1">INDIRECT("'数据-取费表'!ab"&amp;$G$1)</f>
        <v>#N/A</v>
      </c>
    </row>
    <row r="10" spans="1:37" ht="18" customHeight="1">
      <c r="A10" s="1069" t="s">
        <v>402</v>
      </c>
      <c r="B10" s="1365" t="s">
        <v>698</v>
      </c>
      <c r="C10" s="316" t="e">
        <f ca="1">ROUND(IF(F10="押一",C6/12*F11,IF(F10="押二",C6/12*2*F11,IF(F10="押三",C6/12*3*F11,C11*F11))),0)</f>
        <v>#N/A</v>
      </c>
      <c r="D10" s="1366" t="s">
        <v>2115</v>
      </c>
      <c r="E10" s="313" t="s">
        <v>699</v>
      </c>
      <c r="F10" s="1116" t="s">
        <v>3387</v>
      </c>
      <c r="G10" s="1384"/>
      <c r="H10" s="1069" t="s">
        <v>402</v>
      </c>
      <c r="I10" s="1365" t="s">
        <v>698</v>
      </c>
      <c r="J10" s="301">
        <f ca="1">ROUND(IF(M10="押一",J6/12*M11,IF(M10="押二",J6/12*2*M11,IF(M10="押三",J6/12*3*M11,J11*M11))),0)</f>
        <v>0</v>
      </c>
      <c r="K10" s="1366" t="s">
        <v>2114</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t="e">
        <f ca="1">ROUND(C29*F13,0)</f>
        <v>#N/A</v>
      </c>
      <c r="D13" s="1081" t="s">
        <v>703</v>
      </c>
      <c r="E13" s="1081" t="s">
        <v>704</v>
      </c>
      <c r="F13" s="1082" t="e">
        <f ca="1">INDIRECT("'数据-取费表'!y"&amp;$G$1)</f>
        <v>#N/A</v>
      </c>
      <c r="G13" s="1384"/>
      <c r="H13" s="1079">
        <v>2</v>
      </c>
      <c r="I13" s="1080" t="s">
        <v>702</v>
      </c>
      <c r="J13" s="1068" t="e">
        <f ca="1">ROUND(J14*J15,0)</f>
        <v>#N/A</v>
      </c>
      <c r="K13" s="1087" t="s">
        <v>703</v>
      </c>
      <c r="L13" s="1392"/>
      <c r="M13" s="1393"/>
    </row>
    <row r="14" spans="1:37" ht="18" customHeight="1">
      <c r="A14" s="982" t="s">
        <v>397</v>
      </c>
      <c r="B14" s="302" t="s">
        <v>705</v>
      </c>
      <c r="C14" s="318" t="e">
        <f ca="1">INDIRECT("'数据-取费表'!m"&amp;$G$1)+INDIRECT("'数据-取费表'!t"&amp;$G$1)</f>
        <v>#N/A</v>
      </c>
      <c r="D14" s="1345" t="s">
        <v>706</v>
      </c>
      <c r="E14" s="1342"/>
      <c r="F14" s="319"/>
      <c r="G14" s="1384"/>
      <c r="H14" s="982" t="s">
        <v>398</v>
      </c>
      <c r="I14" s="302" t="s">
        <v>707</v>
      </c>
      <c r="J14" s="21" t="e">
        <f ca="1">C29</f>
        <v>#N/A</v>
      </c>
      <c r="K14" s="12"/>
      <c r="L14" s="807"/>
      <c r="M14" s="808"/>
    </row>
    <row r="15" spans="1:37" s="1397" customFormat="1" ht="18" customHeight="1" thickBot="1">
      <c r="A15" s="982" t="s">
        <v>399</v>
      </c>
      <c r="B15" s="302" t="s">
        <v>708</v>
      </c>
      <c r="C15" s="21" t="e">
        <f ca="1">ROUND(C14*F15,0)</f>
        <v>#N/A</v>
      </c>
      <c r="D15" s="320" t="s">
        <v>709</v>
      </c>
      <c r="E15" s="320" t="s">
        <v>710</v>
      </c>
      <c r="F15" s="321">
        <f>'数据-取费表'!B33</f>
        <v>0.05</v>
      </c>
      <c r="G15" s="1396"/>
      <c r="H15" s="1089" t="s">
        <v>402</v>
      </c>
      <c r="I15" s="1090" t="s">
        <v>704</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t="e">
        <f ca="1">ROUND(INDIRECT("'数据-取费表'!m"&amp;$G$1)*F16,0)</f>
        <v>#N/A</v>
      </c>
      <c r="D16" s="302" t="s">
        <v>709</v>
      </c>
      <c r="E16" s="302" t="s">
        <v>710</v>
      </c>
      <c r="F16" s="322" t="e">
        <f ca="1">IF(INDIRECT("'数据-取费表'!c"&amp;$G$1)="住宅",'数据-取费表'!B34,0)</f>
        <v>#N/A</v>
      </c>
      <c r="G16" s="1384"/>
      <c r="H16" s="1079" t="s">
        <v>393</v>
      </c>
      <c r="I16" s="1080" t="s">
        <v>712</v>
      </c>
      <c r="J16" s="310" t="e">
        <f ca="1">ROUND(J17+J22+J23+J24,0)</f>
        <v>#N/A</v>
      </c>
      <c r="K16" s="1087" t="s">
        <v>713</v>
      </c>
      <c r="L16" s="1088"/>
      <c r="M16" s="1072"/>
    </row>
    <row r="17" spans="1:37" s="1397" customFormat="1" ht="18" customHeight="1">
      <c r="A17" s="982" t="s">
        <v>679</v>
      </c>
      <c r="B17" s="302" t="s">
        <v>714</v>
      </c>
      <c r="C17" s="21" t="e">
        <f ca="1">ROUND(F17*(F43+INDIRECT("'数据-取费表'!S"&amp;$G$1))/10000,0)</f>
        <v>#N/A</v>
      </c>
      <c r="D17" s="302" t="s">
        <v>715</v>
      </c>
      <c r="E17" s="302" t="s">
        <v>716</v>
      </c>
      <c r="F17" s="23">
        <f>'数据-取费表'!B35</f>
        <v>200</v>
      </c>
      <c r="G17" s="1396"/>
      <c r="H17" s="982" t="s">
        <v>398</v>
      </c>
      <c r="I17" s="302" t="s">
        <v>717</v>
      </c>
      <c r="J17" s="2316" t="e">
        <f ca="1">ROUND(IF(AND(项目基本情况!B11="自然人",项目基本情况!B10="北京市"),J6*M17/(1+'数据-取费表'!C42),J18+J19+J20),2)</f>
        <v>#N/A</v>
      </c>
      <c r="K17" s="1345" t="s">
        <v>718</v>
      </c>
      <c r="L17" s="1344" t="s">
        <v>719</v>
      </c>
      <c r="M17" s="2315" t="e">
        <f ca="1">IF(项目基本情况!B11="企业","",IF('数据-取费表'!B10="住宅",IF(M6*M7*M8/12/(1+'数据-取费表'!F30)&gt;100000,4%,2.5%),IF(M6*M7*M8/12/(1+'数据-取费表'!F30)&gt;100000,12%,7%)))</f>
        <v>#N/A</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t="e">
        <f ca="1">ROUND(C14*F18,0)</f>
        <v>#N/A</v>
      </c>
      <c r="D18" s="302" t="s">
        <v>709</v>
      </c>
      <c r="E18" s="302" t="s">
        <v>710</v>
      </c>
      <c r="F18" s="322">
        <f>'数据-取费表'!B36</f>
        <v>1.4999999999999999E-2</v>
      </c>
      <c r="G18" s="1396"/>
      <c r="H18" s="982" t="s">
        <v>397</v>
      </c>
      <c r="I18" s="302" t="s">
        <v>721</v>
      </c>
      <c r="J18" s="21" t="e">
        <f ca="1">ROUND(J6*M18/(1+'数据-取费表'!C42),2)</f>
        <v>#N/A</v>
      </c>
      <c r="K18" s="1344" t="s">
        <v>722</v>
      </c>
      <c r="L18" s="302" t="s">
        <v>710</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t="e">
        <f ca="1">SUM(C14:C18)</f>
        <v>#N/A</v>
      </c>
      <c r="D19" s="131" t="s">
        <v>724</v>
      </c>
      <c r="E19" s="1360"/>
      <c r="F19" s="23"/>
      <c r="G19" s="1384"/>
      <c r="H19" s="982" t="s">
        <v>399</v>
      </c>
      <c r="I19" s="302" t="s">
        <v>725</v>
      </c>
      <c r="J19" s="21" t="e">
        <f ca="1">IF(K19="按租金收入计税",ROUND(J6*M19/(1+'数据-取费表'!C42),2),ROUND(C29*M19*0.7,2))</f>
        <v>#N/A</v>
      </c>
      <c r="K19" s="1370" t="s">
        <v>3339</v>
      </c>
      <c r="L19" s="302" t="s">
        <v>710</v>
      </c>
      <c r="M19" s="322">
        <f>IF(K19="按租金收入计税",'数据-取费表'!B51,'数据-取费表'!B50)</f>
        <v>0.12</v>
      </c>
    </row>
    <row r="20" spans="1:37" s="1397" customFormat="1" ht="18" customHeight="1">
      <c r="A20" s="982" t="s">
        <v>402</v>
      </c>
      <c r="B20" s="302" t="s">
        <v>726</v>
      </c>
      <c r="C20" s="21" t="e">
        <f ca="1">ROUND(C19*F20,0)</f>
        <v>#N/A</v>
      </c>
      <c r="D20" s="323" t="s">
        <v>727</v>
      </c>
      <c r="E20" s="302" t="s">
        <v>710</v>
      </c>
      <c r="F20" s="322">
        <f>'数据-取费表'!B37</f>
        <v>0.02</v>
      </c>
      <c r="G20" s="1396"/>
      <c r="H20" s="982" t="s">
        <v>678</v>
      </c>
      <c r="I20" s="155" t="s">
        <v>728</v>
      </c>
      <c r="J20" s="22" t="e">
        <f ca="1">ROUND(M20*M21/10000,2)</f>
        <v>#N/A</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0.02</v>
      </c>
      <c r="G21" s="1396"/>
      <c r="H21" s="326"/>
      <c r="I21" s="311"/>
      <c r="J21" s="26"/>
      <c r="K21" s="327"/>
      <c r="L21" s="302" t="s">
        <v>734</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t="e">
        <f ca="1">ROUND(J14*M22,2)</f>
        <v>#N/A</v>
      </c>
      <c r="K22" s="1344" t="s">
        <v>737</v>
      </c>
      <c r="L22" s="302" t="s">
        <v>710</v>
      </c>
      <c r="M22" s="328" t="e">
        <f ca="1">INDIRECT("'数据-取费表'!Ak"&amp;$G$1)</f>
        <v>#N/A</v>
      </c>
    </row>
    <row r="23" spans="1:37" s="1397" customFormat="1" ht="18" customHeight="1">
      <c r="A23" s="982" t="s">
        <v>397</v>
      </c>
      <c r="B23" s="302" t="s">
        <v>738</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t="e">
        <f ca="1">ROUND(J13*M23,2)</f>
        <v>#N/A</v>
      </c>
      <c r="K23" s="1344" t="s">
        <v>741</v>
      </c>
      <c r="L23" s="302" t="s">
        <v>742</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8.0000000000000004E-4</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t="e">
        <f ca="1">ROUND(J5*M24,2)</f>
        <v>#N/A</v>
      </c>
      <c r="K24" s="1092" t="s">
        <v>746</v>
      </c>
      <c r="L24" s="1090" t="s">
        <v>742</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t="e">
        <f ca="1">J5-J16</f>
        <v>#N/A</v>
      </c>
      <c r="K25" s="1095" t="s">
        <v>751</v>
      </c>
      <c r="L25" s="1096"/>
      <c r="M25" s="1097"/>
    </row>
    <row r="26" spans="1:37">
      <c r="A26" s="982" t="s">
        <v>397</v>
      </c>
      <c r="B26" s="302" t="s">
        <v>752</v>
      </c>
      <c r="C26" s="21" t="e">
        <f ca="1">ROUND((C19+C20)*F26,0)</f>
        <v>#N/A</v>
      </c>
      <c r="D26" s="323" t="s">
        <v>753</v>
      </c>
      <c r="E26" s="313" t="s">
        <v>754</v>
      </c>
      <c r="F26" s="312" t="e">
        <f ca="1">INDIRECT("'数据-取费表'!q"&amp;$G$1)</f>
        <v>#N/A</v>
      </c>
      <c r="G26" s="1384"/>
      <c r="H26" s="299" t="s">
        <v>395</v>
      </c>
      <c r="I26" s="300" t="s">
        <v>755</v>
      </c>
      <c r="J26" s="301" t="e">
        <f ca="1">IF(J5&lt;&gt;0,ROUND(J25*(1-((1+M28)/(1+M26))^M27)/(M26-M28),0),0)</f>
        <v>#N/A</v>
      </c>
      <c r="K26" s="324" t="s">
        <v>756</v>
      </c>
      <c r="L26" s="302" t="s">
        <v>757</v>
      </c>
      <c r="M26" s="312" t="e">
        <f ca="1">INDIRECT("'数据-取费表'!I"&amp;$G$1)</f>
        <v>#N/A</v>
      </c>
    </row>
    <row r="27" spans="1:37" ht="18" customHeight="1">
      <c r="A27" s="982" t="s">
        <v>399</v>
      </c>
      <c r="B27" s="302" t="s">
        <v>758</v>
      </c>
      <c r="C27" s="21" t="e">
        <f ca="1">ROUND(F21*F26,4)</f>
        <v>#N/A</v>
      </c>
      <c r="D27" s="323" t="s">
        <v>759</v>
      </c>
      <c r="E27" s="320"/>
      <c r="F27" s="321"/>
      <c r="G27" s="1384"/>
      <c r="H27" s="304"/>
      <c r="I27" s="305"/>
      <c r="J27" s="306"/>
      <c r="K27" s="332" t="s">
        <v>760</v>
      </c>
      <c r="L27" s="302" t="s">
        <v>761</v>
      </c>
      <c r="M27" s="333" t="e">
        <f ca="1">INDIRECT("'数据-取费表'!ag"&amp;$G$1)</f>
        <v>#N/A</v>
      </c>
    </row>
    <row r="28" spans="1:37" s="1397" customFormat="1" ht="18" customHeight="1">
      <c r="A28" s="982" t="s">
        <v>400</v>
      </c>
      <c r="B28" s="302" t="s">
        <v>762</v>
      </c>
      <c r="C28" s="21">
        <f>ROUND(F28/(1+'数据-取费表'!C42),4)</f>
        <v>5.2400000000000002E-2</v>
      </c>
      <c r="D28" s="323" t="s">
        <v>763</v>
      </c>
      <c r="E28" s="302" t="s">
        <v>710</v>
      </c>
      <c r="F28" s="322">
        <f>'数据-取费表'!B41</f>
        <v>5.5000000000000007E-2</v>
      </c>
      <c r="G28" s="1396"/>
      <c r="H28" s="308"/>
      <c r="I28" s="309"/>
      <c r="J28" s="310"/>
      <c r="K28" s="327"/>
      <c r="L28" s="302" t="s">
        <v>764</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t="e">
        <f ca="1">ROUND((C19+C20+C23+C26)/(1-F21-C24-C27-C28),0)</f>
        <v>#N/A</v>
      </c>
      <c r="D29" s="1092"/>
      <c r="E29" s="1090"/>
      <c r="F29" s="1093"/>
      <c r="G29" s="1396"/>
      <c r="H29" s="334" t="s">
        <v>396</v>
      </c>
      <c r="I29" s="335" t="s">
        <v>766</v>
      </c>
      <c r="J29" s="336" t="e">
        <f ca="1">ROUND(J26/(1+F40)^F41,0)</f>
        <v>#N/A</v>
      </c>
      <c r="K29" s="337" t="s">
        <v>767</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t="e">
        <f ca="1">ROUND(C31+C36+C37+C38,0)</f>
        <v>#N/A</v>
      </c>
      <c r="D30" s="1087" t="s">
        <v>713</v>
      </c>
      <c r="E30" s="1088"/>
      <c r="F30" s="1072"/>
      <c r="G30" s="1384"/>
      <c r="H30" s="2697"/>
      <c r="I30" s="1398"/>
      <c r="J30" s="1399"/>
      <c r="K30" s="2475"/>
      <c r="L30" s="2698"/>
      <c r="M30" s="2699"/>
    </row>
    <row r="31" spans="1:37" ht="18" customHeight="1">
      <c r="A31" s="982" t="s">
        <v>398</v>
      </c>
      <c r="B31" s="302" t="s">
        <v>717</v>
      </c>
      <c r="C31" s="2316" t="e">
        <f ca="1">ROUND(IF(AND(项目基本情况!B11="自然人",项目基本情况!B10="北京市"),C6*F31/(1+'数据-取费表'!C42),C32+C33+C34),2)</f>
        <v>#N/A</v>
      </c>
      <c r="D31" s="1345" t="s">
        <v>718</v>
      </c>
      <c r="E31" s="1344" t="s">
        <v>768</v>
      </c>
      <c r="F31" s="2315" t="e">
        <f ca="1">IF(项目基本情况!B11="企业","——",IF(M47="住宅",IF(F6*F7*F8/12/(1+'数据-取费表'!F30)&gt;100000,4%,2.5%),IF(F6*F7*F8/12/(1+'数据-取费表'!F30)&gt;100000,12%,7%)))</f>
        <v>#N/A</v>
      </c>
      <c r="G31" s="1384"/>
      <c r="H31" s="2808" t="s">
        <v>2308</v>
      </c>
      <c r="I31" s="1398"/>
      <c r="J31" s="1399"/>
      <c r="K31" s="2475"/>
      <c r="L31" s="2698"/>
      <c r="M31" s="2699"/>
    </row>
    <row r="32" spans="1:37" ht="18" customHeight="1">
      <c r="A32" s="982" t="s">
        <v>397</v>
      </c>
      <c r="B32" s="302" t="s">
        <v>721</v>
      </c>
      <c r="C32" s="21" t="str">
        <f>IF(项目基本情况!B11="自然人","——",ROUND(C6*F32/(1+'数据-取费表'!C42),2))</f>
        <v>——</v>
      </c>
      <c r="D32" s="1344" t="s">
        <v>722</v>
      </c>
      <c r="E32" s="302" t="s">
        <v>710</v>
      </c>
      <c r="F32" s="331">
        <f>'数据-取费表'!B41</f>
        <v>5.5000000000000007E-2</v>
      </c>
      <c r="G32" s="1384"/>
      <c r="H32" s="2697"/>
      <c r="I32" s="1398"/>
      <c r="J32" s="1399"/>
      <c r="K32" s="2475"/>
      <c r="L32" s="2698"/>
      <c r="M32" s="2699"/>
    </row>
    <row r="33" spans="1:18" ht="18" customHeight="1">
      <c r="A33" s="982" t="s">
        <v>399</v>
      </c>
      <c r="B33" s="302" t="s">
        <v>725</v>
      </c>
      <c r="C33" s="21" t="str">
        <f ca="1">IF(项目基本情况!B11="自然人","——",IF(D33="按租金收入计税",ROUND(C6*F33/(1+'数据-取费表'!C42),2),IF(D33="按房产原值计税",ROUND(C29*F33*0.7,2),INDIRECT("'数据-取费表'!Aj"&amp;$G$1))))</f>
        <v>——</v>
      </c>
      <c r="D33" s="1370" t="s">
        <v>3339</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t="str">
        <f>IF(项目基本情况!B11="自然人","——",ROUND(F34*F35/10000,2))</f>
        <v>——</v>
      </c>
      <c r="D34" s="324" t="s">
        <v>729</v>
      </c>
      <c r="E34" s="302" t="s">
        <v>730</v>
      </c>
      <c r="F34" s="325">
        <f>'数据-取费表'!B52</f>
        <v>0</v>
      </c>
      <c r="G34" s="1384"/>
      <c r="H34" s="2697"/>
      <c r="I34" s="1398"/>
      <c r="J34" s="1399"/>
      <c r="K34" s="2702"/>
      <c r="L34" s="2703"/>
      <c r="M34" s="2703"/>
    </row>
    <row r="35" spans="1:18" ht="18" customHeight="1">
      <c r="A35" s="1103"/>
      <c r="B35" s="1101"/>
      <c r="C35" s="26"/>
      <c r="D35" s="327"/>
      <c r="E35" s="302" t="s">
        <v>734</v>
      </c>
      <c r="F35" s="303" t="e">
        <f ca="1">INDIRECT("'数据-取费表'!r"&amp;$G$1)</f>
        <v>#N/A</v>
      </c>
      <c r="G35" s="1384"/>
      <c r="H35" s="2697"/>
      <c r="I35" s="1398"/>
      <c r="J35" s="1399"/>
      <c r="K35" s="2701"/>
      <c r="L35" s="2700"/>
      <c r="M35" s="2700"/>
    </row>
    <row r="36" spans="1:18" ht="18" customHeight="1">
      <c r="A36" s="1102" t="s">
        <v>402</v>
      </c>
      <c r="B36" s="302" t="s">
        <v>736</v>
      </c>
      <c r="C36" s="21" t="e">
        <f ca="1">ROUND(C29*F36,2)</f>
        <v>#N/A</v>
      </c>
      <c r="D36" s="1344" t="s">
        <v>769</v>
      </c>
      <c r="E36" s="302" t="s">
        <v>710</v>
      </c>
      <c r="F36" s="328" t="e">
        <f ca="1">INDIRECT("'数据-取费表'!Ak"&amp;$G$1)</f>
        <v>#N/A</v>
      </c>
      <c r="G36" s="1384"/>
      <c r="H36" s="2700"/>
      <c r="I36" s="1398"/>
      <c r="J36" s="1399"/>
      <c r="K36" s="2544"/>
      <c r="L36" s="2700"/>
      <c r="M36" s="2700"/>
    </row>
    <row r="37" spans="1:18" ht="18" customHeight="1">
      <c r="A37" s="982" t="s">
        <v>437</v>
      </c>
      <c r="B37" s="302" t="s">
        <v>740</v>
      </c>
      <c r="C37" s="21" t="e">
        <f ca="1">ROUND(C13*F37,2)</f>
        <v>#N/A</v>
      </c>
      <c r="D37" s="1344" t="s">
        <v>741</v>
      </c>
      <c r="E37" s="302" t="s">
        <v>742</v>
      </c>
      <c r="F37" s="330" t="e">
        <f ca="1">INDIRECT("'数据-取费表'!Al"&amp;$G$1)</f>
        <v>#N/A</v>
      </c>
      <c r="G37" s="1384"/>
      <c r="H37" s="2700"/>
      <c r="I37" s="1398"/>
      <c r="J37" s="1399"/>
      <c r="K37" s="2544"/>
      <c r="L37" s="2700"/>
      <c r="M37" s="2700"/>
    </row>
    <row r="38" spans="1:18" ht="18" customHeight="1" thickBot="1">
      <c r="A38" s="1089" t="s">
        <v>682</v>
      </c>
      <c r="B38" s="1090" t="s">
        <v>726</v>
      </c>
      <c r="C38" s="1091" t="e">
        <f ca="1">ROUND(C5*F38,2)</f>
        <v>#N/A</v>
      </c>
      <c r="D38" s="1092" t="s">
        <v>746</v>
      </c>
      <c r="E38" s="1090" t="s">
        <v>742</v>
      </c>
      <c r="F38" s="1086" t="e">
        <f ca="1">INDIRECT("'数据-取费表'!Am"&amp;$G$1)</f>
        <v>#N/A</v>
      </c>
      <c r="G38" s="1384"/>
      <c r="H38" s="2700"/>
      <c r="I38" s="1398"/>
      <c r="J38" s="1399"/>
      <c r="K38" s="2704"/>
      <c r="L38" s="2700"/>
      <c r="M38" s="2700"/>
    </row>
    <row r="39" spans="1:18" ht="24.6" customHeight="1" thickTop="1">
      <c r="A39" s="1079" t="s">
        <v>394</v>
      </c>
      <c r="B39" s="1094" t="s">
        <v>770</v>
      </c>
      <c r="C39" s="310" t="e">
        <f ca="1">C5-C30</f>
        <v>#N/A</v>
      </c>
      <c r="D39" s="1095" t="s">
        <v>771</v>
      </c>
      <c r="E39" s="1096"/>
      <c r="F39" s="1097"/>
      <c r="G39" s="1384"/>
      <c r="H39" s="2700"/>
      <c r="I39" s="1398"/>
      <c r="J39" s="1399"/>
      <c r="K39" s="2704"/>
      <c r="L39" s="2700"/>
      <c r="M39" s="2700"/>
    </row>
    <row r="40" spans="1:18" ht="18" customHeight="1">
      <c r="A40" s="299" t="s">
        <v>395</v>
      </c>
      <c r="B40" s="300" t="s">
        <v>772</v>
      </c>
      <c r="C40" s="301" t="e">
        <f ca="1">ROUND(C39*(1-((1+F42)/(1+F40))^F41)/(F40-F42),0)</f>
        <v>#N/A</v>
      </c>
      <c r="D40" s="324" t="s">
        <v>756</v>
      </c>
      <c r="E40" s="302" t="s">
        <v>757</v>
      </c>
      <c r="F40" s="312" t="e">
        <f ca="1">INDIRECT("'数据-取费表'!I"&amp;$G$1)</f>
        <v>#N/A</v>
      </c>
      <c r="G40" s="1384"/>
      <c r="H40" s="1461"/>
      <c r="I40" s="1398"/>
      <c r="J40" s="1399"/>
      <c r="K40" s="2704"/>
      <c r="L40" s="1461"/>
      <c r="M40" s="1461"/>
    </row>
    <row r="41" spans="1:18" ht="18" customHeight="1">
      <c r="A41" s="304"/>
      <c r="B41" s="305"/>
      <c r="C41" s="306"/>
      <c r="D41" s="332" t="s">
        <v>773</v>
      </c>
      <c r="E41" s="302" t="s">
        <v>761</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764</v>
      </c>
      <c r="F42" s="312" t="e">
        <f ca="1">INDIRECT("'数据-取费表'!v"&amp;$G$1)</f>
        <v>#N/A</v>
      </c>
      <c r="G42" s="1384"/>
      <c r="H42" s="1191"/>
      <c r="I42" s="1398"/>
      <c r="J42" s="1399"/>
      <c r="K42" s="2544"/>
      <c r="L42" s="1191"/>
      <c r="M42" s="1191"/>
    </row>
    <row r="43" spans="1:18" ht="18" customHeight="1" thickBot="1">
      <c r="A43" s="334" t="s">
        <v>396</v>
      </c>
      <c r="B43" s="335" t="s">
        <v>774</v>
      </c>
      <c r="C43" s="336" t="e">
        <f ca="1">ROUND(C40*10000/F43,0)</f>
        <v>#N/A</v>
      </c>
      <c r="D43" s="337" t="s">
        <v>775</v>
      </c>
      <c r="E43" s="338" t="s">
        <v>776</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806</v>
      </c>
      <c r="P45" s="1461"/>
      <c r="Q45" s="1461"/>
      <c r="R45" s="1461"/>
    </row>
    <row r="46" spans="1:18" s="1384" customFormat="1" ht="13.5" thickBot="1">
      <c r="A46" s="1404" t="s">
        <v>807</v>
      </c>
      <c r="C46" s="1405" t="e">
        <f ca="1">C68-C40</f>
        <v>#N/A</v>
      </c>
      <c r="D46" s="1406" t="str">
        <f>C2</f>
        <v>万元</v>
      </c>
      <c r="E46" s="1400"/>
      <c r="F46" s="1400"/>
      <c r="I46" s="1407" t="s">
        <v>808</v>
      </c>
      <c r="J46" s="1408"/>
      <c r="K46" s="1409"/>
      <c r="L46" s="1410" t="e">
        <f ca="1">IF(M47="住宅",0,IF(L48&gt;J51,L60,J60))</f>
        <v>#N/A</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t="s">
        <v>3377</v>
      </c>
      <c r="K47" s="1416" t="s">
        <v>814</v>
      </c>
      <c r="L47" s="1417" t="e">
        <f ca="1">INDIRECT("'数据-取费表'!d"&amp;$G$1)</f>
        <v>#N/A</v>
      </c>
      <c r="M47" s="1380" t="str">
        <f>IF(ISNUMBER(FIND("住宅",C1)),"住宅","非住宅")</f>
        <v>非住宅</v>
      </c>
      <c r="O47" s="1418" t="s">
        <v>403</v>
      </c>
      <c r="P47" s="1419" t="s">
        <v>815</v>
      </c>
      <c r="Q47" s="1420" t="e">
        <f ca="1">C40+J29</f>
        <v>#N/A</v>
      </c>
      <c r="R47" s="1420" t="s">
        <v>816</v>
      </c>
    </row>
    <row r="48" spans="1:18" s="1384" customFormat="1" ht="28.5" thickBot="1">
      <c r="A48" s="1110" t="s">
        <v>438</v>
      </c>
      <c r="B48" s="300" t="s">
        <v>690</v>
      </c>
      <c r="C48" s="1359" t="e">
        <f ca="1">C49+C53+C55</f>
        <v>#N/A</v>
      </c>
      <c r="D48" s="1112"/>
      <c r="E48" s="1113"/>
      <c r="F48" s="962"/>
      <c r="G48" s="722"/>
      <c r="H48" s="723"/>
      <c r="I48" s="1421" t="s">
        <v>817</v>
      </c>
      <c r="J48" s="1422" t="s">
        <v>3388</v>
      </c>
      <c r="K48" s="1423" t="s">
        <v>818</v>
      </c>
      <c r="L48" s="1424" t="e">
        <f ca="1">INDIRECT("'数据-取费表'!f"&amp;$G$1)</f>
        <v>#N/A</v>
      </c>
      <c r="O48" s="1418" t="s">
        <v>404</v>
      </c>
      <c r="P48" s="1419" t="s">
        <v>819</v>
      </c>
      <c r="Q48" s="1420" t="e">
        <f ca="1">J60</f>
        <v>#N/A</v>
      </c>
      <c r="R48" s="1420" t="s">
        <v>820</v>
      </c>
    </row>
    <row r="49" spans="1:18" s="1384" customFormat="1" ht="13.5" thickBot="1">
      <c r="A49" s="975" t="s">
        <v>439</v>
      </c>
      <c r="B49" s="1371" t="s">
        <v>777</v>
      </c>
      <c r="C49" s="1114" t="e">
        <f ca="1">ROUND(F49*F51*F50*(1-F52)/10000,0)</f>
        <v>#N/A</v>
      </c>
      <c r="D49" s="1055" t="s">
        <v>2108</v>
      </c>
      <c r="E49" s="1372" t="s">
        <v>778</v>
      </c>
      <c r="F49" s="1060"/>
      <c r="G49" s="1425"/>
      <c r="H49" s="723"/>
      <c r="I49" s="1421" t="s">
        <v>821</v>
      </c>
      <c r="J49" s="1426">
        <v>2012</v>
      </c>
      <c r="K49" s="1423" t="s">
        <v>822</v>
      </c>
      <c r="L49" s="1427"/>
      <c r="O49" s="1428" t="s">
        <v>405</v>
      </c>
      <c r="P49" s="1419" t="s">
        <v>823</v>
      </c>
      <c r="Q49" s="1420" t="e">
        <f ca="1">C29</f>
        <v>#N/A</v>
      </c>
      <c r="R49" s="1420" t="s">
        <v>816</v>
      </c>
    </row>
    <row r="50" spans="1:18" s="1384" customFormat="1" ht="13.5" thickBot="1">
      <c r="A50" s="976"/>
      <c r="B50" s="979"/>
      <c r="C50" s="1118"/>
      <c r="D50" s="953"/>
      <c r="E50" s="1056" t="s">
        <v>695</v>
      </c>
      <c r="F50" s="1057" t="e">
        <f ca="1">F7</f>
        <v>#N/A</v>
      </c>
      <c r="H50" s="723"/>
      <c r="I50" s="1421" t="s">
        <v>824</v>
      </c>
      <c r="J50" s="1429">
        <f>SUMPRODUCT((I63:I65=J47)*(J62:L62=J48)*(J63:L65))</f>
        <v>60</v>
      </c>
      <c r="K50" s="1423" t="s">
        <v>825</v>
      </c>
      <c r="L50" s="1427"/>
      <c r="M50" s="1430"/>
      <c r="O50" s="1428" t="s">
        <v>406</v>
      </c>
      <c r="P50" s="1419" t="s">
        <v>826</v>
      </c>
      <c r="Q50" s="1431" t="e">
        <f ca="1">J58</f>
        <v>#N/A</v>
      </c>
      <c r="R50" s="1420"/>
    </row>
    <row r="51" spans="1:18" s="1384" customFormat="1" ht="13.5" thickBot="1">
      <c r="A51" s="977"/>
      <c r="B51" s="979"/>
      <c r="C51" s="980"/>
      <c r="D51" s="953"/>
      <c r="E51" s="981" t="s">
        <v>696</v>
      </c>
      <c r="F51" s="303" t="e">
        <f ca="1">F8</f>
        <v>#N/A</v>
      </c>
      <c r="I51" s="1432" t="s">
        <v>827</v>
      </c>
      <c r="J51" s="1433">
        <f>IF(J49="",J50,J49+J50-YEAR('数据-取费表'!B2))</f>
        <v>49</v>
      </c>
      <c r="K51" s="1434" t="s">
        <v>828</v>
      </c>
      <c r="L51" s="1435" t="e">
        <f ca="1">ROUND(-PV(INDIRECT("'数据-取费表'!h"&amp;$G$1),J51,(C39-C13*C76),0),0)</f>
        <v>#N/A</v>
      </c>
      <c r="M51" s="1436"/>
      <c r="O51" s="1428" t="s">
        <v>407</v>
      </c>
      <c r="P51" s="1419" t="s">
        <v>829</v>
      </c>
      <c r="Q51" s="1431">
        <f>J52</f>
        <v>7.4999999999999997E-2</v>
      </c>
      <c r="R51" s="1420"/>
    </row>
    <row r="52" spans="1:18" s="1384" customFormat="1" ht="13.5" thickBot="1">
      <c r="A52" s="977"/>
      <c r="B52" s="979"/>
      <c r="C52" s="980"/>
      <c r="D52" s="953"/>
      <c r="E52" s="981" t="s">
        <v>697</v>
      </c>
      <c r="F52" s="1054"/>
      <c r="I52" s="1437" t="s">
        <v>830</v>
      </c>
      <c r="J52" s="1438">
        <v>7.4999999999999997E-2</v>
      </c>
      <c r="K52" s="1437" t="s">
        <v>831</v>
      </c>
      <c r="L52" s="1438"/>
      <c r="O52" s="1428" t="s">
        <v>408</v>
      </c>
      <c r="P52" s="1419" t="s">
        <v>832</v>
      </c>
      <c r="Q52" s="1420" t="e">
        <f ca="1">J53</f>
        <v>#N/A</v>
      </c>
      <c r="R52" s="1420" t="s">
        <v>833</v>
      </c>
    </row>
    <row r="53" spans="1:18" s="1384" customFormat="1" ht="24.75" thickBot="1">
      <c r="A53" s="1152" t="s">
        <v>440</v>
      </c>
      <c r="B53" s="1373" t="s">
        <v>698</v>
      </c>
      <c r="C53" s="316">
        <f ca="1">ROUND(IF(F53="押一",C49/12*F11,IF(F53="押二",C49/12*2*F11,IF(F53="押三",C49/12*3*F11,C54*F11))),0)</f>
        <v>0</v>
      </c>
      <c r="D53" s="1366" t="s">
        <v>2114</v>
      </c>
      <c r="E53" s="313" t="s">
        <v>699</v>
      </c>
      <c r="F53" s="1116"/>
      <c r="I53" s="1439" t="s">
        <v>834</v>
      </c>
      <c r="J53" s="2168" t="e">
        <f ca="1">IF(M47="住宅",IF(D1="——",MAX(J51,L48),MAX(J51,L48-'数据-取费表'!B24)),IF(D1="——",MIN(J51,L48),MIN(J51,L48-'数据-取费表'!B24)))</f>
        <v>#N/A</v>
      </c>
      <c r="K53" s="3640" t="s">
        <v>835</v>
      </c>
      <c r="L53" s="3641"/>
      <c r="O53" s="1418" t="s">
        <v>409</v>
      </c>
      <c r="P53" s="1419" t="s">
        <v>836</v>
      </c>
      <c r="Q53" s="1420" t="e">
        <f ca="1">Q47+Q48</f>
        <v>#N/A</v>
      </c>
      <c r="R53" s="1420" t="s">
        <v>410</v>
      </c>
    </row>
    <row r="54" spans="1:18" s="1384" customFormat="1" ht="13.5" thickBot="1">
      <c r="A54" s="1153"/>
      <c r="B54" s="1367" t="s">
        <v>677</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#N/A</v>
      </c>
      <c r="K55" s="1445" t="s">
        <v>839</v>
      </c>
      <c r="L55" s="1446"/>
      <c r="O55" s="1411" t="s">
        <v>809</v>
      </c>
      <c r="P55" s="1412" t="s">
        <v>810</v>
      </c>
      <c r="Q55" s="1413" t="s">
        <v>811</v>
      </c>
      <c r="R55" s="1413" t="s">
        <v>812</v>
      </c>
    </row>
    <row r="56" spans="1:18" s="1384" customFormat="1" ht="25.5" thickTop="1" thickBot="1">
      <c r="A56" s="957">
        <v>2</v>
      </c>
      <c r="B56" s="958" t="s">
        <v>702</v>
      </c>
      <c r="C56" s="232" t="e">
        <f ca="1">C13</f>
        <v>#N/A</v>
      </c>
      <c r="D56" s="1447"/>
      <c r="E56" s="1448"/>
      <c r="F56" s="1440"/>
      <c r="I56" s="1449" t="s">
        <v>840</v>
      </c>
      <c r="J56" s="1450" t="s">
        <v>3389</v>
      </c>
      <c r="K56" s="1421" t="s">
        <v>841</v>
      </c>
      <c r="L56" s="1424" t="e">
        <f ca="1">IF(L48&lt;J51,"——",L48-J53)</f>
        <v>#N/A</v>
      </c>
      <c r="O56" s="1418" t="s">
        <v>403</v>
      </c>
      <c r="P56" s="1419" t="s">
        <v>815</v>
      </c>
      <c r="Q56" s="1420" t="e">
        <f ca="1">C40+J29</f>
        <v>#N/A</v>
      </c>
      <c r="R56" s="1420" t="s">
        <v>816</v>
      </c>
    </row>
    <row r="57" spans="1:18" s="1384" customFormat="1" ht="24.75" thickBot="1">
      <c r="A57" s="1451"/>
      <c r="B57" s="950" t="s">
        <v>765</v>
      </c>
      <c r="C57" s="238" t="e">
        <f ca="1">C29</f>
        <v>#N/A</v>
      </c>
      <c r="D57" s="1452"/>
      <c r="E57" s="1453"/>
      <c r="F57" s="1454"/>
      <c r="I57" s="1455" t="s">
        <v>842</v>
      </c>
      <c r="J57" s="1456" t="e">
        <f ca="1">IF(OR(M47="住宅",J51&lt;L48,J56="是"),"——",J51-L48)</f>
        <v>#N/A</v>
      </c>
      <c r="K57" s="1421" t="s">
        <v>843</v>
      </c>
      <c r="L57" s="1424" t="e">
        <f ca="1">IF(L48&lt;J51,"——",IF(L55="比较法",L49,IF(L55="基准地价",L50,L51)))</f>
        <v>#N/A</v>
      </c>
      <c r="O57" s="1418" t="s">
        <v>404</v>
      </c>
      <c r="P57" s="1419" t="s">
        <v>844</v>
      </c>
      <c r="Q57" s="1420" t="e">
        <f ca="1">L60</f>
        <v>#N/A</v>
      </c>
      <c r="R57" s="1420" t="s">
        <v>845</v>
      </c>
    </row>
    <row r="58" spans="1:18" s="1384" customFormat="1" ht="24.75" thickBot="1">
      <c r="A58" s="315" t="s">
        <v>393</v>
      </c>
      <c r="B58" s="958" t="s">
        <v>712</v>
      </c>
      <c r="C58" s="316" t="e">
        <f ca="1">ROUND(C59+C64+C65+C66,0)</f>
        <v>#N/A</v>
      </c>
      <c r="D58" s="960" t="s">
        <v>713</v>
      </c>
      <c r="E58" s="961"/>
      <c r="F58" s="962"/>
      <c r="I58" s="1455" t="s">
        <v>846</v>
      </c>
      <c r="J58" s="1457" t="e">
        <f ca="1">IF(J55&lt;0.4,0.4,J55)</f>
        <v>#N/A</v>
      </c>
      <c r="K58" s="1434" t="s">
        <v>847</v>
      </c>
      <c r="L58" s="1424" t="e">
        <f ca="1">ROUND(POWER(1+L52,L47-L48)*(POWER(1+L52,L48)-1)/(POWER(1+L52,L47)-1),4)</f>
        <v>#N/A</v>
      </c>
      <c r="O58" s="1428" t="s">
        <v>405</v>
      </c>
      <c r="P58" s="1419" t="s">
        <v>848</v>
      </c>
      <c r="Q58" s="1420">
        <f>IF(L55="比较法",L49,IF(L55="基准地价",L50,0))</f>
        <v>0</v>
      </c>
      <c r="R58" s="1420" t="s">
        <v>816</v>
      </c>
    </row>
    <row r="59" spans="1:18" s="1384" customFormat="1" ht="24.75" thickBot="1">
      <c r="A59" s="982" t="s">
        <v>398</v>
      </c>
      <c r="B59" s="950" t="s">
        <v>717</v>
      </c>
      <c r="C59" s="2316" t="e">
        <f ca="1">ROUND(IF(AND(项目基本情况!B11="自然人",项目基本情况!B10="北京市"),C49*F59/(1+'数据-取费表'!C42),C60+C61+C62),0)</f>
        <v>#N/A</v>
      </c>
      <c r="D59" s="963" t="s">
        <v>718</v>
      </c>
      <c r="E59" s="964" t="s">
        <v>719</v>
      </c>
      <c r="F59" s="2315" t="e">
        <f ca="1">IF(项目基本情况!B11="企业","——",IF('数据-取费表'!B10="住宅",IF(F49*F50*F51/12/(1+'数据-取费表'!F30)&gt;100000,4%,2.5%),IF(F49*F50*F51/12/(1+'数据-取费表'!F30)&gt;100000,12%,7%)))</f>
        <v>#N/A</v>
      </c>
      <c r="I59" s="1455" t="s">
        <v>849</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850</v>
      </c>
      <c r="Q59" s="1431">
        <f>L52</f>
        <v>0</v>
      </c>
      <c r="R59" s="1420"/>
    </row>
    <row r="60" spans="1:18" s="1384" customFormat="1" ht="16.5" thickBot="1">
      <c r="A60" s="982" t="s">
        <v>397</v>
      </c>
      <c r="B60" s="950" t="s">
        <v>721</v>
      </c>
      <c r="C60" s="21" t="str">
        <f>IF(项目基本情况!B11="自然人","——",ROUND(C48*F60/(1+'数据-取费表'!C42),2))</f>
        <v>——</v>
      </c>
      <c r="D60" s="964" t="s">
        <v>722</v>
      </c>
      <c r="E60" s="950" t="s">
        <v>710</v>
      </c>
      <c r="F60" s="331">
        <f t="shared" ref="F60:F66" si="0">F32</f>
        <v>5.5000000000000007E-2</v>
      </c>
      <c r="I60" s="1458" t="s">
        <v>851</v>
      </c>
      <c r="J60" s="1459" t="e">
        <f ca="1">IF(OR(M47="住宅",J51&lt;L48,J56="是"),"0",ROUND(J59/(1+J52)^J53,0))</f>
        <v>#N/A</v>
      </c>
      <c r="K60" s="1460" t="s">
        <v>852</v>
      </c>
      <c r="L60" s="1459" t="e">
        <f ca="1">IF(OR(M47="住宅",L48&lt;J51),0,ROUND(L57*(L58/L59-1),0))</f>
        <v>#N/A</v>
      </c>
      <c r="O60" s="1428" t="s">
        <v>407</v>
      </c>
      <c r="P60" s="1419" t="s">
        <v>853</v>
      </c>
      <c r="Q60" s="1420" t="e">
        <f ca="1">L58</f>
        <v>#N/A</v>
      </c>
      <c r="R60" s="1420" t="s">
        <v>854</v>
      </c>
    </row>
    <row r="61" spans="1:18" s="1384" customFormat="1" ht="13.5" thickBot="1">
      <c r="A61" s="982" t="s">
        <v>779</v>
      </c>
      <c r="B61" s="950" t="s">
        <v>780</v>
      </c>
      <c r="C61" s="21" t="str">
        <f ca="1">IF(项目基本情况!B11="自然人","——",IF(D61="按租金收入计税",ROUND(C49*F61/(1+'数据-取费表'!C42),2),IF(D61="按房产原值计税",ROUND(C57*F61*0.7,2),INDIRECT("'数据-取费表'!Aj"&amp;$G$1))))</f>
        <v>——</v>
      </c>
      <c r="D61" s="1370" t="s">
        <v>3339</v>
      </c>
      <c r="E61" s="950" t="s">
        <v>781</v>
      </c>
      <c r="F61" s="322">
        <f t="shared" si="0"/>
        <v>0.12</v>
      </c>
      <c r="I61" s="1461"/>
      <c r="J61" s="1461"/>
      <c r="K61" s="1461"/>
      <c r="L61" s="1461"/>
      <c r="O61" s="1428" t="s">
        <v>408</v>
      </c>
      <c r="P61" s="1419" t="str">
        <f>K59</f>
        <v>建筑物剩余耐用年限下的土地年期修正系数Kn</v>
      </c>
      <c r="Q61" s="1420" t="e">
        <f ca="1">L59</f>
        <v>#N/A</v>
      </c>
      <c r="R61" s="1420" t="s">
        <v>855</v>
      </c>
    </row>
    <row r="62" spans="1:18" s="1384" customFormat="1" ht="13.5" thickBot="1">
      <c r="A62" s="982" t="s">
        <v>782</v>
      </c>
      <c r="B62" s="949" t="s">
        <v>783</v>
      </c>
      <c r="C62" s="22" t="str">
        <f>IF(项目基本情况!B11="自然人","——",ROUND(F62*F63/10000,2))</f>
        <v>——</v>
      </c>
      <c r="D62" s="965" t="s">
        <v>784</v>
      </c>
      <c r="E62" s="950" t="s">
        <v>785</v>
      </c>
      <c r="F62" s="325">
        <f t="shared" si="0"/>
        <v>0</v>
      </c>
      <c r="I62" s="1462" t="s">
        <v>856</v>
      </c>
      <c r="J62" s="1463" t="s">
        <v>857</v>
      </c>
      <c r="K62" s="1463" t="s">
        <v>858</v>
      </c>
      <c r="L62" s="1463" t="s">
        <v>859</v>
      </c>
      <c r="M62" s="1464" t="s">
        <v>860</v>
      </c>
      <c r="O62" s="1418" t="s">
        <v>409</v>
      </c>
      <c r="P62" s="1419" t="s">
        <v>861</v>
      </c>
      <c r="Q62" s="1420" t="e">
        <f ca="1">Q56+Q57</f>
        <v>#N/A</v>
      </c>
      <c r="R62" s="1420" t="s">
        <v>410</v>
      </c>
    </row>
    <row r="63" spans="1:18" s="1384" customFormat="1" ht="13.5" thickBot="1">
      <c r="A63" s="326"/>
      <c r="B63" s="956"/>
      <c r="C63" s="26"/>
      <c r="D63" s="966"/>
      <c r="E63" s="950" t="s">
        <v>786</v>
      </c>
      <c r="F63" s="303" t="e">
        <f t="shared" ca="1" si="0"/>
        <v>#N/A</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t="e">
        <f ca="1">ROUND(C57*F64,2)</f>
        <v>#N/A</v>
      </c>
      <c r="D64" s="964" t="s">
        <v>789</v>
      </c>
      <c r="E64" s="950" t="s">
        <v>781</v>
      </c>
      <c r="F64" s="328" t="e">
        <f t="shared" ca="1" si="0"/>
        <v>#N/A</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t="e">
        <f ca="1">ROUND(C56*F65,2)</f>
        <v>#N/A</v>
      </c>
      <c r="D65" s="964" t="s">
        <v>741</v>
      </c>
      <c r="E65" s="950" t="s">
        <v>742</v>
      </c>
      <c r="F65" s="330" t="e">
        <f t="shared" ca="1" si="0"/>
        <v>#N/A</v>
      </c>
      <c r="I65" s="1462" t="s">
        <v>865</v>
      </c>
      <c r="J65" s="1463">
        <v>40</v>
      </c>
      <c r="K65" s="1463">
        <v>30</v>
      </c>
      <c r="L65" s="1463">
        <v>50</v>
      </c>
      <c r="M65" s="1465">
        <v>0.02</v>
      </c>
      <c r="O65" s="1418" t="s">
        <v>403</v>
      </c>
      <c r="P65" s="1419" t="s">
        <v>866</v>
      </c>
      <c r="Q65" s="1420" t="e">
        <f ca="1">C40+J29</f>
        <v>#N/A</v>
      </c>
      <c r="R65" s="1420" t="s">
        <v>816</v>
      </c>
    </row>
    <row r="66" spans="1:18" s="1384" customFormat="1" ht="16.5" thickBot="1">
      <c r="A66" s="982" t="s">
        <v>791</v>
      </c>
      <c r="B66" s="950" t="s">
        <v>726</v>
      </c>
      <c r="C66" s="21" t="e">
        <f ca="1">ROUND(C48*F66,2)</f>
        <v>#N/A</v>
      </c>
      <c r="D66" s="964" t="s">
        <v>792</v>
      </c>
      <c r="E66" s="950" t="s">
        <v>710</v>
      </c>
      <c r="F66" s="312" t="e">
        <f t="shared" ca="1" si="0"/>
        <v>#N/A</v>
      </c>
      <c r="O66" s="1418" t="s">
        <v>404</v>
      </c>
      <c r="P66" s="1419" t="s">
        <v>844</v>
      </c>
      <c r="Q66" s="1420" t="e">
        <f ca="1">L60</f>
        <v>#N/A</v>
      </c>
      <c r="R66" s="1420" t="s">
        <v>867</v>
      </c>
    </row>
    <row r="67" spans="1:18" s="1384" customFormat="1" ht="16.5" thickBot="1">
      <c r="A67" s="957" t="s">
        <v>394</v>
      </c>
      <c r="B67" s="967" t="s">
        <v>750</v>
      </c>
      <c r="C67" s="316" t="e">
        <f ca="1">C48-C58</f>
        <v>#N/A</v>
      </c>
      <c r="D67" s="963" t="s">
        <v>751</v>
      </c>
      <c r="E67" s="968"/>
      <c r="F67" s="969"/>
      <c r="O67" s="1428" t="s">
        <v>405</v>
      </c>
      <c r="P67" s="1419" t="s">
        <v>848</v>
      </c>
      <c r="Q67" s="1466" t="e">
        <f ca="1">L51</f>
        <v>#N/A</v>
      </c>
      <c r="R67" s="1420" t="s">
        <v>868</v>
      </c>
    </row>
    <row r="68" spans="1:18" s="1384" customFormat="1" ht="16.5" thickBot="1">
      <c r="A68" s="947" t="s">
        <v>395</v>
      </c>
      <c r="B68" s="948" t="s">
        <v>772</v>
      </c>
      <c r="C68" s="301" t="e">
        <f ca="1">ROUND(C67*(1-((1+F70)/(1+F68))^F69)/(F68-F70),0)</f>
        <v>#N/A</v>
      </c>
      <c r="D68" s="965" t="s">
        <v>756</v>
      </c>
      <c r="E68" s="950" t="s">
        <v>757</v>
      </c>
      <c r="F68" s="312" t="e">
        <f ca="1">F40</f>
        <v>#N/A</v>
      </c>
      <c r="O68" s="1428" t="s">
        <v>406</v>
      </c>
      <c r="P68" s="1467" t="s">
        <v>869</v>
      </c>
      <c r="Q68" s="1420" t="e">
        <f ca="1">ROUND(Q69-Q70*Q71,0)</f>
        <v>#N/A</v>
      </c>
      <c r="R68" s="1420" t="s">
        <v>414</v>
      </c>
    </row>
    <row r="69" spans="1:18" s="1384" customFormat="1" ht="13.5" thickBot="1">
      <c r="A69" s="951"/>
      <c r="B69" s="952"/>
      <c r="C69" s="306"/>
      <c r="D69" s="970" t="s">
        <v>760</v>
      </c>
      <c r="E69" s="950" t="s">
        <v>761</v>
      </c>
      <c r="F69" s="333" t="e">
        <f ca="1">F41</f>
        <v>#N/A</v>
      </c>
      <c r="O69" s="1428" t="s">
        <v>411</v>
      </c>
      <c r="P69" s="1467" t="s">
        <v>870</v>
      </c>
      <c r="Q69" s="1420" t="e">
        <f ca="1">C39</f>
        <v>#N/A</v>
      </c>
      <c r="R69" s="1420" t="s">
        <v>816</v>
      </c>
    </row>
    <row r="70" spans="1:18" s="1384" customFormat="1" ht="13.5" thickBot="1">
      <c r="A70" s="954"/>
      <c r="B70" s="955"/>
      <c r="C70" s="310"/>
      <c r="D70" s="966"/>
      <c r="E70" s="950" t="s">
        <v>764</v>
      </c>
      <c r="F70" s="1054"/>
      <c r="O70" s="1428" t="s">
        <v>412</v>
      </c>
      <c r="P70" s="1467" t="s">
        <v>871</v>
      </c>
      <c r="Q70" s="1420" t="e">
        <f ca="1">C13</f>
        <v>#N/A</v>
      </c>
      <c r="R70" s="1420" t="s">
        <v>816</v>
      </c>
    </row>
    <row r="71" spans="1:18" s="1384" customFormat="1" ht="13.5" thickBot="1">
      <c r="A71" s="971" t="s">
        <v>396</v>
      </c>
      <c r="B71" s="972" t="s">
        <v>774</v>
      </c>
      <c r="C71" s="336" t="e">
        <f ca="1">ROUND(C68*10000/F71,0)</f>
        <v>#N/A</v>
      </c>
      <c r="D71" s="973" t="s">
        <v>775</v>
      </c>
      <c r="E71" s="974" t="s">
        <v>776</v>
      </c>
      <c r="F71" s="339" t="e">
        <f ca="1">F43</f>
        <v>#N/A</v>
      </c>
      <c r="O71" s="1428" t="s">
        <v>413</v>
      </c>
      <c r="P71" s="1467" t="s">
        <v>872</v>
      </c>
      <c r="Q71" s="1431" t="e">
        <f ca="1">C76</f>
        <v>#N/A</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#N/A</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#N/A</v>
      </c>
      <c r="R74" s="1420" t="s">
        <v>855</v>
      </c>
    </row>
    <row r="75" spans="1:18" ht="13.5" thickBot="1">
      <c r="A75" s="1384"/>
      <c r="B75" s="340" t="s">
        <v>793</v>
      </c>
      <c r="C75" s="341" t="e">
        <f ca="1">ROUND(C13*C76,0)</f>
        <v>#N/A</v>
      </c>
      <c r="D75" s="1384"/>
      <c r="E75" s="1384"/>
      <c r="F75" s="1384"/>
      <c r="K75" s="1402"/>
      <c r="L75" s="1384"/>
      <c r="O75" s="1418" t="s">
        <v>409</v>
      </c>
      <c r="P75" s="1419" t="s">
        <v>836</v>
      </c>
      <c r="Q75" s="1420" t="e">
        <f ca="1">Q65+Q66</f>
        <v>#N/A</v>
      </c>
      <c r="R75" s="1420" t="s">
        <v>410</v>
      </c>
    </row>
    <row r="76" spans="1:18">
      <c r="B76" s="342" t="s">
        <v>794</v>
      </c>
      <c r="C76" s="343" t="e">
        <f ca="1">INDIRECT("'数据-取费表'!j"&amp;$G$1)</f>
        <v>#N/A</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#N/A</v>
      </c>
    </row>
    <row r="80" spans="1:18">
      <c r="B80" s="340" t="s">
        <v>798</v>
      </c>
      <c r="C80" s="274" t="e">
        <f ca="1">ROUND(C75/C39,3)</f>
        <v>#N/A</v>
      </c>
    </row>
    <row r="81" spans="2:3">
      <c r="B81" s="270" t="s">
        <v>799</v>
      </c>
      <c r="C81" s="238"/>
    </row>
    <row r="82" spans="2:3">
      <c r="B82" s="273" t="s">
        <v>800</v>
      </c>
      <c r="C82" s="275" t="e">
        <f ca="1">1-C83</f>
        <v>#N/A</v>
      </c>
    </row>
    <row r="83" spans="2:3">
      <c r="B83" s="273" t="s">
        <v>801</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8" sqref="H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671</v>
      </c>
      <c r="D1" s="1362" t="s">
        <v>43</v>
      </c>
      <c r="E1" s="1363" t="s">
        <v>676</v>
      </c>
      <c r="F1" s="1062">
        <f ca="1">J53</f>
        <v>28.14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25">
        <f ca="1">ROUND(D2/10000,4)</f>
        <v>267.2792</v>
      </c>
      <c r="C2" s="1387" t="s">
        <v>877</v>
      </c>
      <c r="D2" s="1471">
        <f ca="1">C40+J29+L46</f>
        <v>2672792</v>
      </c>
      <c r="E2" s="1388" t="s">
        <v>878</v>
      </c>
      <c r="F2" s="1389"/>
      <c r="G2" s="2706"/>
      <c r="H2" s="2695"/>
      <c r="I2" s="2695"/>
      <c r="J2" s="2695"/>
      <c r="K2" s="2696"/>
      <c r="L2" s="2695"/>
      <c r="M2" s="2695"/>
    </row>
    <row r="3" spans="1:37" ht="18" customHeight="1" thickBot="1">
      <c r="A3" s="1390" t="s">
        <v>879</v>
      </c>
      <c r="B3" s="1391">
        <f ca="1">IF(ISERROR(D2/F43),0,ROUND(D2/F43,0))</f>
        <v>30218</v>
      </c>
      <c r="C3" s="1387" t="s">
        <v>880</v>
      </c>
      <c r="D3" s="1387"/>
      <c r="E3" s="1388"/>
      <c r="F3" s="1389"/>
      <c r="G3" s="2706"/>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160007</v>
      </c>
      <c r="D5" s="1364" t="s">
        <v>887</v>
      </c>
      <c r="E5" s="1071"/>
      <c r="F5" s="1072"/>
      <c r="G5" s="1384"/>
      <c r="H5" s="299">
        <v>1</v>
      </c>
      <c r="I5" s="300" t="s">
        <v>886</v>
      </c>
      <c r="J5" s="1070">
        <f ca="1">J6+J10+J12</f>
        <v>0</v>
      </c>
      <c r="K5" s="1364" t="s">
        <v>887</v>
      </c>
      <c r="L5" s="1071"/>
      <c r="M5" s="1072"/>
    </row>
    <row r="6" spans="1:37" ht="18" customHeight="1">
      <c r="A6" s="1069" t="s">
        <v>398</v>
      </c>
      <c r="B6" s="3642" t="s">
        <v>692</v>
      </c>
      <c r="C6" s="1074">
        <f ca="1">ROUND(F6*F8*F7*(1-F9),0)</f>
        <v>159807</v>
      </c>
      <c r="D6" s="155" t="s">
        <v>2104</v>
      </c>
      <c r="E6" s="302" t="s">
        <v>694</v>
      </c>
      <c r="F6" s="303">
        <f ca="1">INDIRECT("'数据-取费表'!u"&amp;$G$1)</f>
        <v>5.5</v>
      </c>
      <c r="G6" s="1384"/>
      <c r="H6" s="1069" t="s">
        <v>398</v>
      </c>
      <c r="I6" s="3642" t="s">
        <v>692</v>
      </c>
      <c r="J6" s="301">
        <f ca="1">ROUND(M6*M8*M7*(1-M9),0)</f>
        <v>0</v>
      </c>
      <c r="K6" s="1376" t="s">
        <v>2105</v>
      </c>
      <c r="L6" s="302" t="s">
        <v>694</v>
      </c>
      <c r="M6" s="303">
        <f ca="1">INDIRECT("'数据-取费表'!z"&amp;$G$1)</f>
        <v>0</v>
      </c>
    </row>
    <row r="7" spans="1:37" ht="18" customHeight="1">
      <c r="A7" s="1073"/>
      <c r="B7" s="3643"/>
      <c r="C7" s="1075"/>
      <c r="D7" s="307"/>
      <c r="E7" s="1076" t="s">
        <v>695</v>
      </c>
      <c r="F7" s="303">
        <f ca="1">IF(INDIRECT("'数据-取费表'!ah"&amp;$G$1)="",INDIRECT("'数据-取费表'!k"&amp;$G$1),INDIRECT("'数据-取费表'!ah"&amp;$G$1))</f>
        <v>88.45</v>
      </c>
      <c r="G7" s="1384"/>
      <c r="H7" s="304"/>
      <c r="I7" s="3643"/>
      <c r="J7" s="306"/>
      <c r="K7" s="307"/>
      <c r="L7" s="302" t="s">
        <v>695</v>
      </c>
      <c r="M7" s="303">
        <f ca="1">F7</f>
        <v>88.45</v>
      </c>
    </row>
    <row r="8" spans="1:37" ht="18" customHeight="1">
      <c r="A8" s="304"/>
      <c r="B8" s="3643"/>
      <c r="C8" s="306"/>
      <c r="D8" s="307"/>
      <c r="E8" s="302" t="s">
        <v>696</v>
      </c>
      <c r="F8" s="303">
        <f ca="1">INDIRECT("'数据-取费表'!ai"&amp;$G$1)</f>
        <v>365</v>
      </c>
      <c r="G8" s="1384"/>
      <c r="H8" s="304"/>
      <c r="I8" s="3643"/>
      <c r="J8" s="306"/>
      <c r="K8" s="307"/>
      <c r="L8" s="302" t="s">
        <v>696</v>
      </c>
      <c r="M8" s="303">
        <f ca="1">INDIRECT("'数据-取费表'!ai"&amp;$G$1)</f>
        <v>365</v>
      </c>
    </row>
    <row r="9" spans="1:37" ht="18" customHeight="1">
      <c r="A9" s="304"/>
      <c r="B9" s="3644"/>
      <c r="C9" s="306"/>
      <c r="D9" s="307"/>
      <c r="E9" s="302" t="s">
        <v>697</v>
      </c>
      <c r="F9" s="312">
        <f ca="1">INDIRECT("'数据-取费表'!w"&amp;$G$1)</f>
        <v>0.1</v>
      </c>
      <c r="G9" s="1384"/>
      <c r="H9" s="304"/>
      <c r="I9" s="3644"/>
      <c r="J9" s="306"/>
      <c r="K9" s="307"/>
      <c r="L9" s="313" t="s">
        <v>697</v>
      </c>
      <c r="M9" s="314">
        <f ca="1">INDIRECT("'数据-取费表'!ab"&amp;$G$1)</f>
        <v>0</v>
      </c>
    </row>
    <row r="10" spans="1:37" ht="18" customHeight="1">
      <c r="A10" s="1069" t="s">
        <v>402</v>
      </c>
      <c r="B10" s="1365" t="s">
        <v>698</v>
      </c>
      <c r="C10" s="316">
        <f ca="1">ROUND(IF(F10="押一",C6/12*F11,IF(F10="押二",C6/12*2*F11,IF(F10="押三",C6/12*3*F11,C11*F11))),0)</f>
        <v>200</v>
      </c>
      <c r="D10" s="1366" t="s">
        <v>2114</v>
      </c>
      <c r="E10" s="313" t="s">
        <v>699</v>
      </c>
      <c r="F10" s="1116" t="s">
        <v>3387</v>
      </c>
      <c r="G10" s="1384"/>
      <c r="H10" s="1069" t="s">
        <v>402</v>
      </c>
      <c r="I10" s="1365" t="s">
        <v>698</v>
      </c>
      <c r="J10" s="301">
        <f ca="1">ROUND(IF(M10="押一",J6/12*M11,IF(M10="押二",J6/12*2*M11,IF(M10="押三",J6/12*3*M11,J11*M11))),0)</f>
        <v>0</v>
      </c>
      <c r="K10" s="1377" t="s">
        <v>2116</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390902</v>
      </c>
      <c r="D13" s="1081" t="s">
        <v>703</v>
      </c>
      <c r="E13" s="1081" t="s">
        <v>704</v>
      </c>
      <c r="F13" s="1082">
        <f ca="1">INDIRECT("'数据-取费表'!y"&amp;$G$1)</f>
        <v>0.82</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309575</v>
      </c>
      <c r="D14" s="1345" t="s">
        <v>706</v>
      </c>
      <c r="E14" s="1342"/>
      <c r="F14" s="319"/>
      <c r="G14" s="1384"/>
      <c r="H14" s="982" t="s">
        <v>398</v>
      </c>
      <c r="I14" s="302" t="s">
        <v>707</v>
      </c>
      <c r="J14" s="21">
        <f ca="1">C29</f>
        <v>476710</v>
      </c>
      <c r="K14" s="12"/>
      <c r="L14" s="807"/>
      <c r="M14" s="808"/>
    </row>
    <row r="15" spans="1:37" s="1397" customFormat="1" ht="18" customHeight="1" thickBot="1">
      <c r="A15" s="982" t="s">
        <v>399</v>
      </c>
      <c r="B15" s="302" t="s">
        <v>708</v>
      </c>
      <c r="C15" s="21">
        <f ca="1">ROUND(C14*F15,0)</f>
        <v>15479</v>
      </c>
      <c r="D15" s="320" t="s">
        <v>709</v>
      </c>
      <c r="E15" s="320" t="s">
        <v>710</v>
      </c>
      <c r="F15" s="321">
        <f>'数据-取费表'!B33</f>
        <v>0.05</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4767</v>
      </c>
      <c r="K16" s="1087" t="s">
        <v>713</v>
      </c>
      <c r="L16" s="1088"/>
      <c r="M16" s="1072"/>
    </row>
    <row r="17" spans="1:37" s="1397" customFormat="1" ht="18" customHeight="1">
      <c r="A17" s="982" t="s">
        <v>679</v>
      </c>
      <c r="B17" s="302" t="s">
        <v>714</v>
      </c>
      <c r="C17" s="21">
        <f ca="1">ROUND(F17*(F43+INDIRECT("'数据-取费表'!S"&amp;$G$1)),0)</f>
        <v>17690</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1345" t="s">
        <v>718</v>
      </c>
      <c r="L17" s="1344" t="s">
        <v>719</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4644</v>
      </c>
      <c r="D18" s="302" t="s">
        <v>709</v>
      </c>
      <c r="E18" s="302" t="s">
        <v>710</v>
      </c>
      <c r="F18" s="322">
        <f>'数据-取费表'!B36</f>
        <v>1.4999999999999999E-2</v>
      </c>
      <c r="G18" s="1396"/>
      <c r="H18" s="982" t="s">
        <v>397</v>
      </c>
      <c r="I18" s="302" t="s">
        <v>721</v>
      </c>
      <c r="J18" s="21">
        <f ca="1">ROUND(J6*M18/(1+'数据-取费表'!C42),0)</f>
        <v>0</v>
      </c>
      <c r="K18" s="1344" t="s">
        <v>722</v>
      </c>
      <c r="L18" s="302" t="s">
        <v>710</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347388</v>
      </c>
      <c r="D19" s="131" t="s">
        <v>724</v>
      </c>
      <c r="E19" s="1360"/>
      <c r="F19" s="23"/>
      <c r="G19" s="1384"/>
      <c r="H19" s="982" t="s">
        <v>399</v>
      </c>
      <c r="I19" s="302" t="s">
        <v>725</v>
      </c>
      <c r="J19" s="21">
        <f ca="1">IF(K19="按租金收入计税",ROUND(J6*M19/(1+'数据-取费表'!C42),0),ROUND(C29*M19*0.7,0))</f>
        <v>0</v>
      </c>
      <c r="K19" s="1370" t="s">
        <v>3339</v>
      </c>
      <c r="L19" s="302" t="s">
        <v>710</v>
      </c>
      <c r="M19" s="322">
        <f>IF(K19="按租金收入计税",'数据-取费表'!B51,'数据-取费表'!B50)</f>
        <v>0.12</v>
      </c>
    </row>
    <row r="20" spans="1:37" s="1397" customFormat="1" ht="18" customHeight="1">
      <c r="A20" s="982" t="s">
        <v>402</v>
      </c>
      <c r="B20" s="302" t="s">
        <v>726</v>
      </c>
      <c r="C20" s="21">
        <f ca="1">ROUND(C19*F20,0)</f>
        <v>6948</v>
      </c>
      <c r="D20" s="323" t="s">
        <v>727</v>
      </c>
      <c r="E20" s="302" t="s">
        <v>710</v>
      </c>
      <c r="F20" s="322">
        <f>'数据-取费表'!B37</f>
        <v>0.02</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4767</v>
      </c>
      <c r="K22" s="1344"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14705</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1344" t="s">
        <v>741</v>
      </c>
      <c r="L23" s="302" t="s">
        <v>742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8.0000000000000004E-4</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f ca="1">ROUND(J5*M24,0)</f>
        <v>0</v>
      </c>
      <c r="K24" s="1092" t="s">
        <v>746</v>
      </c>
      <c r="L24" s="1090" t="s">
        <v>742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-4767</v>
      </c>
      <c r="K25" s="1095" t="s">
        <v>751</v>
      </c>
      <c r="L25" s="1096"/>
      <c r="M25" s="1097"/>
    </row>
    <row r="26" spans="1:37" ht="18" customHeight="1">
      <c r="A26" s="982" t="s">
        <v>397</v>
      </c>
      <c r="B26" s="302" t="s">
        <v>752</v>
      </c>
      <c r="C26" s="21">
        <f ca="1">ROUND((C19+C20)*F26,0)</f>
        <v>70867</v>
      </c>
      <c r="D26" s="323" t="s">
        <v>753</v>
      </c>
      <c r="E26" s="313" t="s">
        <v>754</v>
      </c>
      <c r="F26" s="312">
        <f ca="1">INDIRECT("'数据-取费表'!q"&amp;$G$1)</f>
        <v>0.2</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4.0000000000000001E-3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5.2400000000000002E-2</v>
      </c>
      <c r="D28" s="323" t="s">
        <v>763</v>
      </c>
      <c r="E28" s="302" t="s">
        <v>710</v>
      </c>
      <c r="F28" s="322">
        <f>'数据-取费表'!B41</f>
        <v>5.5000000000000007E-2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476710</v>
      </c>
      <c r="D29" s="1092"/>
      <c r="E29" s="1090"/>
      <c r="F29" s="1093"/>
      <c r="G29" s="1396"/>
      <c r="H29" s="334" t="s">
        <v>396</v>
      </c>
      <c r="I29" s="335" t="s">
        <v>766</v>
      </c>
      <c r="J29" s="336">
        <f ca="1">ROUND(J26/(1+F40)^F41,0)</f>
        <v>0</v>
      </c>
      <c r="K29" s="337" t="s">
        <v>767</v>
      </c>
      <c r="L29" s="338"/>
      <c r="M29" s="339">
        <f ca="1">INDIRECT("'数据-取费表'!k"&amp;$G$1)</f>
        <v>88.45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17607</v>
      </c>
      <c r="D30" s="1087" t="s">
        <v>713</v>
      </c>
      <c r="E30" s="1088"/>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ROUND(IF(AND(项目基本情况!B11="自然人",项目基本情况!B10="北京市"),C6*F31/(1+'数据-取费表'!C42),C32+C33+C34),0)</f>
        <v>10654</v>
      </c>
      <c r="D31" s="1345" t="s">
        <v>718</v>
      </c>
      <c r="E31" s="1344" t="s">
        <v>768</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721</v>
      </c>
      <c r="C32" s="21" t="str">
        <f>IF(项目基本情况!B11="自然人","——",ROUND(C6*F32/(1+'数据-取费表'!C42),0))</f>
        <v>——</v>
      </c>
      <c r="D32" s="1344" t="s">
        <v>722</v>
      </c>
      <c r="E32" s="302" t="s">
        <v>710</v>
      </c>
      <c r="F32" s="331">
        <f>'数据-取费表'!B41</f>
        <v>5.5000000000000007E-2</v>
      </c>
      <c r="G32" s="1384"/>
      <c r="H32" s="2697"/>
      <c r="I32" s="1398"/>
      <c r="J32" s="1399"/>
      <c r="K32" s="2475"/>
      <c r="L32" s="2698"/>
      <c r="M32" s="2699"/>
    </row>
    <row r="33" spans="1:18" ht="18" customHeight="1">
      <c r="A33" s="982" t="s">
        <v>399</v>
      </c>
      <c r="B33" s="302" t="s">
        <v>725</v>
      </c>
      <c r="C33" s="21" t="str">
        <f ca="1">IF(项目基本情况!B11="自然人","——",IF(D33="按租金收入计税",ROUND(C6*F33/(1+'数据-取费表'!C42),0),IF(D33="按房产原值计税",ROUND(C29*F33*0.7,0),INDIRECT("'数据-取费表'!Aj"&amp;$G$1))))</f>
        <v>——</v>
      </c>
      <c r="D33" s="1370" t="s">
        <v>3339</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t="str">
        <f>IF(项目基本情况!B11="自然人","——",ROUND(F34*F35,0))</f>
        <v>——</v>
      </c>
      <c r="D34" s="324" t="s">
        <v>729</v>
      </c>
      <c r="E34" s="302" t="s">
        <v>730</v>
      </c>
      <c r="F34" s="325">
        <f>'数据-取费表'!B52</f>
        <v>0</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ROUND(C29*F36,0)</f>
        <v>4767</v>
      </c>
      <c r="D36" s="1344" t="s">
        <v>769</v>
      </c>
      <c r="E36" s="302" t="s">
        <v>710</v>
      </c>
      <c r="F36" s="328">
        <f ca="1">INDIRECT("'数据-取费表'!Ak"&amp;$G$1)</f>
        <v>0.01</v>
      </c>
      <c r="G36" s="1384"/>
      <c r="H36" s="2700"/>
      <c r="I36" s="1398"/>
      <c r="J36" s="1399"/>
      <c r="K36" s="2544"/>
      <c r="L36" s="2700"/>
      <c r="M36" s="2700"/>
    </row>
    <row r="37" spans="1:18" ht="18" customHeight="1">
      <c r="A37" s="982" t="s">
        <v>437</v>
      </c>
      <c r="B37" s="302" t="s">
        <v>740</v>
      </c>
      <c r="C37" s="21">
        <f ca="1">ROUND(C13*F37,0)</f>
        <v>586</v>
      </c>
      <c r="D37" s="1344" t="s">
        <v>741</v>
      </c>
      <c r="E37" s="302" t="s">
        <v>742</v>
      </c>
      <c r="F37" s="330">
        <f ca="1">INDIRECT("'数据-取费表'!Al"&amp;$G$1)</f>
        <v>1.5E-3</v>
      </c>
      <c r="G37" s="1384"/>
      <c r="H37" s="2700"/>
      <c r="I37" s="1398"/>
      <c r="J37" s="1399"/>
      <c r="K37" s="2544"/>
      <c r="L37" s="2700"/>
      <c r="M37" s="2700"/>
    </row>
    <row r="38" spans="1:18" ht="18" customHeight="1" thickBot="1">
      <c r="A38" s="1089" t="s">
        <v>682</v>
      </c>
      <c r="B38" s="1090" t="s">
        <v>726</v>
      </c>
      <c r="C38" s="1091">
        <f ca="1">ROUND(C5*F38,0)</f>
        <v>1600</v>
      </c>
      <c r="D38" s="1092" t="s">
        <v>746</v>
      </c>
      <c r="E38" s="1090" t="s">
        <v>742</v>
      </c>
      <c r="F38" s="1086">
        <f ca="1">INDIRECT("'数据-取费表'!Am"&amp;$G$1)</f>
        <v>0.01</v>
      </c>
      <c r="G38" s="1384"/>
      <c r="H38" s="2700"/>
      <c r="I38" s="1398"/>
      <c r="J38" s="1399"/>
      <c r="K38" s="2704"/>
      <c r="L38" s="2700"/>
      <c r="M38" s="2700"/>
    </row>
    <row r="39" spans="1:18" ht="24.6" customHeight="1" thickTop="1">
      <c r="A39" s="1079" t="s">
        <v>394</v>
      </c>
      <c r="B39" s="1094" t="s">
        <v>770</v>
      </c>
      <c r="C39" s="310">
        <f ca="1">C5-C30</f>
        <v>142400</v>
      </c>
      <c r="D39" s="1095" t="s">
        <v>771</v>
      </c>
      <c r="E39" s="1096"/>
      <c r="F39" s="1097"/>
      <c r="G39" s="1384"/>
      <c r="H39" s="2700"/>
      <c r="I39" s="1398"/>
      <c r="J39" s="1399"/>
      <c r="K39" s="2704"/>
      <c r="L39" s="2700"/>
      <c r="M39" s="2700"/>
    </row>
    <row r="40" spans="1:18" ht="18" customHeight="1">
      <c r="A40" s="299" t="s">
        <v>395</v>
      </c>
      <c r="B40" s="300" t="s">
        <v>772</v>
      </c>
      <c r="C40" s="301">
        <f ca="1">ROUND(C39*(1-((1+F42)/(1+F40))^F41)/(F40-F42),0)</f>
        <v>2638844</v>
      </c>
      <c r="D40" s="324" t="s">
        <v>756</v>
      </c>
      <c r="E40" s="302" t="s">
        <v>757</v>
      </c>
      <c r="F40" s="312">
        <f ca="1">INDIRECT("'数据-取费表'!I"&amp;$G$1)</f>
        <v>5.5E-2</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28.14</v>
      </c>
      <c r="G41" s="1384"/>
      <c r="H41" s="1191"/>
      <c r="I41" s="1398"/>
      <c r="J41" s="1399"/>
      <c r="K41" s="2544"/>
      <c r="L41" s="1191"/>
      <c r="M41" s="1191"/>
    </row>
    <row r="42" spans="1:18" ht="18" customHeight="1">
      <c r="A42" s="308"/>
      <c r="B42" s="309"/>
      <c r="C42" s="310"/>
      <c r="D42" s="327"/>
      <c r="E42" s="302" t="s">
        <v>764</v>
      </c>
      <c r="F42" s="312">
        <f ca="1">INDIRECT("'数据-取费表'!v"&amp;$G$1)</f>
        <v>2.5000000000000001E-2</v>
      </c>
      <c r="G42" s="1384"/>
      <c r="H42" s="1191"/>
      <c r="I42" s="1398"/>
      <c r="J42" s="1399"/>
      <c r="K42" s="2544"/>
      <c r="L42" s="1191"/>
      <c r="M42" s="1191"/>
    </row>
    <row r="43" spans="1:18" ht="18" customHeight="1" thickBot="1">
      <c r="A43" s="334" t="s">
        <v>396</v>
      </c>
      <c r="B43" s="335" t="s">
        <v>774</v>
      </c>
      <c r="C43" s="336">
        <f ca="1">ROUND(C40/F43,0)</f>
        <v>29834</v>
      </c>
      <c r="D43" s="337" t="s">
        <v>775</v>
      </c>
      <c r="E43" s="338" t="s">
        <v>776</v>
      </c>
      <c r="F43" s="339">
        <f ca="1">INDIRECT("'数据-取费表'!k"&amp;$G$1)</f>
        <v>88.45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-271.45979999999997</v>
      </c>
      <c r="D45" s="3432" t="s">
        <v>3356</v>
      </c>
      <c r="E45" s="1400"/>
      <c r="F45" s="1400"/>
      <c r="O45" s="1403" t="s">
        <v>806</v>
      </c>
      <c r="P45" s="1461"/>
      <c r="Q45" s="1461"/>
      <c r="R45" s="1461"/>
    </row>
    <row r="46" spans="1:18" s="1384" customFormat="1" ht="13.5" thickBot="1">
      <c r="A46" s="1404" t="s">
        <v>807</v>
      </c>
      <c r="C46" s="1405">
        <f ca="1">ROUND(C45,0)</f>
        <v>-271</v>
      </c>
      <c r="D46" s="1406" t="str">
        <f>C2</f>
        <v>万元</v>
      </c>
      <c r="I46" s="1407" t="s">
        <v>808</v>
      </c>
      <c r="J46" s="1408"/>
      <c r="K46" s="1409"/>
      <c r="L46" s="1410">
        <f ca="1">IF(M47="住宅",0,IF(L48&gt;J51,L60,J60))</f>
        <v>33948</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3376</v>
      </c>
      <c r="K47" s="1416" t="s">
        <v>814</v>
      </c>
      <c r="L47" s="1417">
        <f ca="1">INDIRECT("'数据-取费表'!d"&amp;$G$1)</f>
        <v>40</v>
      </c>
      <c r="M47" s="1380" t="str">
        <f>IF(ISNUMBER(FIND("住宅",C1)),"住宅","非住宅")</f>
        <v>非住宅</v>
      </c>
      <c r="O47" s="1418" t="s">
        <v>403</v>
      </c>
      <c r="P47" s="1419" t="s">
        <v>815</v>
      </c>
      <c r="Q47" s="1420">
        <f ca="1">C40+J29</f>
        <v>2638844</v>
      </c>
      <c r="R47" s="1420" t="s">
        <v>816</v>
      </c>
    </row>
    <row r="48" spans="1:18" s="1384" customFormat="1" ht="28.5" thickBot="1">
      <c r="A48" s="1110" t="s">
        <v>438</v>
      </c>
      <c r="B48" s="300" t="s">
        <v>690</v>
      </c>
      <c r="C48" s="1359">
        <f ca="1">C49+C53+C55</f>
        <v>0</v>
      </c>
      <c r="D48" s="1112"/>
      <c r="E48" s="1113"/>
      <c r="F48" s="962"/>
      <c r="G48" s="722"/>
      <c r="H48" s="723"/>
      <c r="I48" s="1421" t="s">
        <v>817</v>
      </c>
      <c r="J48" s="1422" t="s">
        <v>3388</v>
      </c>
      <c r="K48" s="1423" t="s">
        <v>818</v>
      </c>
      <c r="L48" s="1424">
        <f ca="1">INDIRECT("'数据-取费表'!f"&amp;$G$1)</f>
        <v>28.14</v>
      </c>
      <c r="O48" s="1418" t="s">
        <v>404</v>
      </c>
      <c r="P48" s="1419" t="s">
        <v>819</v>
      </c>
      <c r="Q48" s="1420">
        <f ca="1">J60</f>
        <v>33948</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2014</v>
      </c>
      <c r="K49" s="1423" t="s">
        <v>822</v>
      </c>
      <c r="L49" s="1427"/>
      <c r="O49" s="1428" t="s">
        <v>405</v>
      </c>
      <c r="P49" s="1419" t="s">
        <v>823</v>
      </c>
      <c r="Q49" s="1420">
        <f ca="1">C29</f>
        <v>476710</v>
      </c>
      <c r="R49" s="1420" t="s">
        <v>816</v>
      </c>
    </row>
    <row r="50" spans="1:18" s="1384" customFormat="1" ht="13.5" thickBot="1">
      <c r="A50" s="976"/>
      <c r="B50" s="979"/>
      <c r="C50" s="980"/>
      <c r="D50" s="953"/>
      <c r="E50" s="1056" t="s">
        <v>695</v>
      </c>
      <c r="F50" s="1057">
        <f ca="1">F7</f>
        <v>88.45</v>
      </c>
      <c r="H50" s="723"/>
      <c r="I50" s="1421" t="s">
        <v>824</v>
      </c>
      <c r="J50" s="1429">
        <f>SUMPRODUCT((I63:I65=J47)*(J62:L62=J48)*(J63:L65))</f>
        <v>80</v>
      </c>
      <c r="K50" s="1423" t="s">
        <v>825</v>
      </c>
      <c r="L50" s="1427"/>
      <c r="M50" s="1430"/>
      <c r="O50" s="1428" t="s">
        <v>406</v>
      </c>
      <c r="P50" s="1419" t="s">
        <v>826</v>
      </c>
      <c r="Q50" s="1431">
        <f ca="1">J58</f>
        <v>0.54500000000000004</v>
      </c>
      <c r="R50" s="1420"/>
    </row>
    <row r="51" spans="1:18" s="1384" customFormat="1" ht="13.5" thickBot="1">
      <c r="A51" s="977"/>
      <c r="B51" s="979"/>
      <c r="C51" s="980"/>
      <c r="D51" s="953"/>
      <c r="E51" s="981" t="s">
        <v>696</v>
      </c>
      <c r="F51" s="303">
        <f ca="1">F8</f>
        <v>365</v>
      </c>
      <c r="I51" s="1432" t="s">
        <v>827</v>
      </c>
      <c r="J51" s="1433">
        <f>IF(J49="",J50,J49+J50-YEAR('数据-取费表'!B2))</f>
        <v>71</v>
      </c>
      <c r="K51" s="1434" t="s">
        <v>828</v>
      </c>
      <c r="L51" s="1435">
        <f ca="1">ROUND(-PV(INDIRECT("'数据-取费表'!h"&amp;$G$1),J51,(C39-C13*C76),0),0)</f>
        <v>2228722</v>
      </c>
      <c r="M51" s="1436"/>
      <c r="O51" s="1428" t="s">
        <v>407</v>
      </c>
      <c r="P51" s="1419" t="s">
        <v>829</v>
      </c>
      <c r="Q51" s="1431">
        <f>J52</f>
        <v>7.4999999999999997E-2</v>
      </c>
      <c r="R51" s="1420"/>
    </row>
    <row r="52" spans="1:18" s="1384" customFormat="1" ht="13.5" thickBot="1">
      <c r="A52" s="977"/>
      <c r="B52" s="979"/>
      <c r="C52" s="980"/>
      <c r="D52" s="953"/>
      <c r="E52" s="981" t="s">
        <v>697</v>
      </c>
      <c r="F52" s="1054"/>
      <c r="I52" s="1437" t="s">
        <v>830</v>
      </c>
      <c r="J52" s="1438">
        <v>7.4999999999999997E-2</v>
      </c>
      <c r="K52" s="1437" t="s">
        <v>831</v>
      </c>
      <c r="L52" s="1438"/>
      <c r="O52" s="1428" t="s">
        <v>408</v>
      </c>
      <c r="P52" s="1419" t="s">
        <v>832</v>
      </c>
      <c r="Q52" s="1420">
        <f ca="1">J53</f>
        <v>28.14</v>
      </c>
      <c r="R52" s="1420" t="s">
        <v>833</v>
      </c>
    </row>
    <row r="53" spans="1:18" s="1384" customFormat="1" ht="30.75" customHeight="1" thickBot="1">
      <c r="A53" s="1111" t="s">
        <v>440</v>
      </c>
      <c r="B53" s="323" t="s">
        <v>698</v>
      </c>
      <c r="C53" s="316">
        <f ca="1">ROUND(IF(F53="押一",C49/12*F11,IF(F53="押二",C49/12*2*F11,IF(F53="押三",C49/12*3*F11,C54*F11))),0)</f>
        <v>0</v>
      </c>
      <c r="D53" s="1366" t="s">
        <v>2117</v>
      </c>
      <c r="E53" s="313" t="s">
        <v>699</v>
      </c>
      <c r="F53" s="1116"/>
      <c r="I53" s="1439" t="s">
        <v>834</v>
      </c>
      <c r="J53" s="2168">
        <f ca="1">IF(M47="住宅",IF(D1="——",MAX(J51,L48),MAX(J51,L48-'数据-取费表'!B24)),IF(D1="——",MIN(J51,L48),MIN(J51,L48-'数据-取费表'!B24)))</f>
        <v>28.14</v>
      </c>
      <c r="K53" s="3640" t="s">
        <v>835</v>
      </c>
      <c r="L53" s="3641"/>
      <c r="O53" s="1418" t="s">
        <v>409</v>
      </c>
      <c r="P53" s="1419" t="s">
        <v>836</v>
      </c>
      <c r="Q53" s="1420">
        <f ca="1">Q47+Q48</f>
        <v>2672792</v>
      </c>
      <c r="R53" s="1420" t="s">
        <v>410</v>
      </c>
    </row>
    <row r="54" spans="1:18" s="1384" customFormat="1" ht="13.5"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f ca="1">ROUND(IF(J47="钢混",J57/J50,1-(1-2%)*(J50-J57)/J50),3)</f>
        <v>0.54500000000000004</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390902</v>
      </c>
      <c r="D56" s="1447"/>
      <c r="E56" s="1448"/>
      <c r="F56" s="1440"/>
      <c r="I56" s="1449" t="s">
        <v>840</v>
      </c>
      <c r="J56" s="1450" t="s">
        <v>3389</v>
      </c>
      <c r="K56" s="1421" t="s">
        <v>841</v>
      </c>
      <c r="L56" s="1424" t="str">
        <f ca="1">IF(L48&lt;J51,"——",L48-J51)</f>
        <v>——</v>
      </c>
      <c r="O56" s="1418" t="s">
        <v>403</v>
      </c>
      <c r="P56" s="1419" t="s">
        <v>815</v>
      </c>
      <c r="Q56" s="1420">
        <f ca="1">C40+J29</f>
        <v>2638844</v>
      </c>
      <c r="R56" s="1420" t="s">
        <v>816</v>
      </c>
    </row>
    <row r="57" spans="1:18" s="1384" customFormat="1" ht="24.75" thickBot="1">
      <c r="A57" s="1451"/>
      <c r="B57" s="950" t="s">
        <v>765</v>
      </c>
      <c r="C57" s="238">
        <f ca="1">C29</f>
        <v>476710</v>
      </c>
      <c r="D57" s="1452"/>
      <c r="E57" s="1453"/>
      <c r="F57" s="1454"/>
      <c r="I57" s="1455" t="s">
        <v>842</v>
      </c>
      <c r="J57" s="1456">
        <f ca="1">IF(OR(M47="住宅",J51&lt;L48,J56="是"),"——",J51-L48)</f>
        <v>42.86</v>
      </c>
      <c r="K57" s="1421" t="s">
        <v>890</v>
      </c>
      <c r="L57" s="1424" t="str">
        <f ca="1">IF(L48&lt;J51,"——",IF(L55="比较法",L49,IF(L55="基准地价",L50,L51)))</f>
        <v>——</v>
      </c>
      <c r="O57" s="1418" t="s">
        <v>404</v>
      </c>
      <c r="P57" s="1419" t="s">
        <v>891</v>
      </c>
      <c r="Q57" s="1420">
        <f ca="1">L60</f>
        <v>0</v>
      </c>
      <c r="R57" s="1420" t="s">
        <v>892</v>
      </c>
    </row>
    <row r="58" spans="1:18" s="1384" customFormat="1" ht="24.75" thickBot="1">
      <c r="A58" s="315" t="s">
        <v>393</v>
      </c>
      <c r="B58" s="958" t="s">
        <v>712</v>
      </c>
      <c r="C58" s="316">
        <f ca="1">ROUND(C59+C64+C65+C66,0)</f>
        <v>5353</v>
      </c>
      <c r="D58" s="960" t="s">
        <v>713</v>
      </c>
      <c r="E58" s="961"/>
      <c r="F58" s="962"/>
      <c r="I58" s="1455" t="s">
        <v>846</v>
      </c>
      <c r="J58" s="1457">
        <f ca="1">IF(J55&lt;0.4,0.4,J55)</f>
        <v>0.54500000000000004</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f ca="1">IF(项目基本情况!B11="企业","——",IF('数据-取费表'!B10="住宅",IF(F49*F50*F51/12/(1+'数据-取费表'!F30)&gt;100000,4%,2.5%),IF(F49*F50*F51/12/(1+'数据-取费表'!F30)&gt;100000,12%,7%)))</f>
        <v>7.0000000000000007E-2</v>
      </c>
      <c r="I59" s="1455" t="s">
        <v>849</v>
      </c>
      <c r="J59" s="1456">
        <f ca="1">IF(OR(M47="住宅",J51&lt;L48,J56="是"),"——",ROUND(C29*J58,0))</f>
        <v>259807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IF(项目基本情况!B11="自然人","——",ROUND(C48*F60/(1+'数据-取费表'!C42),0))</f>
        <v>——</v>
      </c>
      <c r="D60" s="964" t="s">
        <v>722</v>
      </c>
      <c r="E60" s="950" t="s">
        <v>710</v>
      </c>
      <c r="F60" s="331">
        <f t="shared" ref="F60:F66" si="0">F32</f>
        <v>5.5000000000000007E-2</v>
      </c>
      <c r="I60" s="1458" t="s">
        <v>851</v>
      </c>
      <c r="J60" s="1459">
        <f ca="1">IF(OR(M47="住宅",J51&lt;L48,J56="是"),"0",ROUND(J59/(1+J52)^J53,0))</f>
        <v>33948</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t="str">
        <f ca="1">IF(项目基本情况!B11="自然人","——",IF(D61="按租金收入计税",ROUND(C49*F61/(1+'数据-取费表'!C42),0),IF(D61="按房产原值计税",ROUND(C57*F61*0.7,0),INDIRECT("'数据-取费表'!Aj"&amp;$G$1))))</f>
        <v>——</v>
      </c>
      <c r="D61" s="1370" t="s">
        <v>3339</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t="str">
        <f>IF(项目基本情况!B11="自然人","——",ROUND(F62*F63,0))</f>
        <v>——</v>
      </c>
      <c r="D62" s="965" t="s">
        <v>784</v>
      </c>
      <c r="E62" s="950" t="s">
        <v>785</v>
      </c>
      <c r="F62" s="325">
        <f t="shared" si="0"/>
        <v>0</v>
      </c>
      <c r="I62" s="1462" t="s">
        <v>856</v>
      </c>
      <c r="J62" s="1463" t="s">
        <v>857</v>
      </c>
      <c r="K62" s="1463" t="s">
        <v>858</v>
      </c>
      <c r="L62" s="1463" t="s">
        <v>859</v>
      </c>
      <c r="M62" s="1464" t="s">
        <v>860</v>
      </c>
      <c r="O62" s="1418" t="s">
        <v>409</v>
      </c>
      <c r="P62" s="1419" t="s">
        <v>861</v>
      </c>
      <c r="Q62" s="1420">
        <f ca="1">Q56+Q57</f>
        <v>2638844</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4767</v>
      </c>
      <c r="D64" s="964" t="s">
        <v>789</v>
      </c>
      <c r="E64" s="950" t="s">
        <v>781</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586</v>
      </c>
      <c r="D65" s="964" t="s">
        <v>741</v>
      </c>
      <c r="E65" s="950" t="s">
        <v>742</v>
      </c>
      <c r="F65" s="330">
        <f t="shared" ca="1" si="0"/>
        <v>1.5E-3</v>
      </c>
      <c r="I65" s="1462" t="s">
        <v>865</v>
      </c>
      <c r="J65" s="1463">
        <v>40</v>
      </c>
      <c r="K65" s="1463">
        <v>30</v>
      </c>
      <c r="L65" s="1463">
        <v>50</v>
      </c>
      <c r="M65" s="1465">
        <v>0.02</v>
      </c>
      <c r="O65" s="1418" t="s">
        <v>403</v>
      </c>
      <c r="P65" s="1419" t="s">
        <v>866</v>
      </c>
      <c r="Q65" s="1420">
        <f ca="1">C40+J29</f>
        <v>2638844</v>
      </c>
      <c r="R65" s="1420" t="s">
        <v>816</v>
      </c>
    </row>
    <row r="66" spans="1:18" s="1384" customFormat="1" ht="16.5"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16.5" thickBot="1">
      <c r="A67" s="957" t="s">
        <v>394</v>
      </c>
      <c r="B67" s="967" t="s">
        <v>750</v>
      </c>
      <c r="C67" s="316">
        <f ca="1">C48-C58</f>
        <v>-5353</v>
      </c>
      <c r="D67" s="963" t="s">
        <v>751</v>
      </c>
      <c r="E67" s="968"/>
      <c r="F67" s="969"/>
      <c r="O67" s="1428" t="s">
        <v>405</v>
      </c>
      <c r="P67" s="1419" t="s">
        <v>848</v>
      </c>
      <c r="Q67" s="1466">
        <f ca="1">L51</f>
        <v>2228722</v>
      </c>
      <c r="R67" s="1420" t="s">
        <v>868</v>
      </c>
    </row>
    <row r="68" spans="1:18" s="1384" customFormat="1" ht="16.5" thickBot="1">
      <c r="A68" s="947" t="s">
        <v>395</v>
      </c>
      <c r="B68" s="948" t="s">
        <v>772</v>
      </c>
      <c r="C68" s="301">
        <f ca="1">ROUND(C67*(1-((1+F70)/(1+F68))^F69)/(F68-F70),0)</f>
        <v>-75754</v>
      </c>
      <c r="D68" s="965" t="s">
        <v>756</v>
      </c>
      <c r="E68" s="950" t="s">
        <v>757</v>
      </c>
      <c r="F68" s="312">
        <f ca="1">F40</f>
        <v>5.5E-2</v>
      </c>
      <c r="O68" s="1428" t="s">
        <v>406</v>
      </c>
      <c r="P68" s="1467" t="s">
        <v>869</v>
      </c>
      <c r="Q68" s="1420">
        <f ca="1">ROUND(Q69-Q70*Q71,0)</f>
        <v>115037</v>
      </c>
      <c r="R68" s="1420" t="s">
        <v>414</v>
      </c>
    </row>
    <row r="69" spans="1:18" s="1384" customFormat="1" ht="13.5" thickBot="1">
      <c r="A69" s="951"/>
      <c r="B69" s="952"/>
      <c r="C69" s="306"/>
      <c r="D69" s="970" t="s">
        <v>760</v>
      </c>
      <c r="E69" s="950" t="s">
        <v>761</v>
      </c>
      <c r="F69" s="333">
        <f ca="1">F41</f>
        <v>28.14</v>
      </c>
      <c r="O69" s="1428" t="s">
        <v>411</v>
      </c>
      <c r="P69" s="1467" t="s">
        <v>870</v>
      </c>
      <c r="Q69" s="1420">
        <f ca="1">C39</f>
        <v>142400</v>
      </c>
      <c r="R69" s="1420" t="s">
        <v>816</v>
      </c>
    </row>
    <row r="70" spans="1:18" s="1384" customFormat="1" ht="13.5" thickBot="1">
      <c r="A70" s="954"/>
      <c r="B70" s="955"/>
      <c r="C70" s="310"/>
      <c r="D70" s="966"/>
      <c r="E70" s="950" t="s">
        <v>764</v>
      </c>
      <c r="F70" s="1054"/>
      <c r="O70" s="1428" t="s">
        <v>412</v>
      </c>
      <c r="P70" s="1467" t="s">
        <v>871</v>
      </c>
      <c r="Q70" s="1420">
        <f ca="1">C13</f>
        <v>390902</v>
      </c>
      <c r="R70" s="1420" t="s">
        <v>816</v>
      </c>
    </row>
    <row r="71" spans="1:18" s="1384" customFormat="1" ht="13.5" thickBot="1">
      <c r="A71" s="971" t="s">
        <v>396</v>
      </c>
      <c r="B71" s="972" t="s">
        <v>774</v>
      </c>
      <c r="C71" s="336">
        <f ca="1">ROUND(C68/F71,0)</f>
        <v>-856</v>
      </c>
      <c r="D71" s="973" t="s">
        <v>775</v>
      </c>
      <c r="E71" s="974" t="s">
        <v>776</v>
      </c>
      <c r="F71" s="339">
        <f ca="1">F43</f>
        <v>88.45</v>
      </c>
      <c r="O71" s="1428" t="s">
        <v>413</v>
      </c>
      <c r="P71" s="1467" t="s">
        <v>872</v>
      </c>
      <c r="Q71" s="1431">
        <f ca="1">C76</f>
        <v>7.0000000000000007E-2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27363</v>
      </c>
      <c r="D75" s="1384"/>
      <c r="E75" s="1384"/>
      <c r="F75" s="1384"/>
      <c r="K75" s="1402"/>
      <c r="L75" s="1384"/>
      <c r="O75" s="1418" t="s">
        <v>409</v>
      </c>
      <c r="P75" s="1419" t="s">
        <v>836</v>
      </c>
      <c r="Q75" s="1420">
        <f ca="1">Q65+Q66</f>
        <v>2638844</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0.80800000000000005</v>
      </c>
    </row>
    <row r="80" spans="1:18">
      <c r="B80" s="340" t="s">
        <v>798</v>
      </c>
      <c r="C80" s="274">
        <f ca="1">ROUND(C75/C39,3)</f>
        <v>0.192</v>
      </c>
    </row>
    <row r="81" spans="2:3">
      <c r="B81" s="270" t="s">
        <v>799</v>
      </c>
      <c r="C81" s="238"/>
    </row>
    <row r="82" spans="2:3">
      <c r="B82" s="273" t="s">
        <v>800</v>
      </c>
      <c r="C82" s="275">
        <f ca="1">1-C83</f>
        <v>0.85199999999999998</v>
      </c>
    </row>
    <row r="83" spans="2:3">
      <c r="B83" s="273" t="s">
        <v>801</v>
      </c>
      <c r="C83" s="274">
        <f ca="1">ROUND(C13/C40,3)</f>
        <v>0.14799999999999999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15" customHeight="1">
      <c r="A2" s="1385" t="s">
        <v>2316</v>
      </c>
      <c r="B2" s="2843" t="e">
        <f>IF(D2="——",C40,C40+E2)</f>
        <v>#DIV/0!</v>
      </c>
      <c r="C2" s="2844" t="s">
        <v>2317</v>
      </c>
      <c r="D2" s="3443" t="s">
        <v>3362</v>
      </c>
      <c r="E2" s="3444"/>
      <c r="F2" s="2846"/>
      <c r="G2" s="2847"/>
      <c r="H2" s="2848"/>
      <c r="I2" s="2849"/>
      <c r="J2" s="3651" t="s">
        <v>2318</v>
      </c>
      <c r="K2" s="3652"/>
      <c r="L2" s="2850" t="s">
        <v>2319</v>
      </c>
      <c r="M2" s="2850" t="s">
        <v>2320</v>
      </c>
      <c r="N2" s="2850" t="s">
        <v>2321</v>
      </c>
      <c r="O2" s="2850" t="s">
        <v>2322</v>
      </c>
      <c r="P2" s="2850" t="s">
        <v>2323</v>
      </c>
      <c r="Q2" s="2851" t="s">
        <v>2324</v>
      </c>
      <c r="R2" s="2852" t="s">
        <v>2325</v>
      </c>
      <c r="S2" s="2841"/>
      <c r="T2" s="2841"/>
      <c r="U2" s="2841"/>
      <c r="V2" s="2849"/>
    </row>
    <row r="3" spans="1:22" s="2853" customFormat="1" ht="13.15" customHeight="1">
      <c r="A3" s="2854" t="s">
        <v>2326</v>
      </c>
      <c r="B3" s="2855" t="e">
        <f>ROUND(B2*10000/B4,0)</f>
        <v>#DIV/0!</v>
      </c>
      <c r="C3" s="2844" t="s">
        <v>2327</v>
      </c>
      <c r="D3" s="2844"/>
      <c r="E3" s="2845"/>
      <c r="F3" s="2846"/>
      <c r="G3" s="2847"/>
      <c r="H3" s="2848"/>
      <c r="I3" s="2849"/>
      <c r="J3" s="3653" t="s">
        <v>2328</v>
      </c>
      <c r="K3" s="3654"/>
      <c r="L3" s="2856"/>
      <c r="M3" s="2856"/>
      <c r="N3" s="2856"/>
      <c r="O3" s="2856"/>
      <c r="P3" s="2856"/>
      <c r="Q3" s="2857"/>
      <c r="R3" s="2858">
        <f>SUM(L3:Q3)</f>
        <v>0</v>
      </c>
      <c r="S3" s="2841"/>
      <c r="T3" s="2841"/>
      <c r="U3" s="2841"/>
      <c r="V3" s="2849"/>
    </row>
    <row r="4" spans="1:22" s="2853" customFormat="1" ht="13.15" customHeight="1">
      <c r="A4" s="2859" t="s">
        <v>2329</v>
      </c>
      <c r="B4" s="2860"/>
      <c r="C4" s="2844"/>
      <c r="D4" s="2844"/>
      <c r="E4" s="2845"/>
      <c r="F4" s="2846"/>
      <c r="G4" s="2847"/>
      <c r="H4" s="2848"/>
      <c r="I4" s="2849"/>
      <c r="J4" s="3653" t="s">
        <v>2330</v>
      </c>
      <c r="K4" s="3654"/>
      <c r="L4" s="2861"/>
      <c r="M4" s="2861"/>
      <c r="N4" s="2861"/>
      <c r="O4" s="2861"/>
      <c r="P4" s="2861"/>
      <c r="Q4" s="2862"/>
      <c r="R4" s="2863">
        <f>SUM(L4:Q4)</f>
        <v>0</v>
      </c>
      <c r="S4" s="2841"/>
      <c r="T4" s="2841"/>
      <c r="U4" s="2841"/>
      <c r="V4" s="2849"/>
    </row>
    <row r="5" spans="1:22" s="2853" customFormat="1" ht="13.15"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15" customHeight="1" thickBot="1">
      <c r="A6" s="3659" t="s">
        <v>2334</v>
      </c>
      <c r="B6" s="3660"/>
      <c r="C6" s="3661"/>
      <c r="D6" s="2870"/>
      <c r="E6" s="2871"/>
      <c r="F6" s="2872"/>
      <c r="G6" s="2873"/>
      <c r="H6" s="2848"/>
      <c r="I6" s="2849"/>
      <c r="J6" s="3645">
        <v>1</v>
      </c>
      <c r="K6" s="3646"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15" customHeight="1">
      <c r="A7" s="2876" t="s">
        <v>2344</v>
      </c>
      <c r="B7" s="2877"/>
      <c r="C7" s="2878"/>
      <c r="D7" s="2879">
        <f>SUM(D9,D10,D11,D17,0)</f>
        <v>0</v>
      </c>
      <c r="E7" s="2880" t="e">
        <f>E9+E10+E11+E17</f>
        <v>#DIV/0!</v>
      </c>
      <c r="F7" s="2881"/>
      <c r="G7" s="2882"/>
      <c r="H7" s="2848"/>
      <c r="I7" s="2849"/>
      <c r="J7" s="3645"/>
      <c r="K7" s="3647"/>
      <c r="L7" s="2883" t="s">
        <v>2345</v>
      </c>
      <c r="M7" s="2884"/>
      <c r="N7" s="2860"/>
      <c r="O7" s="2885"/>
      <c r="P7" s="2885"/>
      <c r="Q7" s="2886">
        <v>365</v>
      </c>
      <c r="R7" s="2887">
        <f>ROUND(M7*N7*O7*P7*Q7/10000,0)</f>
        <v>0</v>
      </c>
      <c r="S7" s="2841"/>
      <c r="T7" s="2841" t="s">
        <v>2346</v>
      </c>
      <c r="U7" s="2841"/>
      <c r="V7" s="2849"/>
    </row>
    <row r="8" spans="1:22" s="2853" customFormat="1" ht="13.15" customHeight="1">
      <c r="A8" s="2888" t="s">
        <v>2347</v>
      </c>
      <c r="B8" s="3662" t="s">
        <v>2348</v>
      </c>
      <c r="C8" s="3663"/>
      <c r="D8" s="2889" t="s">
        <v>2349</v>
      </c>
      <c r="E8" s="2890" t="s">
        <v>2350</v>
      </c>
      <c r="F8" s="2891" t="s">
        <v>2351</v>
      </c>
      <c r="G8" s="2892"/>
      <c r="H8" s="2848"/>
      <c r="I8" s="2849"/>
      <c r="J8" s="3645"/>
      <c r="K8" s="3647"/>
      <c r="L8" s="2883" t="s">
        <v>2352</v>
      </c>
      <c r="M8" s="2884"/>
      <c r="N8" s="2860"/>
      <c r="O8" s="2885"/>
      <c r="P8" s="2885"/>
      <c r="Q8" s="2886">
        <v>365</v>
      </c>
      <c r="R8" s="2887">
        <f t="shared" ref="R8:R13" si="0">ROUND(M8*N8*O8*P8*Q8/10000,0)</f>
        <v>0</v>
      </c>
      <c r="S8" s="2841"/>
      <c r="T8" s="2841" t="s">
        <v>2353</v>
      </c>
      <c r="U8" s="2841"/>
      <c r="V8" s="2849"/>
    </row>
    <row r="9" spans="1:22" s="2853" customFormat="1" ht="13.15" customHeight="1">
      <c r="A9" s="2888">
        <v>1</v>
      </c>
      <c r="B9" s="3662" t="s">
        <v>2354</v>
      </c>
      <c r="C9" s="3663"/>
      <c r="D9" s="2889">
        <f>ROUND(D6*E9,0)</f>
        <v>0</v>
      </c>
      <c r="E9" s="2893"/>
      <c r="F9" s="2894" t="s">
        <v>2355</v>
      </c>
      <c r="G9" s="2873"/>
      <c r="H9" s="2848"/>
      <c r="I9" s="2849"/>
      <c r="J9" s="3645"/>
      <c r="K9" s="3647"/>
      <c r="L9" s="2883" t="s">
        <v>2356</v>
      </c>
      <c r="M9" s="2884"/>
      <c r="N9" s="2860"/>
      <c r="O9" s="2885"/>
      <c r="P9" s="2885"/>
      <c r="Q9" s="2886">
        <v>365</v>
      </c>
      <c r="R9" s="2887">
        <f t="shared" si="0"/>
        <v>0</v>
      </c>
      <c r="S9" s="2841"/>
      <c r="T9" s="2841"/>
      <c r="U9" s="2841"/>
      <c r="V9" s="2849"/>
    </row>
    <row r="10" spans="1:22" s="2853" customFormat="1" ht="13.15" customHeight="1">
      <c r="A10" s="2888">
        <v>2</v>
      </c>
      <c r="B10" s="3662" t="s">
        <v>2357</v>
      </c>
      <c r="C10" s="3663"/>
      <c r="D10" s="2889">
        <f>ROUND(D6*E10,0)</f>
        <v>0</v>
      </c>
      <c r="E10" s="2893"/>
      <c r="F10" s="2894" t="s">
        <v>2358</v>
      </c>
      <c r="G10" s="2873"/>
      <c r="H10" s="2848"/>
      <c r="I10" s="2849"/>
      <c r="J10" s="3645"/>
      <c r="K10" s="3647"/>
      <c r="L10" s="2883" t="s">
        <v>2359</v>
      </c>
      <c r="M10" s="2884"/>
      <c r="N10" s="2860"/>
      <c r="O10" s="2885"/>
      <c r="P10" s="2885"/>
      <c r="Q10" s="2886">
        <v>365</v>
      </c>
      <c r="R10" s="2887">
        <f t="shared" si="0"/>
        <v>0</v>
      </c>
      <c r="S10" s="2841"/>
      <c r="T10" s="2841"/>
      <c r="U10" s="2841"/>
      <c r="V10" s="2849"/>
    </row>
    <row r="11" spans="1:22" s="2853" customFormat="1" ht="13.15" customHeight="1">
      <c r="A11" s="2888">
        <v>3</v>
      </c>
      <c r="B11" s="3662" t="s">
        <v>2360</v>
      </c>
      <c r="C11" s="3663"/>
      <c r="D11" s="2889">
        <f>D12+D14+D15+D16</f>
        <v>0</v>
      </c>
      <c r="E11" s="2895" t="e">
        <f>D11/D6</f>
        <v>#DIV/0!</v>
      </c>
      <c r="F11" s="2891"/>
      <c r="G11" s="2892"/>
      <c r="H11" s="2848"/>
      <c r="I11" s="2849"/>
      <c r="J11" s="3645"/>
      <c r="K11" s="3647"/>
      <c r="L11" s="2883" t="s">
        <v>2361</v>
      </c>
      <c r="M11" s="2884"/>
      <c r="N11" s="2860"/>
      <c r="O11" s="2885"/>
      <c r="P11" s="2885"/>
      <c r="Q11" s="2886">
        <v>365</v>
      </c>
      <c r="R11" s="2887">
        <f t="shared" si="0"/>
        <v>0</v>
      </c>
      <c r="S11" s="2841"/>
      <c r="T11" s="2841"/>
      <c r="U11" s="2841"/>
      <c r="V11" s="2849"/>
    </row>
    <row r="12" spans="1:22" s="2853" customFormat="1" ht="13.15" customHeight="1">
      <c r="A12" s="2896" t="s">
        <v>2362</v>
      </c>
      <c r="B12" s="3655" t="s">
        <v>2363</v>
      </c>
      <c r="C12" s="3656"/>
      <c r="D12" s="2897">
        <f>ROUND(D13*1.2%*(1-30%),0)</f>
        <v>0</v>
      </c>
      <c r="E12" s="2898">
        <v>1.2E-2</v>
      </c>
      <c r="F12" s="2891" t="s">
        <v>2364</v>
      </c>
      <c r="G12" s="2892"/>
      <c r="H12" s="2848"/>
      <c r="I12" s="2849"/>
      <c r="J12" s="3645"/>
      <c r="K12" s="3647"/>
      <c r="L12" s="2883" t="s">
        <v>2365</v>
      </c>
      <c r="M12" s="2884"/>
      <c r="N12" s="2860"/>
      <c r="O12" s="2885"/>
      <c r="P12" s="2885"/>
      <c r="Q12" s="2886">
        <v>365</v>
      </c>
      <c r="R12" s="2887">
        <f t="shared" si="0"/>
        <v>0</v>
      </c>
      <c r="S12" s="2841"/>
      <c r="T12" s="2841"/>
      <c r="U12" s="2841"/>
      <c r="V12" s="2849"/>
    </row>
    <row r="13" spans="1:22" s="2853" customFormat="1" ht="13.15" customHeight="1">
      <c r="A13" s="2896"/>
      <c r="B13" s="2899"/>
      <c r="C13" s="2900" t="s">
        <v>2366</v>
      </c>
      <c r="D13" s="2901"/>
      <c r="E13" s="2902"/>
      <c r="F13" s="2891"/>
      <c r="G13" s="2892"/>
      <c r="H13" s="2848"/>
      <c r="I13" s="2849"/>
      <c r="J13" s="3645"/>
      <c r="K13" s="3647"/>
      <c r="L13" s="2883" t="s">
        <v>2367</v>
      </c>
      <c r="M13" s="2884"/>
      <c r="N13" s="2860"/>
      <c r="O13" s="2885"/>
      <c r="P13" s="2885"/>
      <c r="Q13" s="2886">
        <v>365</v>
      </c>
      <c r="R13" s="2887">
        <f t="shared" si="0"/>
        <v>0</v>
      </c>
      <c r="S13" s="2841"/>
      <c r="T13" s="2841"/>
      <c r="U13" s="2841"/>
      <c r="V13" s="2849"/>
    </row>
    <row r="14" spans="1:22" s="2853" customFormat="1" ht="13.15" customHeight="1">
      <c r="A14" s="2896" t="s">
        <v>2368</v>
      </c>
      <c r="B14" s="3655" t="s">
        <v>2369</v>
      </c>
      <c r="C14" s="3656"/>
      <c r="D14" s="2897">
        <f>ROUND(E14*B5/10000,0)</f>
        <v>0</v>
      </c>
      <c r="E14" s="2886"/>
      <c r="F14" s="2891" t="s">
        <v>2370</v>
      </c>
      <c r="G14" s="2892"/>
      <c r="H14" s="2848"/>
      <c r="I14" s="2849"/>
      <c r="J14" s="3645"/>
      <c r="K14" s="3648"/>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2372</v>
      </c>
      <c r="B15" s="3655" t="s">
        <v>2373</v>
      </c>
      <c r="C15" s="3656"/>
      <c r="D15" s="2897">
        <f>ROUND(D6*E15,0)</f>
        <v>0</v>
      </c>
      <c r="E15" s="2898">
        <v>5.5E-2</v>
      </c>
      <c r="F15" s="2891" t="s">
        <v>2374</v>
      </c>
      <c r="G15" s="2873"/>
      <c r="H15" s="2848"/>
      <c r="I15" s="2849"/>
      <c r="J15" s="3645">
        <v>2</v>
      </c>
      <c r="K15" s="3646"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15" customHeight="1">
      <c r="A16" s="2896" t="s">
        <v>2381</v>
      </c>
      <c r="B16" s="3655" t="s">
        <v>2382</v>
      </c>
      <c r="C16" s="3656"/>
      <c r="D16" s="2908">
        <f>D6*E16</f>
        <v>0</v>
      </c>
      <c r="E16" s="2909"/>
      <c r="F16" s="2894" t="s">
        <v>2383</v>
      </c>
      <c r="G16" s="2873"/>
      <c r="H16" s="2848"/>
      <c r="I16" s="2849"/>
      <c r="J16" s="3645"/>
      <c r="K16" s="3647"/>
      <c r="L16" s="2883" t="s">
        <v>2384</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2385</v>
      </c>
      <c r="C17" s="3658"/>
      <c r="D17" s="2911">
        <f>ROUND(D6*E17,0)</f>
        <v>0</v>
      </c>
      <c r="E17" s="2912"/>
      <c r="F17" s="2913" t="s">
        <v>2386</v>
      </c>
      <c r="G17" s="2873"/>
      <c r="H17" s="2848"/>
      <c r="I17" s="2849"/>
      <c r="J17" s="3645"/>
      <c r="K17" s="3647"/>
      <c r="L17" s="2883" t="s">
        <v>2387</v>
      </c>
      <c r="M17" s="2884"/>
      <c r="N17" s="2884"/>
      <c r="O17" s="2885"/>
      <c r="P17" s="2886">
        <v>365</v>
      </c>
      <c r="Q17" s="2860"/>
      <c r="R17" s="2907">
        <f>ROUND(M17*N17*O17*P17/10000,0)</f>
        <v>0</v>
      </c>
      <c r="S17" s="2841"/>
      <c r="T17" s="2841"/>
      <c r="U17" s="2841"/>
      <c r="V17" s="2849"/>
    </row>
    <row r="18" spans="1:22" s="2853" customFormat="1" ht="13.15" customHeight="1" thickBot="1">
      <c r="A18" s="2876" t="s">
        <v>2388</v>
      </c>
      <c r="B18" s="2877"/>
      <c r="C18" s="2877"/>
      <c r="D18" s="2914">
        <f>ROUND(D6*E18,0)</f>
        <v>0</v>
      </c>
      <c r="E18" s="2915"/>
      <c r="F18" s="2916" t="s">
        <v>2389</v>
      </c>
      <c r="G18" s="2873"/>
      <c r="H18" s="2848"/>
      <c r="I18" s="2849"/>
      <c r="J18" s="3645"/>
      <c r="K18" s="3647"/>
      <c r="L18" s="2883" t="s">
        <v>2390</v>
      </c>
      <c r="M18" s="2884"/>
      <c r="N18" s="2884"/>
      <c r="O18" s="2885"/>
      <c r="P18" s="2886">
        <v>365</v>
      </c>
      <c r="Q18" s="2860"/>
      <c r="R18" s="2907">
        <f>ROUND(M18*N18*O18*P18/10000,0)</f>
        <v>0</v>
      </c>
      <c r="S18" s="2841"/>
      <c r="T18" s="2841"/>
      <c r="U18" s="2841"/>
      <c r="V18" s="2849"/>
    </row>
    <row r="19" spans="1:22" s="2853" customFormat="1" ht="13.15" customHeight="1" thickBot="1">
      <c r="A19" s="2917" t="s">
        <v>2391</v>
      </c>
      <c r="B19" s="2871"/>
      <c r="C19" s="2871"/>
      <c r="D19" s="2871"/>
      <c r="E19" s="2871"/>
      <c r="F19" s="2872"/>
      <c r="G19" s="2892"/>
      <c r="H19" s="2848"/>
      <c r="I19" s="2849"/>
      <c r="J19" s="3645"/>
      <c r="K19" s="3648"/>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5">
        <v>3</v>
      </c>
      <c r="K20" s="3646"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15" customHeight="1">
      <c r="A21" s="2876"/>
      <c r="B21" s="2877"/>
      <c r="C21" s="2923" t="s">
        <v>2400</v>
      </c>
      <c r="D21" s="2924" t="s">
        <v>2401</v>
      </c>
      <c r="E21" s="2925" t="s">
        <v>2402</v>
      </c>
      <c r="F21" s="2920"/>
      <c r="G21" s="2892"/>
      <c r="H21" s="2848"/>
      <c r="I21" s="2849"/>
      <c r="J21" s="3645"/>
      <c r="K21" s="3647"/>
      <c r="L21" s="2883" t="s">
        <v>2403</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2404</v>
      </c>
      <c r="D22" s="2928" t="s">
        <v>2405</v>
      </c>
      <c r="E22" s="2929" t="s">
        <v>2406</v>
      </c>
      <c r="F22" s="2920"/>
      <c r="G22" s="2930"/>
      <c r="H22" s="2848"/>
      <c r="I22" s="2849"/>
      <c r="J22" s="3645"/>
      <c r="K22" s="3647"/>
      <c r="L22" s="2883" t="s">
        <v>2407</v>
      </c>
      <c r="M22" s="2884"/>
      <c r="N22" s="2884"/>
      <c r="O22" s="2885"/>
      <c r="P22" s="2886">
        <v>365</v>
      </c>
      <c r="Q22" s="2860"/>
      <c r="R22" s="2926">
        <f>ROUND(M22*N22*O22*P22/10000,0)</f>
        <v>0</v>
      </c>
      <c r="S22" s="2922"/>
      <c r="T22" s="2922"/>
      <c r="U22" s="2922"/>
      <c r="V22" s="2849"/>
    </row>
    <row r="23" spans="1:22" s="2853" customFormat="1" ht="13.15" customHeight="1">
      <c r="A23" s="2931">
        <v>1</v>
      </c>
      <c r="B23" s="2932" t="s">
        <v>2408</v>
      </c>
      <c r="C23" s="2933">
        <f>D6</f>
        <v>0</v>
      </c>
      <c r="D23" s="2934">
        <f>C23*(1+D24)</f>
        <v>0</v>
      </c>
      <c r="E23" s="2935">
        <f>D23*(1+E24)</f>
        <v>0</v>
      </c>
      <c r="F23" s="2936"/>
      <c r="G23" s="2937"/>
      <c r="H23" s="2848"/>
      <c r="I23" s="2849"/>
      <c r="J23" s="3645"/>
      <c r="K23" s="3647"/>
      <c r="L23" s="2883" t="s">
        <v>2409</v>
      </c>
      <c r="M23" s="2884"/>
      <c r="N23" s="2884"/>
      <c r="O23" s="2885"/>
      <c r="P23" s="2886">
        <v>365</v>
      </c>
      <c r="Q23" s="2860"/>
      <c r="R23" s="2926">
        <f>ROUND(M23*N23*O23*P23/10000,0)</f>
        <v>0</v>
      </c>
      <c r="S23" s="2841"/>
      <c r="T23" s="2841"/>
      <c r="U23" s="2841"/>
      <c r="V23" s="2849"/>
    </row>
    <row r="24" spans="1:22" s="2853" customFormat="1" ht="13.15" customHeight="1">
      <c r="A24" s="2938"/>
      <c r="B24" s="2939" t="s">
        <v>2410</v>
      </c>
      <c r="C24" s="2940"/>
      <c r="D24" s="2941"/>
      <c r="E24" s="2942"/>
      <c r="F24" s="2943"/>
      <c r="G24" s="2937"/>
      <c r="H24" s="2848"/>
      <c r="I24" s="2849"/>
      <c r="J24" s="3645"/>
      <c r="K24" s="3648"/>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15" customHeight="1">
      <c r="A26" s="2931">
        <v>2</v>
      </c>
      <c r="B26" s="2932" t="s">
        <v>2412</v>
      </c>
      <c r="C26" s="2933">
        <f>D7</f>
        <v>0</v>
      </c>
      <c r="D26" s="2934">
        <f>D23*D27</f>
        <v>0</v>
      </c>
      <c r="E26" s="2935">
        <f>E23*E27</f>
        <v>0</v>
      </c>
      <c r="F26" s="2936"/>
      <c r="G26" s="2937"/>
      <c r="H26" s="2848"/>
      <c r="I26" s="2849"/>
      <c r="J26" s="3649">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15" customHeight="1">
      <c r="A27" s="2938"/>
      <c r="B27" s="2939" t="s">
        <v>2418</v>
      </c>
      <c r="C27" s="2957" t="e">
        <f>E7</f>
        <v>#DIV/0!</v>
      </c>
      <c r="D27" s="2941"/>
      <c r="E27" s="2942"/>
      <c r="F27" s="2943"/>
      <c r="G27" s="2937"/>
      <c r="H27" s="2958"/>
      <c r="I27" s="2949"/>
      <c r="J27" s="365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15"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15" customHeight="1">
      <c r="A32" s="2931">
        <v>4</v>
      </c>
      <c r="B32" s="2932" t="s">
        <v>2426</v>
      </c>
      <c r="C32" s="2933">
        <f>C23-C26-C29</f>
        <v>0</v>
      </c>
      <c r="D32" s="2934">
        <f>D23-D26-D29</f>
        <v>0</v>
      </c>
      <c r="E32" s="2935">
        <f>E23-E26-E29</f>
        <v>0</v>
      </c>
      <c r="F32" s="2936"/>
      <c r="G32" s="2930"/>
      <c r="H32" s="2848"/>
      <c r="I32" s="2849"/>
      <c r="J32" s="3651" t="s">
        <v>2318</v>
      </c>
      <c r="K32" s="3652"/>
      <c r="L32" s="2850" t="s">
        <v>2319</v>
      </c>
      <c r="M32" s="2850" t="s">
        <v>2320</v>
      </c>
      <c r="N32" s="2850" t="s">
        <v>2321</v>
      </c>
      <c r="O32" s="2850" t="s">
        <v>2322</v>
      </c>
      <c r="P32" s="2850" t="s">
        <v>2323</v>
      </c>
      <c r="Q32" s="2851" t="s">
        <v>2324</v>
      </c>
      <c r="R32" s="2973" t="s">
        <v>2325</v>
      </c>
      <c r="S32" s="2922"/>
      <c r="T32" s="2841"/>
      <c r="U32" s="2841"/>
      <c r="V32" s="2949"/>
    </row>
    <row r="33" spans="1:23" s="2853" customFormat="1" ht="13.15" customHeight="1">
      <c r="A33" s="2931"/>
      <c r="B33" s="2932"/>
      <c r="C33" s="2933"/>
      <c r="D33" s="2974"/>
      <c r="E33" s="2975"/>
      <c r="F33" s="2936"/>
      <c r="G33" s="2930"/>
      <c r="H33" s="2958"/>
      <c r="I33" s="2949"/>
      <c r="J33" s="3653" t="s">
        <v>2328</v>
      </c>
      <c r="K33" s="3654"/>
      <c r="L33" s="2856"/>
      <c r="M33" s="2856"/>
      <c r="N33" s="2856"/>
      <c r="O33" s="2856"/>
      <c r="P33" s="2856"/>
      <c r="Q33" s="2857"/>
      <c r="R33" s="2976">
        <f>SUM(L33:Q33)</f>
        <v>0</v>
      </c>
      <c r="S33" s="2922"/>
      <c r="T33" s="2841"/>
      <c r="U33" s="2841"/>
      <c r="V33" s="2849"/>
    </row>
    <row r="34" spans="1:23" s="2853" customFormat="1" ht="13.15" customHeight="1">
      <c r="A34" s="2931">
        <v>5</v>
      </c>
      <c r="B34" s="2932" t="s">
        <v>2427</v>
      </c>
      <c r="C34" s="2977"/>
      <c r="D34" s="2978"/>
      <c r="E34" s="2979"/>
      <c r="F34" s="2936"/>
      <c r="G34" s="2930"/>
      <c r="H34" s="2958"/>
      <c r="I34" s="2949"/>
      <c r="J34" s="3653" t="s">
        <v>2330</v>
      </c>
      <c r="K34" s="365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15" customHeight="1" thickBot="1">
      <c r="A36" s="2931">
        <v>7</v>
      </c>
      <c r="B36" s="2986" t="s">
        <v>2429</v>
      </c>
      <c r="C36" s="2987"/>
      <c r="D36" s="2988"/>
      <c r="E36" s="2989"/>
      <c r="F36" s="2990">
        <f>C36+D36+E36</f>
        <v>0</v>
      </c>
      <c r="G36" s="2930"/>
      <c r="H36" s="2848"/>
      <c r="I36" s="2849"/>
      <c r="J36" s="3645">
        <v>1</v>
      </c>
      <c r="K36" s="3646" t="s">
        <v>2430</v>
      </c>
      <c r="L36" s="2874"/>
      <c r="M36" s="2875"/>
      <c r="N36" s="2875"/>
      <c r="O36" s="2875"/>
      <c r="P36" s="2875"/>
      <c r="Q36" s="2875"/>
      <c r="R36" s="2858" t="s">
        <v>2342</v>
      </c>
      <c r="S36" s="2922"/>
      <c r="T36" s="2841" t="s">
        <v>2343</v>
      </c>
      <c r="U36" s="2841"/>
      <c r="V36" s="2849"/>
    </row>
    <row r="37" spans="1:23" s="2853" customFormat="1" ht="13.15" customHeight="1">
      <c r="A37" s="2931"/>
      <c r="B37" s="2932"/>
      <c r="C37" s="2932"/>
      <c r="D37" s="2932"/>
      <c r="E37" s="2932"/>
      <c r="F37" s="2936"/>
      <c r="G37" s="2930"/>
      <c r="H37" s="2848"/>
      <c r="I37" s="2849"/>
      <c r="J37" s="3645"/>
      <c r="K37" s="3647"/>
      <c r="L37" s="2883"/>
      <c r="M37" s="2884"/>
      <c r="N37" s="2860"/>
      <c r="O37" s="2885"/>
      <c r="P37" s="2885"/>
      <c r="Q37" s="2886"/>
      <c r="R37" s="2887"/>
      <c r="S37" s="2922"/>
      <c r="T37" s="2841" t="s">
        <v>2346</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5"/>
      <c r="K38" s="3647"/>
      <c r="L38" s="2883"/>
      <c r="M38" s="2884"/>
      <c r="N38" s="2860"/>
      <c r="O38" s="2885"/>
      <c r="P38" s="2885"/>
      <c r="Q38" s="2886"/>
      <c r="R38" s="2887"/>
      <c r="S38" s="2922"/>
      <c r="T38" s="2841" t="s">
        <v>2353</v>
      </c>
      <c r="U38" s="2841"/>
      <c r="V38" s="2849"/>
    </row>
    <row r="39" spans="1:23" s="2853" customFormat="1" ht="13.15" customHeight="1">
      <c r="A39" s="2931">
        <v>9</v>
      </c>
      <c r="B39" s="2932" t="s">
        <v>2431</v>
      </c>
      <c r="C39" s="2897" t="e">
        <f>C38</f>
        <v>#DIV/0!</v>
      </c>
      <c r="D39" s="2932">
        <f>D38/(1+D34)^C36</f>
        <v>0</v>
      </c>
      <c r="E39" s="2932">
        <f>E38/(1+E34)^(C36+D36)</f>
        <v>0</v>
      </c>
      <c r="F39" s="2936"/>
      <c r="G39" s="2991"/>
      <c r="H39" s="2848"/>
      <c r="I39" s="2849"/>
      <c r="J39" s="3645"/>
      <c r="K39" s="3647"/>
      <c r="L39" s="2883"/>
      <c r="M39" s="2884"/>
      <c r="N39" s="2860"/>
      <c r="O39" s="2885"/>
      <c r="P39" s="2885"/>
      <c r="Q39" s="2886"/>
      <c r="R39" s="2887"/>
      <c r="S39" s="2922"/>
      <c r="T39" s="2841"/>
      <c r="U39" s="2841"/>
      <c r="V39" s="2849"/>
    </row>
    <row r="40" spans="1:23" s="2853" customFormat="1" ht="13.15" customHeight="1">
      <c r="A40" s="2992">
        <v>10</v>
      </c>
      <c r="B40" s="2932" t="s">
        <v>2432</v>
      </c>
      <c r="C40" s="2993" t="e">
        <f>C39+D39+E39</f>
        <v>#DIV/0!</v>
      </c>
      <c r="D40" s="2994"/>
      <c r="E40" s="2994"/>
      <c r="F40" s="2995"/>
      <c r="G40" s="2930"/>
      <c r="H40" s="2848"/>
      <c r="I40" s="2849"/>
      <c r="J40" s="3645"/>
      <c r="K40" s="3648"/>
      <c r="L40" s="2903" t="s">
        <v>2371</v>
      </c>
      <c r="M40" s="2904"/>
      <c r="N40" s="2904"/>
      <c r="O40" s="2905"/>
      <c r="P40" s="2905"/>
      <c r="Q40" s="2906"/>
      <c r="R40" s="2852">
        <f>SUM(R37:R39)</f>
        <v>0</v>
      </c>
      <c r="S40" s="2922"/>
      <c r="T40" s="2841"/>
      <c r="U40" s="2841"/>
      <c r="V40" s="2849"/>
    </row>
    <row r="41" spans="1:23" s="2853" customFormat="1" ht="13.15"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9">
        <v>3</v>
      </c>
      <c r="K42" s="2951" t="s">
        <v>2413</v>
      </c>
      <c r="L42" s="2952"/>
      <c r="M42" s="2953"/>
      <c r="N42" s="2954" t="s">
        <v>2414</v>
      </c>
      <c r="O42" s="2954" t="s">
        <v>2415</v>
      </c>
      <c r="P42" s="2955" t="s">
        <v>2416</v>
      </c>
      <c r="Q42" s="2955" t="s">
        <v>2417</v>
      </c>
      <c r="R42" s="2858" t="s">
        <v>2342</v>
      </c>
      <c r="S42" s="2956"/>
      <c r="T42" s="2956"/>
      <c r="U42" s="2841"/>
      <c r="V42" s="2849"/>
    </row>
    <row r="43" spans="1:23" ht="13.15" customHeight="1">
      <c r="A43" s="2853"/>
      <c r="B43" s="2853"/>
      <c r="C43" s="2853"/>
      <c r="D43" s="2853"/>
      <c r="E43" s="2853"/>
      <c r="F43" s="2853"/>
      <c r="I43" s="2836"/>
      <c r="J43" s="365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7"/>
      <c r="G1" s="1489"/>
      <c r="H1" s="1489"/>
      <c r="I1" s="1489"/>
      <c r="J1" s="1489"/>
      <c r="K1" s="1489"/>
      <c r="L1" s="1489"/>
      <c r="M1" s="1489"/>
      <c r="N1" s="1489"/>
      <c r="O1" s="1489"/>
      <c r="P1" s="1489"/>
      <c r="Q1" s="1489"/>
      <c r="R1" s="1489"/>
      <c r="S1" s="1489"/>
    </row>
    <row r="2" spans="1:22" ht="15.75">
      <c r="A2" s="1870" t="s">
        <v>1460</v>
      </c>
      <c r="B2" s="1871">
        <f ca="1">SUMIF(B6:B13,"&lt;&gt;#ref!",B6:B13)</f>
        <v>267.2792</v>
      </c>
      <c r="C2" s="1872" t="s">
        <v>1649</v>
      </c>
      <c r="D2" s="1873" t="s">
        <v>1650</v>
      </c>
      <c r="E2" s="2607">
        <f>SUM(E6:E13)</f>
        <v>88.45</v>
      </c>
      <c r="F2" s="2707"/>
      <c r="G2" s="1489"/>
      <c r="H2" s="1489"/>
      <c r="I2" s="1489"/>
      <c r="J2" s="1489"/>
      <c r="K2" s="1489"/>
      <c r="L2" s="1489"/>
      <c r="M2" s="1489"/>
      <c r="N2" s="1489"/>
      <c r="O2" s="1489"/>
      <c r="P2" s="1489"/>
      <c r="Q2" s="1489"/>
      <c r="R2" s="1489"/>
      <c r="S2" s="1489"/>
    </row>
    <row r="3" spans="1:22" ht="15.75">
      <c r="A3" s="1870" t="s">
        <v>684</v>
      </c>
      <c r="B3" s="2601">
        <f ca="1">ROUND(B2*10000/E2,0)</f>
        <v>30218</v>
      </c>
      <c r="C3" s="1872" t="s">
        <v>1657</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1651</v>
      </c>
      <c r="B5" s="3664" t="s">
        <v>1652</v>
      </c>
      <c r="C5" s="3665"/>
      <c r="D5" s="2708"/>
      <c r="E5" s="1874" t="s">
        <v>1653</v>
      </c>
      <c r="F5" s="1875" t="s">
        <v>1654</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267.2792</v>
      </c>
      <c r="C6" s="1872" t="s">
        <v>1649</v>
      </c>
      <c r="D6" s="2709"/>
      <c r="E6" s="2606">
        <f>IF(OR(A6=0,F6="否"),0,'数据-取费表'!K6+'数据-取费表'!S6)</f>
        <v>88.45</v>
      </c>
      <c r="F6" s="1876" t="s">
        <v>1655</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1649</v>
      </c>
      <c r="D7" s="2709"/>
      <c r="E7" s="2606">
        <f>IF(OR(A7=0,F7="否"),0,'数据-取费表'!K7+'数据-取费表'!S7)</f>
        <v>0</v>
      </c>
      <c r="F7" s="1876" t="s">
        <v>1655</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1649</v>
      </c>
      <c r="D8" s="2709"/>
      <c r="E8" s="2606">
        <f>IF(OR(A8=0,F8="否"),0,'数据-取费表'!K8+'数据-取费表'!S8)</f>
        <v>0</v>
      </c>
      <c r="F8" s="1876" t="s">
        <v>1655</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1649</v>
      </c>
      <c r="D9" s="2709"/>
      <c r="E9" s="2606">
        <f>IF(OR(A9=0,F9="否"),0,'数据-取费表'!K9+'数据-取费表'!S9)</f>
        <v>0</v>
      </c>
      <c r="F9" s="1876" t="s">
        <v>1655</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1649</v>
      </c>
      <c r="D10" s="2709"/>
      <c r="E10" s="2606">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1649</v>
      </c>
      <c r="D11" s="2709"/>
      <c r="E11" s="2606">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1649</v>
      </c>
      <c r="D12" s="2709"/>
      <c r="E12" s="2606">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1649</v>
      </c>
      <c r="D13" s="2710"/>
      <c r="E13" s="2606">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6"/>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1663</v>
      </c>
      <c r="D3" s="353">
        <f>IF(D1="",'数据-汇总表'!E3,SUMIF('数据-汇总表'!$C19:$C33,D1,'数据-汇总表'!$E19:$E33))</f>
        <v>88.45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1664</v>
      </c>
      <c r="B4" s="356"/>
      <c r="C4" s="3684" t="s">
        <v>1665</v>
      </c>
      <c r="D4" s="3685"/>
      <c r="E4" s="3686" t="s">
        <v>1666</v>
      </c>
      <c r="F4" s="3687"/>
      <c r="G4" s="3684" t="s">
        <v>1667</v>
      </c>
      <c r="H4" s="3685"/>
      <c r="I4" s="3684" t="s">
        <v>1668</v>
      </c>
      <c r="J4" s="3685"/>
      <c r="K4" s="1889" t="s">
        <v>1669</v>
      </c>
      <c r="L4" s="2715"/>
      <c r="M4" s="2716"/>
      <c r="N4" s="2716"/>
      <c r="O4" s="2716"/>
      <c r="P4" s="3688" t="s">
        <v>1670</v>
      </c>
      <c r="Q4" s="3689"/>
      <c r="R4" s="3694" t="s">
        <v>1666</v>
      </c>
      <c r="S4" s="3695"/>
      <c r="T4" s="3694" t="s">
        <v>1667</v>
      </c>
      <c r="U4" s="3695"/>
      <c r="V4" s="3700" t="s">
        <v>1668</v>
      </c>
      <c r="W4" s="3700"/>
      <c r="X4" s="1355"/>
      <c r="Y4" s="3694" t="s">
        <v>1670</v>
      </c>
      <c r="Z4" s="3695"/>
      <c r="AA4" s="3681" t="s">
        <v>1666</v>
      </c>
      <c r="AB4" s="3681" t="s">
        <v>1667</v>
      </c>
      <c r="AC4" s="3681" t="s">
        <v>1668</v>
      </c>
    </row>
    <row r="5" spans="1:29" ht="15">
      <c r="A5" s="358"/>
      <c r="B5" s="359"/>
      <c r="C5" s="3703" t="s">
        <v>1671</v>
      </c>
      <c r="D5" s="3704"/>
      <c r="E5" s="3710" t="s">
        <v>1672</v>
      </c>
      <c r="F5" s="3711"/>
      <c r="G5" s="3703" t="s">
        <v>1673</v>
      </c>
      <c r="H5" s="3704"/>
      <c r="I5" s="3703" t="s">
        <v>1674</v>
      </c>
      <c r="J5" s="3704"/>
      <c r="K5" s="1890"/>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1675</v>
      </c>
      <c r="D6" s="3702"/>
      <c r="E6" s="3708" t="s">
        <v>1675</v>
      </c>
      <c r="F6" s="3709"/>
      <c r="G6" s="3701" t="s">
        <v>1675</v>
      </c>
      <c r="H6" s="3702"/>
      <c r="I6" s="3701" t="s">
        <v>1675</v>
      </c>
      <c r="J6" s="3702"/>
      <c r="K6" s="1890" t="s">
        <v>1676</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1677</v>
      </c>
      <c r="B7" s="363"/>
      <c r="C7" s="364">
        <f>'数据-取费表'!B2</f>
        <v>45076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5" t="s">
        <v>1678</v>
      </c>
      <c r="Q7" s="3707"/>
      <c r="R7" s="701" t="s">
        <v>20</v>
      </c>
      <c r="S7" s="702">
        <f t="shared" ref="S7:S15" si="0">F7</f>
        <v>0</v>
      </c>
      <c r="T7" s="701" t="s">
        <v>20</v>
      </c>
      <c r="U7" s="702">
        <f t="shared" ref="U7:U15" si="1">H7</f>
        <v>0</v>
      </c>
      <c r="V7" s="701" t="s">
        <v>20</v>
      </c>
      <c r="W7" s="702">
        <f t="shared" ref="W7:W15" si="2">J7</f>
        <v>0</v>
      </c>
      <c r="X7" s="703"/>
      <c r="Y7" s="3705" t="s">
        <v>1678</v>
      </c>
      <c r="Z7" s="3706"/>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5" t="s">
        <v>1681</v>
      </c>
      <c r="Q8" s="3706"/>
      <c r="R8" s="701" t="s">
        <v>20</v>
      </c>
      <c r="S8" s="702">
        <f t="shared" si="0"/>
        <v>100</v>
      </c>
      <c r="T8" s="701" t="s">
        <v>20</v>
      </c>
      <c r="U8" s="702">
        <f t="shared" si="1"/>
        <v>100</v>
      </c>
      <c r="V8" s="701" t="s">
        <v>20</v>
      </c>
      <c r="W8" s="702">
        <f t="shared" si="2"/>
        <v>100</v>
      </c>
      <c r="X8" s="703"/>
      <c r="Y8" s="3705" t="s">
        <v>1681</v>
      </c>
      <c r="Z8" s="3706"/>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1688</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8" t="s">
        <v>1689</v>
      </c>
      <c r="Q15" s="1352" t="str">
        <f t="shared" si="6"/>
        <v>居住社区成熟度</v>
      </c>
      <c r="R15" s="705" t="s">
        <v>18</v>
      </c>
      <c r="S15" s="706">
        <f t="shared" si="0"/>
        <v>100</v>
      </c>
      <c r="T15" s="705" t="s">
        <v>18</v>
      </c>
      <c r="U15" s="706">
        <f t="shared" si="1"/>
        <v>100</v>
      </c>
      <c r="V15" s="705" t="s">
        <v>18</v>
      </c>
      <c r="W15" s="706">
        <f t="shared" si="2"/>
        <v>100</v>
      </c>
      <c r="X15" s="1355"/>
      <c r="Y15" s="3671"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9"/>
      <c r="Q16" s="1352"/>
      <c r="R16" s="705"/>
      <c r="S16" s="706"/>
      <c r="T16" s="705"/>
      <c r="U16" s="706"/>
      <c r="V16" s="705"/>
      <c r="W16" s="706"/>
      <c r="X16" s="1355"/>
      <c r="Y16" s="3672"/>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9"/>
      <c r="Q17" s="1352" t="str">
        <f>B17</f>
        <v>交通便捷度</v>
      </c>
      <c r="R17" s="705" t="s">
        <v>18</v>
      </c>
      <c r="S17" s="706">
        <f>F17</f>
        <v>100</v>
      </c>
      <c r="T17" s="705" t="s">
        <v>18</v>
      </c>
      <c r="U17" s="706">
        <f>H17</f>
        <v>100</v>
      </c>
      <c r="V17" s="705" t="s">
        <v>18</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9"/>
      <c r="Q18" s="1352"/>
      <c r="R18" s="705"/>
      <c r="S18" s="706"/>
      <c r="T18" s="705"/>
      <c r="U18" s="706"/>
      <c r="V18" s="705"/>
      <c r="W18" s="706"/>
      <c r="X18" s="1355"/>
      <c r="Y18" s="3672"/>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9"/>
      <c r="Q19" s="1352" t="str">
        <f>B19</f>
        <v>公共配套设施</v>
      </c>
      <c r="R19" s="705" t="s">
        <v>18</v>
      </c>
      <c r="S19" s="706">
        <f>F19</f>
        <v>100</v>
      </c>
      <c r="T19" s="705" t="s">
        <v>18</v>
      </c>
      <c r="U19" s="706">
        <f>H19</f>
        <v>100</v>
      </c>
      <c r="V19" s="705" t="s">
        <v>18</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9"/>
      <c r="Q20" s="1352"/>
      <c r="R20" s="705"/>
      <c r="S20" s="706"/>
      <c r="T20" s="705"/>
      <c r="U20" s="706"/>
      <c r="V20" s="705"/>
      <c r="W20" s="706"/>
      <c r="X20" s="1355"/>
      <c r="Y20" s="3672"/>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9"/>
      <c r="Q22" s="1352"/>
      <c r="R22" s="705"/>
      <c r="S22" s="706"/>
      <c r="T22" s="705"/>
      <c r="U22" s="706"/>
      <c r="V22" s="705"/>
      <c r="W22" s="706"/>
      <c r="X22" s="1355"/>
      <c r="Y22" s="3672"/>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9"/>
      <c r="Q23" s="1352" t="str">
        <f>B23</f>
        <v>自然及人文环境</v>
      </c>
      <c r="R23" s="705" t="s">
        <v>18</v>
      </c>
      <c r="S23" s="706">
        <f>F23</f>
        <v>100</v>
      </c>
      <c r="T23" s="705" t="s">
        <v>18</v>
      </c>
      <c r="U23" s="706">
        <f>H23</f>
        <v>100</v>
      </c>
      <c r="V23" s="705" t="s">
        <v>18</v>
      </c>
      <c r="W23" s="706">
        <f>J23</f>
        <v>100</v>
      </c>
      <c r="X23" s="1355"/>
      <c r="Y23" s="367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9"/>
      <c r="Q24" s="1352"/>
      <c r="R24" s="705"/>
      <c r="S24" s="706"/>
      <c r="T24" s="705"/>
      <c r="U24" s="706"/>
      <c r="V24" s="705"/>
      <c r="W24" s="706"/>
      <c r="X24" s="1355"/>
      <c r="Y24" s="3672"/>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2"/>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9"/>
      <c r="Q26" s="1352" t="str">
        <f t="shared" si="11"/>
        <v>朝向</v>
      </c>
      <c r="R26" s="705" t="s">
        <v>18</v>
      </c>
      <c r="S26" s="706">
        <f t="shared" si="12"/>
        <v>100</v>
      </c>
      <c r="T26" s="705" t="s">
        <v>18</v>
      </c>
      <c r="U26" s="706">
        <f t="shared" si="13"/>
        <v>100</v>
      </c>
      <c r="V26" s="705" t="s">
        <v>18</v>
      </c>
      <c r="W26" s="706">
        <f t="shared" si="14"/>
        <v>100</v>
      </c>
      <c r="X26" s="1355"/>
      <c r="Y26" s="367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9"/>
      <c r="Q27" s="1343">
        <f t="shared" si="11"/>
        <v>111</v>
      </c>
      <c r="R27" s="701" t="s">
        <v>18</v>
      </c>
      <c r="S27" s="702">
        <f t="shared" si="12"/>
        <v>100</v>
      </c>
      <c r="T27" s="701" t="s">
        <v>18</v>
      </c>
      <c r="U27" s="702">
        <f t="shared" si="13"/>
        <v>100</v>
      </c>
      <c r="V27" s="701" t="s">
        <v>18</v>
      </c>
      <c r="W27" s="702">
        <f t="shared" si="14"/>
        <v>100</v>
      </c>
      <c r="X27" s="703"/>
      <c r="Y27" s="367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9"/>
      <c r="Q28" s="1352">
        <f t="shared" si="11"/>
        <v>111</v>
      </c>
      <c r="R28" s="705" t="s">
        <v>18</v>
      </c>
      <c r="S28" s="706">
        <f t="shared" si="12"/>
        <v>100</v>
      </c>
      <c r="T28" s="705" t="s">
        <v>18</v>
      </c>
      <c r="U28" s="706">
        <f t="shared" si="13"/>
        <v>100</v>
      </c>
      <c r="V28" s="705" t="s">
        <v>18</v>
      </c>
      <c r="W28" s="706">
        <f t="shared" si="14"/>
        <v>100</v>
      </c>
      <c r="X28" s="1355"/>
      <c r="Y28" s="367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9"/>
      <c r="Q29" s="1352">
        <f t="shared" si="11"/>
        <v>111</v>
      </c>
      <c r="R29" s="705" t="s">
        <v>18</v>
      </c>
      <c r="S29" s="706">
        <f t="shared" si="12"/>
        <v>100</v>
      </c>
      <c r="T29" s="705" t="s">
        <v>18</v>
      </c>
      <c r="U29" s="706">
        <f t="shared" si="13"/>
        <v>100</v>
      </c>
      <c r="V29" s="705" t="s">
        <v>18</v>
      </c>
      <c r="W29" s="706">
        <f t="shared" si="14"/>
        <v>100</v>
      </c>
      <c r="X29" s="1355"/>
      <c r="Y29" s="367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9"/>
      <c r="Q30" s="1352">
        <f t="shared" si="11"/>
        <v>111</v>
      </c>
      <c r="R30" s="705" t="s">
        <v>18</v>
      </c>
      <c r="S30" s="706">
        <f t="shared" si="12"/>
        <v>100</v>
      </c>
      <c r="T30" s="705" t="s">
        <v>18</v>
      </c>
      <c r="U30" s="706">
        <f t="shared" si="13"/>
        <v>100</v>
      </c>
      <c r="V30" s="705" t="s">
        <v>18</v>
      </c>
      <c r="W30" s="706">
        <f t="shared" si="14"/>
        <v>100</v>
      </c>
      <c r="X30" s="1355"/>
      <c r="Y30" s="367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9"/>
      <c r="Q31" s="1352">
        <f t="shared" si="11"/>
        <v>111</v>
      </c>
      <c r="R31" s="705" t="s">
        <v>18</v>
      </c>
      <c r="S31" s="706">
        <f t="shared" si="12"/>
        <v>100</v>
      </c>
      <c r="T31" s="705" t="s">
        <v>18</v>
      </c>
      <c r="U31" s="706">
        <f t="shared" si="13"/>
        <v>100</v>
      </c>
      <c r="V31" s="705" t="s">
        <v>18</v>
      </c>
      <c r="W31" s="706">
        <f t="shared" si="14"/>
        <v>100</v>
      </c>
      <c r="X31" s="1355"/>
      <c r="Y31" s="3672"/>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3" t="s">
        <v>1694</v>
      </c>
      <c r="Q32" s="1352" t="str">
        <f t="shared" si="11"/>
        <v>建筑类型</v>
      </c>
      <c r="R32" s="705" t="s">
        <v>18</v>
      </c>
      <c r="S32" s="706">
        <f t="shared" si="12"/>
        <v>100</v>
      </c>
      <c r="T32" s="705" t="s">
        <v>18</v>
      </c>
      <c r="U32" s="706">
        <f t="shared" si="13"/>
        <v>100</v>
      </c>
      <c r="V32" s="705" t="s">
        <v>18</v>
      </c>
      <c r="W32" s="706">
        <f t="shared" si="14"/>
        <v>100</v>
      </c>
      <c r="X32" s="1355"/>
      <c r="Y32" s="3676"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4"/>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4"/>
      <c r="Q34" s="1352" t="str">
        <f t="shared" si="11"/>
        <v>建筑结构</v>
      </c>
      <c r="R34" s="705" t="s">
        <v>18</v>
      </c>
      <c r="S34" s="706">
        <f t="shared" si="12"/>
        <v>100</v>
      </c>
      <c r="T34" s="705" t="s">
        <v>18</v>
      </c>
      <c r="U34" s="706">
        <f t="shared" si="13"/>
        <v>100</v>
      </c>
      <c r="V34" s="705" t="s">
        <v>18</v>
      </c>
      <c r="W34" s="706">
        <f t="shared" si="14"/>
        <v>100</v>
      </c>
      <c r="X34" s="1355"/>
      <c r="Y34" s="3676"/>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4"/>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4"/>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4"/>
      <c r="Q37" s="1343"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4" t="s">
        <v>1694</v>
      </c>
      <c r="Q38" s="1352" t="str">
        <f t="shared" si="11"/>
        <v>物业管理</v>
      </c>
      <c r="R38" s="705" t="s">
        <v>18</v>
      </c>
      <c r="S38" s="706">
        <f t="shared" si="12"/>
        <v>100</v>
      </c>
      <c r="T38" s="705" t="s">
        <v>18</v>
      </c>
      <c r="U38" s="706">
        <f t="shared" si="13"/>
        <v>100</v>
      </c>
      <c r="V38" s="705" t="s">
        <v>18</v>
      </c>
      <c r="W38" s="706">
        <f t="shared" si="14"/>
        <v>100</v>
      </c>
      <c r="X38" s="1355"/>
      <c r="Y38" s="3676"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4"/>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4"/>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4"/>
      <c r="Q42" s="1352" t="str">
        <f t="shared" si="11"/>
        <v>内部装修</v>
      </c>
      <c r="R42" s="705" t="s">
        <v>18</v>
      </c>
      <c r="S42" s="706">
        <f t="shared" si="12"/>
        <v>100</v>
      </c>
      <c r="T42" s="705" t="s">
        <v>18</v>
      </c>
      <c r="U42" s="706">
        <f t="shared" si="13"/>
        <v>100</v>
      </c>
      <c r="V42" s="705" t="s">
        <v>18</v>
      </c>
      <c r="W42" s="706">
        <f t="shared" si="14"/>
        <v>100</v>
      </c>
      <c r="X42" s="1355"/>
      <c r="Y42" s="3676"/>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4"/>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4"/>
      <c r="Q44" s="1343">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4"/>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5"/>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4"/>
      <c r="M47" s="2725"/>
      <c r="N47" s="2716"/>
      <c r="O47" s="2725"/>
      <c r="P47" s="3669" t="str">
        <f>A47</f>
        <v>成交单价（元/平方米）</v>
      </c>
      <c r="Q47" s="3669"/>
      <c r="R47" s="3670">
        <f>E47</f>
        <v>0</v>
      </c>
      <c r="S47" s="3670"/>
      <c r="T47" s="3670">
        <f>G47</f>
        <v>0</v>
      </c>
      <c r="U47" s="3670"/>
      <c r="V47" s="3670">
        <f>I47</f>
        <v>0</v>
      </c>
      <c r="W47" s="3670"/>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4"/>
      <c r="M48" s="2725"/>
      <c r="N48" s="2725"/>
      <c r="O48" s="272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4"/>
      <c r="M49" s="2725"/>
      <c r="N49" s="2725"/>
      <c r="O49" s="272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60" zoomScaleNormal="70" workbookViewId="0">
      <selection activeCell="D97" sqref="D9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671</v>
      </c>
      <c r="E1" s="3426" t="s">
        <v>3416</v>
      </c>
      <c r="F1" s="1879" t="s">
        <v>3417</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292.0265</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33016</v>
      </c>
      <c r="C3" s="354" t="s">
        <v>1766</v>
      </c>
      <c r="D3" s="353">
        <f>IF(D1="",'数据-汇总表'!E3,SUMIF('数据-汇总表'!$C19:$C33,D1,'数据-汇总表'!$E19:$E33))</f>
        <v>88.45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1767</v>
      </c>
      <c r="B4" s="356"/>
      <c r="C4" s="3684" t="s">
        <v>1768</v>
      </c>
      <c r="D4" s="3685"/>
      <c r="E4" s="3686" t="s">
        <v>1769</v>
      </c>
      <c r="F4" s="3687"/>
      <c r="G4" s="3684" t="s">
        <v>1770</v>
      </c>
      <c r="H4" s="3685"/>
      <c r="I4" s="3684" t="s">
        <v>1771</v>
      </c>
      <c r="J4" s="3685"/>
      <c r="K4" s="559" t="s">
        <v>1772</v>
      </c>
      <c r="L4" s="2715"/>
      <c r="M4" s="2716"/>
      <c r="N4" s="2716"/>
      <c r="O4" s="2716"/>
      <c r="P4" s="3688" t="s">
        <v>1773</v>
      </c>
      <c r="Q4" s="3689"/>
      <c r="R4" s="3694" t="s">
        <v>1769</v>
      </c>
      <c r="S4" s="3695"/>
      <c r="T4" s="3694" t="s">
        <v>1770</v>
      </c>
      <c r="U4" s="3695"/>
      <c r="V4" s="3700" t="s">
        <v>1771</v>
      </c>
      <c r="W4" s="3700"/>
      <c r="X4" s="1355"/>
      <c r="Y4" s="3694" t="s">
        <v>1773</v>
      </c>
      <c r="Z4" s="3695"/>
      <c r="AA4" s="3681" t="s">
        <v>1769</v>
      </c>
      <c r="AB4" s="3700" t="s">
        <v>1770</v>
      </c>
      <c r="AC4" s="3681" t="s">
        <v>1771</v>
      </c>
    </row>
    <row r="5" spans="1:29" ht="15">
      <c r="A5" s="358"/>
      <c r="B5" s="359"/>
      <c r="C5" s="3703" t="s">
        <v>1671</v>
      </c>
      <c r="D5" s="3704"/>
      <c r="E5" s="3710" t="s">
        <v>1672</v>
      </c>
      <c r="F5" s="3711"/>
      <c r="G5" s="3703" t="s">
        <v>1673</v>
      </c>
      <c r="H5" s="3704"/>
      <c r="I5" s="3703" t="s">
        <v>1674</v>
      </c>
      <c r="J5" s="3704"/>
      <c r="K5" s="559"/>
      <c r="L5" s="2715"/>
      <c r="M5" s="2716"/>
      <c r="N5" s="2716"/>
      <c r="O5" s="2716"/>
      <c r="P5" s="3690"/>
      <c r="Q5" s="3691"/>
      <c r="R5" s="3696"/>
      <c r="S5" s="3697"/>
      <c r="T5" s="3696"/>
      <c r="U5" s="3697"/>
      <c r="V5" s="3700"/>
      <c r="W5" s="3700"/>
      <c r="X5" s="1355"/>
      <c r="Y5" s="3696"/>
      <c r="Z5" s="3697"/>
      <c r="AA5" s="3682"/>
      <c r="AB5" s="3700"/>
      <c r="AC5" s="3682"/>
    </row>
    <row r="6" spans="1:29" ht="15.75" thickBot="1">
      <c r="A6" s="360"/>
      <c r="B6" s="361"/>
      <c r="C6" s="3701" t="s">
        <v>1675</v>
      </c>
      <c r="D6" s="3702"/>
      <c r="E6" s="3708" t="s">
        <v>1675</v>
      </c>
      <c r="F6" s="3709"/>
      <c r="G6" s="3701" t="s">
        <v>1675</v>
      </c>
      <c r="H6" s="3702"/>
      <c r="I6" s="3701" t="s">
        <v>1675</v>
      </c>
      <c r="J6" s="3702"/>
      <c r="K6" s="559" t="s">
        <v>1676</v>
      </c>
      <c r="L6" s="2715"/>
      <c r="M6" s="2716"/>
      <c r="N6" s="2716"/>
      <c r="O6" s="2716"/>
      <c r="P6" s="3692"/>
      <c r="Q6" s="3693"/>
      <c r="R6" s="3696"/>
      <c r="S6" s="3697"/>
      <c r="T6" s="3698"/>
      <c r="U6" s="3699"/>
      <c r="V6" s="3700"/>
      <c r="W6" s="3700"/>
      <c r="X6" s="1355"/>
      <c r="Y6" s="3698"/>
      <c r="Z6" s="3699"/>
      <c r="AA6" s="3683"/>
      <c r="AB6" s="3700"/>
      <c r="AC6" s="3683"/>
    </row>
    <row r="7" spans="1:29" s="108" customFormat="1" ht="15.75" thickBot="1">
      <c r="A7" s="362" t="s">
        <v>1677</v>
      </c>
      <c r="B7" s="363"/>
      <c r="C7" s="364">
        <f>'数据-取费表'!B2</f>
        <v>45076</v>
      </c>
      <c r="D7" s="365">
        <v>100</v>
      </c>
      <c r="E7" s="366">
        <v>45047</v>
      </c>
      <c r="F7" s="367">
        <f>SUMIF(58:58,YEAR(E7)&amp;"-"&amp;MONTH(E7),59:59)</f>
        <v>100</v>
      </c>
      <c r="G7" s="366">
        <v>45047</v>
      </c>
      <c r="H7" s="365">
        <f>SUMIF(58:58,YEAR(G7)&amp;"-"&amp;MONTH(G7),59:59)</f>
        <v>100</v>
      </c>
      <c r="I7" s="366">
        <v>45047</v>
      </c>
      <c r="J7" s="365">
        <f>SUMIF(58:58,YEAR(I7)&amp;"-"&amp;MONTH(I7),59:59)</f>
        <v>100</v>
      </c>
      <c r="K7" s="560"/>
      <c r="L7" s="2717"/>
      <c r="M7" s="2718"/>
      <c r="N7" s="2718"/>
      <c r="O7" s="2718"/>
      <c r="P7" s="3705" t="s">
        <v>1678</v>
      </c>
      <c r="Q7" s="3707"/>
      <c r="R7" s="701" t="s">
        <v>14</v>
      </c>
      <c r="S7" s="702">
        <f t="shared" ref="S7:S15" si="0">F7</f>
        <v>100</v>
      </c>
      <c r="T7" s="701" t="s">
        <v>14</v>
      </c>
      <c r="U7" s="702">
        <f t="shared" ref="U7:U15" si="1">H7</f>
        <v>100</v>
      </c>
      <c r="V7" s="701" t="s">
        <v>14</v>
      </c>
      <c r="W7" s="702">
        <f t="shared" ref="W7:W15" si="2">J7</f>
        <v>100</v>
      </c>
      <c r="X7" s="703"/>
      <c r="Y7" s="3705" t="s">
        <v>1678</v>
      </c>
      <c r="Z7" s="3706"/>
      <c r="AA7" s="704">
        <f>D7/F7</f>
        <v>1</v>
      </c>
      <c r="AB7" s="704">
        <f>D7/H7</f>
        <v>1</v>
      </c>
      <c r="AC7" s="704">
        <f>D7/J7</f>
        <v>1</v>
      </c>
    </row>
    <row r="8" spans="1:29" s="108" customFormat="1" ht="15.75" thickBot="1">
      <c r="A8" s="362" t="s">
        <v>1679</v>
      </c>
      <c r="B8" s="363"/>
      <c r="C8" s="368" t="s">
        <v>3420</v>
      </c>
      <c r="D8" s="365">
        <v>100</v>
      </c>
      <c r="E8" s="368" t="s">
        <v>3418</v>
      </c>
      <c r="F8" s="367">
        <f>SUMIF(61:61,E8,62:62)-SUMIF(61:61,C8,62:62)+100</f>
        <v>105</v>
      </c>
      <c r="G8" s="368" t="s">
        <v>3418</v>
      </c>
      <c r="H8" s="365">
        <f>SUMIF(61:61,G8,62:62)-SUMIF(61:61,C8,62:62)+100</f>
        <v>105</v>
      </c>
      <c r="I8" s="368" t="s">
        <v>3418</v>
      </c>
      <c r="J8" s="365">
        <f>SUMIF(61:61,I8,62:62)-SUMIF(61:61,C8,62:62)+100</f>
        <v>105</v>
      </c>
      <c r="K8" s="560"/>
      <c r="L8" s="2717"/>
      <c r="M8" s="2718"/>
      <c r="N8" s="2718"/>
      <c r="O8" s="2718"/>
      <c r="P8" s="3705" t="s">
        <v>1681</v>
      </c>
      <c r="Q8" s="3706"/>
      <c r="R8" s="701" t="s">
        <v>14</v>
      </c>
      <c r="S8" s="702">
        <f t="shared" si="0"/>
        <v>105</v>
      </c>
      <c r="T8" s="701" t="s">
        <v>14</v>
      </c>
      <c r="U8" s="702">
        <f t="shared" si="1"/>
        <v>105</v>
      </c>
      <c r="V8" s="701" t="s">
        <v>14</v>
      </c>
      <c r="W8" s="702">
        <f t="shared" si="2"/>
        <v>105</v>
      </c>
      <c r="X8" s="703"/>
      <c r="Y8" s="3705" t="s">
        <v>1681</v>
      </c>
      <c r="Z8" s="3706"/>
      <c r="AA8" s="704">
        <f t="shared" ref="AA8:AA46" si="3">D8/F8</f>
        <v>0.95238095238095233</v>
      </c>
      <c r="AB8" s="704">
        <f t="shared" ref="AB8:AB46" si="4">D8/H8</f>
        <v>0.95238095238095233</v>
      </c>
      <c r="AC8" s="704">
        <f t="shared" ref="AC8:AC46" si="5">D8/J8</f>
        <v>0.95238095238095233</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8" t="s">
        <v>1689</v>
      </c>
      <c r="Q15" s="1352" t="str">
        <f t="shared" si="6"/>
        <v>商业繁华度</v>
      </c>
      <c r="R15" s="705" t="s">
        <v>14</v>
      </c>
      <c r="S15" s="706">
        <f t="shared" si="0"/>
        <v>100</v>
      </c>
      <c r="T15" s="705" t="s">
        <v>14</v>
      </c>
      <c r="U15" s="706">
        <f t="shared" si="1"/>
        <v>100</v>
      </c>
      <c r="V15" s="705" t="s">
        <v>14</v>
      </c>
      <c r="W15" s="706">
        <f t="shared" si="2"/>
        <v>100</v>
      </c>
      <c r="X15" s="1355"/>
      <c r="Y15" s="3671"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9"/>
      <c r="Q16" s="1352"/>
      <c r="R16" s="705"/>
      <c r="S16" s="706"/>
      <c r="T16" s="705"/>
      <c r="U16" s="706"/>
      <c r="V16" s="705"/>
      <c r="W16" s="706"/>
      <c r="X16" s="1355"/>
      <c r="Y16" s="3672"/>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9"/>
      <c r="Q18" s="1352"/>
      <c r="R18" s="705"/>
      <c r="S18" s="706"/>
      <c r="T18" s="705"/>
      <c r="U18" s="706"/>
      <c r="V18" s="705"/>
      <c r="W18" s="706"/>
      <c r="X18" s="1355"/>
      <c r="Y18" s="3672"/>
      <c r="Z18" s="1356"/>
      <c r="AA18" s="1353">
        <v>1</v>
      </c>
      <c r="AB18" s="1353">
        <v>1</v>
      </c>
      <c r="AC18" s="1353">
        <v>1</v>
      </c>
    </row>
    <row r="19" spans="1:29" ht="42.75">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9"/>
      <c r="Q20" s="1352"/>
      <c r="R20" s="705"/>
      <c r="S20" s="706"/>
      <c r="T20" s="705"/>
      <c r="U20" s="706"/>
      <c r="V20" s="705"/>
      <c r="W20" s="706"/>
      <c r="X20" s="1355"/>
      <c r="Y20" s="3672"/>
      <c r="Z20" s="1356"/>
      <c r="AA20" s="1353">
        <v>1</v>
      </c>
      <c r="AB20" s="1353">
        <v>1</v>
      </c>
      <c r="AC20" s="1353">
        <v>1</v>
      </c>
    </row>
    <row r="21" spans="1:29" ht="28.5">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9"/>
      <c r="Q22" s="1352"/>
      <c r="R22" s="705"/>
      <c r="S22" s="706"/>
      <c r="T22" s="705"/>
      <c r="U22" s="706"/>
      <c r="V22" s="705"/>
      <c r="W22" s="706"/>
      <c r="X22" s="1355"/>
      <c r="Y22" s="3672"/>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9"/>
      <c r="Q23" s="1352" t="str">
        <f>B23</f>
        <v>自然及人文环境</v>
      </c>
      <c r="R23" s="705" t="s">
        <v>14</v>
      </c>
      <c r="S23" s="706">
        <f>F23</f>
        <v>100</v>
      </c>
      <c r="T23" s="705" t="s">
        <v>14</v>
      </c>
      <c r="U23" s="706">
        <f>H23</f>
        <v>100</v>
      </c>
      <c r="V23" s="705" t="s">
        <v>14</v>
      </c>
      <c r="W23" s="706">
        <f>J23</f>
        <v>100</v>
      </c>
      <c r="X23" s="1355"/>
      <c r="Y23" s="367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9"/>
      <c r="Q24" s="1352"/>
      <c r="R24" s="705"/>
      <c r="S24" s="706"/>
      <c r="T24" s="705"/>
      <c r="U24" s="706"/>
      <c r="V24" s="705"/>
      <c r="W24" s="706"/>
      <c r="X24" s="1355"/>
      <c r="Y24" s="3672"/>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9"/>
      <c r="Q25" s="1352" t="str">
        <f t="shared" ref="Q25:Q46" si="11">B25</f>
        <v>临街状况</v>
      </c>
      <c r="R25" s="705" t="s">
        <v>14</v>
      </c>
      <c r="S25" s="706">
        <f>F25</f>
        <v>100</v>
      </c>
      <c r="T25" s="705" t="s">
        <v>14</v>
      </c>
      <c r="U25" s="706">
        <f>H25</f>
        <v>100</v>
      </c>
      <c r="V25" s="705" t="s">
        <v>14</v>
      </c>
      <c r="W25" s="706">
        <f>J25</f>
        <v>100</v>
      </c>
      <c r="X25" s="1355"/>
      <c r="Y25" s="3672"/>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9"/>
      <c r="Q26" s="1352" t="str">
        <f t="shared" si="11"/>
        <v>平面位置/可视性</v>
      </c>
      <c r="R26" s="705" t="s">
        <v>14</v>
      </c>
      <c r="S26" s="706">
        <f>F26</f>
        <v>100</v>
      </c>
      <c r="T26" s="705" t="s">
        <v>14</v>
      </c>
      <c r="U26" s="706">
        <f>H26</f>
        <v>100</v>
      </c>
      <c r="V26" s="705" t="s">
        <v>14</v>
      </c>
      <c r="W26" s="706">
        <f>J26</f>
        <v>100</v>
      </c>
      <c r="X26" s="1355"/>
      <c r="Y26" s="3672"/>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9"/>
      <c r="Q27" s="1343" t="str">
        <f t="shared" si="11"/>
        <v>人流量</v>
      </c>
      <c r="R27" s="701" t="s">
        <v>14</v>
      </c>
      <c r="S27" s="702">
        <f>F27</f>
        <v>100</v>
      </c>
      <c r="T27" s="701" t="s">
        <v>14</v>
      </c>
      <c r="U27" s="702">
        <f>H27</f>
        <v>100</v>
      </c>
      <c r="V27" s="701" t="s">
        <v>14</v>
      </c>
      <c r="W27" s="702">
        <f>J27</f>
        <v>100</v>
      </c>
      <c r="X27" s="703"/>
      <c r="Y27" s="3672"/>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9"/>
      <c r="Q29" s="1352">
        <f t="shared" si="11"/>
        <v>111</v>
      </c>
      <c r="R29" s="705" t="s">
        <v>14</v>
      </c>
      <c r="S29" s="706">
        <f t="shared" si="12"/>
        <v>100</v>
      </c>
      <c r="T29" s="705" t="s">
        <v>14</v>
      </c>
      <c r="U29" s="706">
        <f t="shared" si="13"/>
        <v>100</v>
      </c>
      <c r="V29" s="705" t="s">
        <v>14</v>
      </c>
      <c r="W29" s="706">
        <f t="shared" si="14"/>
        <v>100</v>
      </c>
      <c r="X29" s="1355"/>
      <c r="Y29" s="367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3" t="s">
        <v>1694</v>
      </c>
      <c r="Q32" s="1352" t="str">
        <f t="shared" si="11"/>
        <v>商业类型</v>
      </c>
      <c r="R32" s="705" t="s">
        <v>14</v>
      </c>
      <c r="S32" s="706">
        <f t="shared" si="12"/>
        <v>100</v>
      </c>
      <c r="T32" s="705" t="s">
        <v>14</v>
      </c>
      <c r="U32" s="706">
        <f t="shared" si="13"/>
        <v>100</v>
      </c>
      <c r="V32" s="705" t="s">
        <v>14</v>
      </c>
      <c r="W32" s="706">
        <f t="shared" si="14"/>
        <v>100</v>
      </c>
      <c r="X32" s="1355"/>
      <c r="Y32" s="3676"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674"/>
      <c r="Q33" s="707" t="str">
        <f t="shared" si="11"/>
        <v>项目建筑规模</v>
      </c>
      <c r="R33" s="708" t="s">
        <v>14</v>
      </c>
      <c r="S33" s="709">
        <f t="shared" si="12"/>
        <v>100</v>
      </c>
      <c r="T33" s="708" t="s">
        <v>14</v>
      </c>
      <c r="U33" s="709">
        <f t="shared" si="13"/>
        <v>100</v>
      </c>
      <c r="V33" s="708" t="s">
        <v>14</v>
      </c>
      <c r="W33" s="709">
        <f t="shared" si="14"/>
        <v>100</v>
      </c>
      <c r="X33" s="710"/>
      <c r="Y33" s="3676"/>
      <c r="Z33" s="711" t="str">
        <f t="shared" si="15"/>
        <v>项目建筑规模</v>
      </c>
      <c r="AA33" s="1353">
        <f t="shared" si="3"/>
        <v>1</v>
      </c>
      <c r="AB33" s="1353">
        <f t="shared" si="4"/>
        <v>1</v>
      </c>
      <c r="AC33" s="1353">
        <f t="shared" si="5"/>
        <v>1</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4"/>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4"/>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1784</v>
      </c>
      <c r="C36" s="425">
        <v>0.85</v>
      </c>
      <c r="D36" s="386">
        <v>100</v>
      </c>
      <c r="E36" s="425">
        <v>0.85</v>
      </c>
      <c r="F36" s="412">
        <f>LOOKUP(E36,110:110,111:111)-LOOKUP(C36,110:110,111:111)+100</f>
        <v>100</v>
      </c>
      <c r="G36" s="425">
        <v>0.85</v>
      </c>
      <c r="H36" s="412">
        <f>LOOKUP(G36,110:110,111:111)-LOOKUP(C36,110:110,111:111)+100</f>
        <v>100</v>
      </c>
      <c r="I36" s="425">
        <v>0.85</v>
      </c>
      <c r="J36" s="386">
        <f>LOOKUP(I36,110:110,111:111)-LOOKUP(C36,110:110,111:111)+100</f>
        <v>100</v>
      </c>
      <c r="K36" s="561"/>
      <c r="L36" s="2722"/>
      <c r="M36" s="2716"/>
      <c r="N36" s="2716"/>
      <c r="O36" s="2716"/>
      <c r="P36" s="3674"/>
      <c r="Q36" s="1352" t="str">
        <f t="shared" si="11"/>
        <v>成新度</v>
      </c>
      <c r="R36" s="705" t="s">
        <v>14</v>
      </c>
      <c r="S36" s="706">
        <f t="shared" si="12"/>
        <v>100</v>
      </c>
      <c r="T36" s="705" t="s">
        <v>14</v>
      </c>
      <c r="U36" s="706">
        <f t="shared" si="13"/>
        <v>100</v>
      </c>
      <c r="V36" s="705" t="s">
        <v>14</v>
      </c>
      <c r="W36" s="706">
        <f t="shared" si="14"/>
        <v>100</v>
      </c>
      <c r="X36" s="1355"/>
      <c r="Y36" s="3676"/>
      <c r="Z36" s="1356" t="str">
        <f t="shared" si="15"/>
        <v>成新度</v>
      </c>
      <c r="AA36" s="1353">
        <f t="shared" si="3"/>
        <v>1</v>
      </c>
      <c r="AB36" s="1353">
        <f t="shared" si="4"/>
        <v>1</v>
      </c>
      <c r="AC36" s="1353">
        <f t="shared" si="5"/>
        <v>1</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4"/>
      <c r="Q37" s="1343"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4" t="s">
        <v>1694</v>
      </c>
      <c r="Q38" s="1352" t="str">
        <f t="shared" si="11"/>
        <v>业态</v>
      </c>
      <c r="R38" s="705" t="s">
        <v>14</v>
      </c>
      <c r="S38" s="706">
        <f t="shared" si="12"/>
        <v>100</v>
      </c>
      <c r="T38" s="705" t="s">
        <v>14</v>
      </c>
      <c r="U38" s="706">
        <f t="shared" si="13"/>
        <v>100</v>
      </c>
      <c r="V38" s="705" t="s">
        <v>14</v>
      </c>
      <c r="W38" s="706">
        <f t="shared" si="14"/>
        <v>100</v>
      </c>
      <c r="X38" s="1355"/>
      <c r="Y38" s="3676"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4"/>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4"/>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4"/>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4"/>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4"/>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4"/>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5">
      <c r="A47" s="430" t="s">
        <v>1706</v>
      </c>
      <c r="B47" s="431"/>
      <c r="C47" s="1154" t="s">
        <v>0</v>
      </c>
      <c r="D47" s="1155"/>
      <c r="E47" s="1156">
        <v>36000</v>
      </c>
      <c r="F47" s="1157"/>
      <c r="G47" s="1158">
        <v>36000</v>
      </c>
      <c r="H47" s="1159"/>
      <c r="I47" s="1156">
        <v>32000</v>
      </c>
      <c r="J47" s="1159"/>
      <c r="K47" s="714"/>
      <c r="L47" s="2724"/>
      <c r="M47" s="2725"/>
      <c r="N47" s="2716"/>
      <c r="O47" s="2725"/>
      <c r="P47" s="3669" t="str">
        <f>A47</f>
        <v>成交单价（元/平方米）</v>
      </c>
      <c r="Q47" s="3669"/>
      <c r="R47" s="3700">
        <f>E47</f>
        <v>36000</v>
      </c>
      <c r="S47" s="3700"/>
      <c r="T47" s="3700">
        <f>G47</f>
        <v>36000</v>
      </c>
      <c r="U47" s="3700"/>
      <c r="V47" s="3700">
        <f>I47</f>
        <v>32000</v>
      </c>
      <c r="W47" s="3700"/>
      <c r="X47" s="690"/>
      <c r="Y47" s="712"/>
      <c r="Z47" s="690"/>
      <c r="AA47" s="690"/>
      <c r="AB47" s="690"/>
      <c r="AC47" s="690"/>
    </row>
    <row r="48" spans="1:29" ht="15.75" thickBot="1">
      <c r="A48" s="437" t="s">
        <v>1791</v>
      </c>
      <c r="B48" s="438"/>
      <c r="C48" s="1160">
        <f>R49</f>
        <v>33016</v>
      </c>
      <c r="D48" s="2317" t="s">
        <v>2136</v>
      </c>
      <c r="E48" s="1161">
        <f>R48</f>
        <v>34286</v>
      </c>
      <c r="F48" s="2318"/>
      <c r="G48" s="1160">
        <f>T48</f>
        <v>34286</v>
      </c>
      <c r="H48" s="2318"/>
      <c r="I48" s="1161">
        <f>V48</f>
        <v>30476</v>
      </c>
      <c r="J48" s="2318"/>
      <c r="K48" s="2320">
        <f>F48+H48+J48</f>
        <v>0</v>
      </c>
      <c r="L48" s="2724"/>
      <c r="M48" s="2725"/>
      <c r="N48" s="2716"/>
      <c r="O48" s="2725"/>
      <c r="P48" s="3669" t="str">
        <f>A48</f>
        <v>比较价值（元/平方米）</v>
      </c>
      <c r="Q48" s="3669"/>
      <c r="R48" s="3670">
        <f>IF(F1="售价",ROUND(PRODUCT(R47,AA7:AA46),0),ROUND(PRODUCT(R47,AA7:AA46),1))</f>
        <v>34286</v>
      </c>
      <c r="S48" s="3670"/>
      <c r="T48" s="3670">
        <f>IF(F1="售价",ROUND(PRODUCT(T47,AB7:AB46),0),ROUND(PRODUCT(T47,AB7:AB46),1))</f>
        <v>34286</v>
      </c>
      <c r="U48" s="3670"/>
      <c r="V48" s="3670">
        <f>IF(F1="售价",ROUND(PRODUCT(V47,AC7:AC46),0),ROUND(PRODUCT(V47,AC7:AC46),1))</f>
        <v>30476</v>
      </c>
      <c r="W48" s="3670"/>
      <c r="X48" s="690"/>
      <c r="Y48" s="690"/>
      <c r="Z48" s="690"/>
      <c r="AA48" s="690"/>
      <c r="AB48" s="690"/>
      <c r="AC48" s="690"/>
    </row>
    <row r="49" spans="1:29" ht="15.75" thickBot="1">
      <c r="A49" s="441" t="s">
        <v>1792</v>
      </c>
      <c r="B49" s="442"/>
      <c r="C49" s="1163">
        <f>R49</f>
        <v>33016</v>
      </c>
      <c r="D49" s="1163"/>
      <c r="E49" s="1163"/>
      <c r="F49" s="1163"/>
      <c r="G49" s="1163"/>
      <c r="H49" s="1163"/>
      <c r="I49" s="1163"/>
      <c r="J49" s="1163"/>
      <c r="K49" s="715"/>
      <c r="L49" s="2724"/>
      <c r="M49" s="2725"/>
      <c r="N49" s="2716"/>
      <c r="O49" s="2725"/>
      <c r="P49" s="3666" t="str">
        <f>A49</f>
        <v>估价对象XX用房的比较价值（楼面单价，元/平方米）</v>
      </c>
      <c r="Q49" s="3667"/>
      <c r="R49" s="3668">
        <f>IF(F1="售价",ROUND(IF(D48="简单平均",AVERAGE(R48:V48),R48*F48+T48*H48+V48*J48),0),ROUND(IF(D48="简单平均",AVERAGE(R48:V48),R48*F48+T48*H48+V48*J48),1))</f>
        <v>33016</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1793</v>
      </c>
      <c r="D52" s="447"/>
      <c r="E52" s="448">
        <f>IF(E47&lt;E48,E48/E47-1,E47/E48-1)</f>
        <v>4.9991250072916049E-2</v>
      </c>
      <c r="F52" s="449" t="str">
        <f>IF(OR(E52&gt;=0.3,E52&lt;=-0.3),"超过30%","")</f>
        <v/>
      </c>
      <c r="G52" s="448">
        <f>IF(G47&lt;G48,G48/G47-1,G47/G48-1)</f>
        <v>4.9991250072916049E-2</v>
      </c>
      <c r="H52" s="449" t="str">
        <f>IF(OR(G52&gt;=0.3,G52&lt;=-0.3),"超过30%","")</f>
        <v/>
      </c>
      <c r="I52" s="448">
        <f>IF(I47&lt;I48,I48/I47-1,I47/I48-1)</f>
        <v>5.0006562541015986E-2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1794</v>
      </c>
      <c r="D53" s="450"/>
      <c r="E53" s="448">
        <f>IF(E48&lt;G48,G48/E48-1,E48/G48-1)</f>
        <v>0</v>
      </c>
      <c r="F53" s="449" t="str">
        <f>IF(OR(E53&gt;=0.2,E53&lt;=-0.2),"超过20%","")</f>
        <v/>
      </c>
      <c r="G53" s="448">
        <f>IF(G48&lt;I48,I48/G48-1,G48/I48-1)</f>
        <v>0.12501640635253963</v>
      </c>
      <c r="H53" s="449" t="str">
        <f>IF(OR(G53&gt;=0.2,G53&lt;=-0.2),"超过20%","")</f>
        <v/>
      </c>
      <c r="I53" s="448">
        <f>IF(I48&lt;E48,E48/I48-1,I48/E48-1)</f>
        <v>0.12501640635253963</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1795</v>
      </c>
      <c r="D54" s="450"/>
      <c r="E54" s="448">
        <f>IF(E47&lt;G47,G47/E47-1,E47/G47-1)</f>
        <v>0</v>
      </c>
      <c r="F54" s="449" t="str">
        <f>IF(OR(E54&gt;=0.3,E54&lt;=-0.3),"超过30%","")</f>
        <v/>
      </c>
      <c r="G54" s="448">
        <f>IF(G47&lt;I47,I47/G47-1,G47/I47-1)</f>
        <v>0.125</v>
      </c>
      <c r="H54" s="449" t="str">
        <f>IF(OR(G54&gt;=0.3,G54&lt;=-0.3),"超过30%","")</f>
        <v/>
      </c>
      <c r="I54" s="448">
        <f>IF(I47&lt;E47,E47/I47-1,I47/E47-1)</f>
        <v>0.125</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1796</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1677</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1714</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1679</v>
      </c>
      <c r="B61" s="459"/>
      <c r="C61" s="471" t="s">
        <v>1774</v>
      </c>
      <c r="D61" s="3453" t="s">
        <v>3419</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1717</v>
      </c>
      <c r="B63" s="477" t="s">
        <v>1683</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1686</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1687</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1688</v>
      </c>
      <c r="B76" s="477" t="s">
        <v>1718</v>
      </c>
      <c r="C76" s="522" t="s">
        <v>1719</v>
      </c>
      <c r="D76" s="522" t="s">
        <v>1720</v>
      </c>
      <c r="E76" s="522" t="s">
        <v>1721</v>
      </c>
      <c r="F76" s="522" t="s">
        <v>1722</v>
      </c>
      <c r="G76" s="522" t="s">
        <v>1723</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1724</v>
      </c>
      <c r="C78" s="527" t="s">
        <v>1719</v>
      </c>
      <c r="D78" s="527" t="s">
        <v>1720</v>
      </c>
      <c r="E78" s="527" t="s">
        <v>1721</v>
      </c>
      <c r="F78" s="527" t="s">
        <v>1722</v>
      </c>
      <c r="G78" s="527" t="s">
        <v>1723</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1725</v>
      </c>
      <c r="C80" s="527" t="s">
        <v>1719</v>
      </c>
      <c r="D80" s="527" t="s">
        <v>1720</v>
      </c>
      <c r="E80" s="527" t="s">
        <v>1721</v>
      </c>
      <c r="F80" s="527" t="s">
        <v>1722</v>
      </c>
      <c r="G80" s="527" t="s">
        <v>1723</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1777</v>
      </c>
      <c r="C82" s="608" t="s">
        <v>1797</v>
      </c>
      <c r="D82" s="608" t="s">
        <v>1798</v>
      </c>
      <c r="E82" s="608" t="s">
        <v>1799</v>
      </c>
      <c r="F82" s="608" t="s">
        <v>1800</v>
      </c>
      <c r="G82" s="608" t="s">
        <v>1801</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1731</v>
      </c>
      <c r="C84" s="527" t="s">
        <v>1719</v>
      </c>
      <c r="D84" s="527" t="s">
        <v>1720</v>
      </c>
      <c r="E84" s="527" t="s">
        <v>1721</v>
      </c>
      <c r="F84" s="527" t="s">
        <v>1722</v>
      </c>
      <c r="G84" s="527" t="s">
        <v>1723</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1802</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1692</v>
      </c>
      <c r="B100" s="477" t="s">
        <v>1803</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1735</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1736</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1738</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1740</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1804</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1805</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1806</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1807</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1742</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88.45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1767</v>
      </c>
      <c r="B4" s="356"/>
      <c r="C4" s="3684" t="s">
        <v>1768</v>
      </c>
      <c r="D4" s="3685"/>
      <c r="E4" s="3686" t="s">
        <v>1769</v>
      </c>
      <c r="F4" s="3687"/>
      <c r="G4" s="3684" t="s">
        <v>1770</v>
      </c>
      <c r="H4" s="3685"/>
      <c r="I4" s="3684" t="s">
        <v>1771</v>
      </c>
      <c r="J4" s="3685"/>
      <c r="K4" s="559" t="s">
        <v>1772</v>
      </c>
      <c r="L4" s="2715"/>
      <c r="M4" s="2716"/>
      <c r="N4" s="2716"/>
      <c r="O4" s="2716"/>
      <c r="P4" s="3718" t="s">
        <v>1773</v>
      </c>
      <c r="Q4" s="3719"/>
      <c r="R4" s="3722" t="s">
        <v>1769</v>
      </c>
      <c r="S4" s="3723"/>
      <c r="T4" s="3722" t="s">
        <v>1770</v>
      </c>
      <c r="U4" s="3723"/>
      <c r="V4" s="3724" t="s">
        <v>1771</v>
      </c>
      <c r="W4" s="3724"/>
      <c r="X4" s="1958"/>
      <c r="Y4" s="3722" t="s">
        <v>1773</v>
      </c>
      <c r="Z4" s="3723"/>
      <c r="AA4" s="3726" t="s">
        <v>1769</v>
      </c>
      <c r="AB4" s="3726" t="s">
        <v>1770</v>
      </c>
      <c r="AC4" s="3715" t="s">
        <v>1771</v>
      </c>
    </row>
    <row r="5" spans="1:29" ht="15">
      <c r="A5" s="358"/>
      <c r="B5" s="359"/>
      <c r="C5" s="3703" t="s">
        <v>1671</v>
      </c>
      <c r="D5" s="3704"/>
      <c r="E5" s="3710" t="s">
        <v>1672</v>
      </c>
      <c r="F5" s="3711"/>
      <c r="G5" s="3703" t="s">
        <v>1673</v>
      </c>
      <c r="H5" s="3704"/>
      <c r="I5" s="3703" t="s">
        <v>1674</v>
      </c>
      <c r="J5" s="3704"/>
      <c r="K5" s="559"/>
      <c r="L5" s="2715"/>
      <c r="M5" s="2716"/>
      <c r="N5" s="2716"/>
      <c r="O5" s="2716"/>
      <c r="P5" s="3720"/>
      <c r="Q5" s="3691"/>
      <c r="R5" s="3696"/>
      <c r="S5" s="3697"/>
      <c r="T5" s="3696"/>
      <c r="U5" s="3697"/>
      <c r="V5" s="3700"/>
      <c r="W5" s="3700"/>
      <c r="X5" s="1355"/>
      <c r="Y5" s="3696"/>
      <c r="Z5" s="3697"/>
      <c r="AA5" s="3682"/>
      <c r="AB5" s="3682"/>
      <c r="AC5" s="3716"/>
    </row>
    <row r="6" spans="1:29" ht="15.75" thickBot="1">
      <c r="A6" s="360"/>
      <c r="B6" s="361"/>
      <c r="C6" s="3701" t="s">
        <v>1675</v>
      </c>
      <c r="D6" s="3702"/>
      <c r="E6" s="3708" t="s">
        <v>1675</v>
      </c>
      <c r="F6" s="3709"/>
      <c r="G6" s="3701" t="s">
        <v>1675</v>
      </c>
      <c r="H6" s="3702"/>
      <c r="I6" s="3701" t="s">
        <v>1675</v>
      </c>
      <c r="J6" s="3702"/>
      <c r="K6" s="559" t="s">
        <v>1676</v>
      </c>
      <c r="L6" s="2715"/>
      <c r="M6" s="2716"/>
      <c r="N6" s="2716"/>
      <c r="O6" s="2716"/>
      <c r="P6" s="3721"/>
      <c r="Q6" s="3693"/>
      <c r="R6" s="3696"/>
      <c r="S6" s="3697"/>
      <c r="T6" s="3698"/>
      <c r="U6" s="3699"/>
      <c r="V6" s="3700"/>
      <c r="W6" s="3700"/>
      <c r="X6" s="1355"/>
      <c r="Y6" s="3698"/>
      <c r="Z6" s="3699"/>
      <c r="AA6" s="3683"/>
      <c r="AB6" s="3683"/>
      <c r="AC6" s="3717"/>
    </row>
    <row r="7" spans="1:29" s="108" customFormat="1" ht="15.75" thickBot="1">
      <c r="A7" s="362" t="s">
        <v>1677</v>
      </c>
      <c r="B7" s="363"/>
      <c r="C7" s="364">
        <f>'数据-取费表'!B2</f>
        <v>45076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5" t="s">
        <v>1678</v>
      </c>
      <c r="Q7" s="3707"/>
      <c r="R7" s="701" t="s">
        <v>14</v>
      </c>
      <c r="S7" s="702">
        <f t="shared" ref="S7:S15" si="0">F7</f>
        <v>0</v>
      </c>
      <c r="T7" s="701" t="s">
        <v>14</v>
      </c>
      <c r="U7" s="702">
        <f t="shared" ref="U7:U15" si="1">H7</f>
        <v>0</v>
      </c>
      <c r="V7" s="701" t="s">
        <v>14</v>
      </c>
      <c r="W7" s="702">
        <f t="shared" ref="W7:W15" si="2">J7</f>
        <v>0</v>
      </c>
      <c r="X7" s="703"/>
      <c r="Y7" s="3705" t="s">
        <v>1678</v>
      </c>
      <c r="Z7" s="3706"/>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5" t="s">
        <v>1681</v>
      </c>
      <c r="Q8" s="3706"/>
      <c r="R8" s="701" t="s">
        <v>14</v>
      </c>
      <c r="S8" s="702">
        <f t="shared" si="0"/>
        <v>100</v>
      </c>
      <c r="T8" s="701" t="s">
        <v>14</v>
      </c>
      <c r="U8" s="702">
        <f t="shared" si="1"/>
        <v>100</v>
      </c>
      <c r="V8" s="701" t="s">
        <v>14</v>
      </c>
      <c r="W8" s="702">
        <f t="shared" si="2"/>
        <v>100</v>
      </c>
      <c r="X8" s="703"/>
      <c r="Y8" s="3705" t="s">
        <v>1681</v>
      </c>
      <c r="Z8" s="3706"/>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1959">
        <f t="shared" si="5"/>
        <v>1</v>
      </c>
    </row>
    <row r="10" spans="1:29" s="378" customFormat="1" ht="27">
      <c r="A10" s="374"/>
      <c r="B10" s="375" t="s">
        <v>1686</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8" t="s">
        <v>1689</v>
      </c>
      <c r="Q15" s="1352" t="str">
        <f t="shared" si="6"/>
        <v>办公集聚程度</v>
      </c>
      <c r="R15" s="705" t="s">
        <v>14</v>
      </c>
      <c r="S15" s="706">
        <f t="shared" si="0"/>
        <v>100</v>
      </c>
      <c r="T15" s="705" t="s">
        <v>14</v>
      </c>
      <c r="U15" s="706">
        <f t="shared" si="1"/>
        <v>100</v>
      </c>
      <c r="V15" s="705" t="s">
        <v>14</v>
      </c>
      <c r="W15" s="706">
        <f t="shared" si="2"/>
        <v>100</v>
      </c>
      <c r="X15" s="1355"/>
      <c r="Y15" s="3671"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9"/>
      <c r="Q16" s="1352"/>
      <c r="R16" s="705"/>
      <c r="S16" s="706"/>
      <c r="T16" s="705"/>
      <c r="U16" s="706"/>
      <c r="V16" s="705"/>
      <c r="W16" s="706"/>
      <c r="X16" s="1355"/>
      <c r="Y16" s="3672"/>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9"/>
      <c r="Q18" s="1352"/>
      <c r="R18" s="705"/>
      <c r="S18" s="706"/>
      <c r="T18" s="705"/>
      <c r="U18" s="706"/>
      <c r="V18" s="705"/>
      <c r="W18" s="706"/>
      <c r="X18" s="1355"/>
      <c r="Y18" s="3672"/>
      <c r="Z18" s="1356"/>
      <c r="AA18" s="1353">
        <v>1</v>
      </c>
      <c r="AB18" s="1353">
        <v>1</v>
      </c>
      <c r="AC18" s="1962">
        <v>1</v>
      </c>
    </row>
    <row r="19" spans="1:29" ht="42.75">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9"/>
      <c r="Q20" s="1352"/>
      <c r="R20" s="705"/>
      <c r="S20" s="706"/>
      <c r="T20" s="705"/>
      <c r="U20" s="706"/>
      <c r="V20" s="705"/>
      <c r="W20" s="706"/>
      <c r="X20" s="1355"/>
      <c r="Y20" s="3672"/>
      <c r="Z20" s="1356"/>
      <c r="AA20" s="1353">
        <v>1</v>
      </c>
      <c r="AB20" s="1353">
        <v>1</v>
      </c>
      <c r="AC20" s="1962">
        <v>1</v>
      </c>
    </row>
    <row r="21" spans="1:29" ht="28.5">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9"/>
      <c r="Q22" s="1352"/>
      <c r="R22" s="705"/>
      <c r="S22" s="706"/>
      <c r="T22" s="705"/>
      <c r="U22" s="706"/>
      <c r="V22" s="705"/>
      <c r="W22" s="706"/>
      <c r="X22" s="1355"/>
      <c r="Y22" s="3672"/>
      <c r="Z22" s="1356"/>
      <c r="AA22" s="1353">
        <v>1</v>
      </c>
      <c r="AB22" s="1353">
        <v>1</v>
      </c>
      <c r="AC22" s="1962">
        <v>1</v>
      </c>
    </row>
    <row r="23" spans="1:29" ht="42.75">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9"/>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9"/>
      <c r="Q24" s="1352"/>
      <c r="R24" s="705"/>
      <c r="S24" s="706"/>
      <c r="T24" s="705"/>
      <c r="U24" s="706"/>
      <c r="V24" s="705"/>
      <c r="W24" s="706"/>
      <c r="X24" s="1355"/>
      <c r="Y24" s="3672"/>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9"/>
      <c r="Q25" s="1352" t="str">
        <f>B25</f>
        <v>毗邻道路的类型与等级</v>
      </c>
      <c r="R25" s="705" t="s">
        <v>14</v>
      </c>
      <c r="S25" s="706">
        <f>F25</f>
        <v>100</v>
      </c>
      <c r="T25" s="705" t="s">
        <v>14</v>
      </c>
      <c r="U25" s="706">
        <f>H25</f>
        <v>100</v>
      </c>
      <c r="V25" s="705" t="s">
        <v>14</v>
      </c>
      <c r="W25" s="706">
        <f>J25</f>
        <v>100</v>
      </c>
      <c r="X25" s="1355"/>
      <c r="Y25" s="367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9"/>
      <c r="Q26" s="1352"/>
      <c r="R26" s="705"/>
      <c r="S26" s="706"/>
      <c r="T26" s="705"/>
      <c r="U26" s="706"/>
      <c r="V26" s="705"/>
      <c r="W26" s="706"/>
      <c r="X26" s="1355"/>
      <c r="Y26" s="3672"/>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9"/>
      <c r="Q27" s="1352" t="str">
        <f t="shared" ref="Q27:Q47" si="11">B27</f>
        <v>楼层</v>
      </c>
      <c r="R27" s="705" t="s">
        <v>14</v>
      </c>
      <c r="S27" s="706">
        <f>F27</f>
        <v>100</v>
      </c>
      <c r="T27" s="705" t="s">
        <v>14</v>
      </c>
      <c r="U27" s="706">
        <f>H27</f>
        <v>100</v>
      </c>
      <c r="V27" s="705" t="s">
        <v>14</v>
      </c>
      <c r="W27" s="706">
        <f>J27</f>
        <v>100</v>
      </c>
      <c r="X27" s="1355"/>
      <c r="Y27" s="3672"/>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9"/>
      <c r="Q28" s="1343" t="str">
        <f t="shared" si="11"/>
        <v>朝向</v>
      </c>
      <c r="R28" s="701" t="s">
        <v>14</v>
      </c>
      <c r="S28" s="702">
        <f>F28</f>
        <v>100</v>
      </c>
      <c r="T28" s="701" t="s">
        <v>14</v>
      </c>
      <c r="U28" s="702">
        <f>H28</f>
        <v>100</v>
      </c>
      <c r="V28" s="701" t="s">
        <v>14</v>
      </c>
      <c r="W28" s="702">
        <f>J28</f>
        <v>100</v>
      </c>
      <c r="X28" s="703"/>
      <c r="Y28" s="367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9"/>
      <c r="Q29" s="1352">
        <f t="shared" si="11"/>
        <v>111</v>
      </c>
      <c r="R29" s="705" t="s">
        <v>14</v>
      </c>
      <c r="S29" s="706">
        <f t="shared" ref="S29:S47" si="12">F29</f>
        <v>100</v>
      </c>
      <c r="T29" s="705" t="s">
        <v>14</v>
      </c>
      <c r="U29" s="706">
        <f t="shared" ref="U29:U47" si="13">H29</f>
        <v>100</v>
      </c>
      <c r="V29" s="705" t="s">
        <v>14</v>
      </c>
      <c r="W29" s="706">
        <f t="shared" ref="W29:W47" si="14">J29</f>
        <v>100</v>
      </c>
      <c r="X29" s="1355"/>
      <c r="Y29" s="367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9"/>
      <c r="Q32" s="1352">
        <f t="shared" si="11"/>
        <v>111</v>
      </c>
      <c r="R32" s="705" t="s">
        <v>14</v>
      </c>
      <c r="S32" s="706">
        <f t="shared" si="12"/>
        <v>100</v>
      </c>
      <c r="T32" s="705" t="s">
        <v>14</v>
      </c>
      <c r="U32" s="706">
        <f t="shared" si="13"/>
        <v>100</v>
      </c>
      <c r="V32" s="705" t="s">
        <v>14</v>
      </c>
      <c r="W32" s="706">
        <f t="shared" si="14"/>
        <v>100</v>
      </c>
      <c r="X32" s="1355"/>
      <c r="Y32" s="3672"/>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3" t="s">
        <v>1694</v>
      </c>
      <c r="Q33" s="1352" t="str">
        <f t="shared" si="11"/>
        <v>建筑类型</v>
      </c>
      <c r="R33" s="705" t="s">
        <v>14</v>
      </c>
      <c r="S33" s="706">
        <f t="shared" si="12"/>
        <v>100</v>
      </c>
      <c r="T33" s="705" t="s">
        <v>14</v>
      </c>
      <c r="U33" s="706">
        <f t="shared" si="13"/>
        <v>100</v>
      </c>
      <c r="V33" s="705" t="s">
        <v>14</v>
      </c>
      <c r="W33" s="706">
        <f t="shared" si="14"/>
        <v>100</v>
      </c>
      <c r="X33" s="1355"/>
      <c r="Y33" s="3676"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4"/>
      <c r="Q34" s="707" t="str">
        <f t="shared" si="11"/>
        <v>项目建筑规模</v>
      </c>
      <c r="R34" s="708" t="s">
        <v>14</v>
      </c>
      <c r="S34" s="709" t="e">
        <f t="shared" si="12"/>
        <v>#N/A</v>
      </c>
      <c r="T34" s="708" t="s">
        <v>14</v>
      </c>
      <c r="U34" s="709" t="e">
        <f t="shared" si="13"/>
        <v>#N/A</v>
      </c>
      <c r="V34" s="708" t="s">
        <v>14</v>
      </c>
      <c r="W34" s="709" t="e">
        <f t="shared" si="14"/>
        <v>#N/A</v>
      </c>
      <c r="X34" s="710"/>
      <c r="Y34" s="3676"/>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4"/>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4"/>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4"/>
      <c r="Q37" s="1352" t="str">
        <f t="shared" si="11"/>
        <v>成新度</v>
      </c>
      <c r="R37" s="705" t="s">
        <v>14</v>
      </c>
      <c r="S37" s="706" t="e">
        <f t="shared" si="12"/>
        <v>#N/A</v>
      </c>
      <c r="T37" s="705" t="s">
        <v>14</v>
      </c>
      <c r="U37" s="706" t="e">
        <f t="shared" si="13"/>
        <v>#N/A</v>
      </c>
      <c r="V37" s="705" t="s">
        <v>14</v>
      </c>
      <c r="W37" s="706" t="e">
        <f t="shared" si="14"/>
        <v>#N/A</v>
      </c>
      <c r="X37" s="1355"/>
      <c r="Y37" s="3676"/>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4"/>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4" t="s">
        <v>1694</v>
      </c>
      <c r="Q39" s="1352" t="str">
        <f t="shared" si="11"/>
        <v>物业管理</v>
      </c>
      <c r="R39" s="705" t="s">
        <v>14</v>
      </c>
      <c r="S39" s="706">
        <f t="shared" si="12"/>
        <v>100</v>
      </c>
      <c r="T39" s="705" t="s">
        <v>14</v>
      </c>
      <c r="U39" s="706">
        <f t="shared" si="13"/>
        <v>100</v>
      </c>
      <c r="V39" s="705" t="s">
        <v>14</v>
      </c>
      <c r="W39" s="706">
        <f t="shared" si="14"/>
        <v>100</v>
      </c>
      <c r="X39" s="1355"/>
      <c r="Y39" s="3676"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4"/>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4"/>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4"/>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4"/>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4"/>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5"/>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4"/>
      <c r="M48" s="2716"/>
      <c r="N48" s="2716"/>
      <c r="O48" s="2716"/>
      <c r="P48" s="3680" t="str">
        <f>A48</f>
        <v>成交单价（元/平方米）</v>
      </c>
      <c r="Q48" s="3669"/>
      <c r="R48" s="3670">
        <f>E48</f>
        <v>0</v>
      </c>
      <c r="S48" s="3670"/>
      <c r="T48" s="3670">
        <f>G48</f>
        <v>0</v>
      </c>
      <c r="U48" s="3670"/>
      <c r="V48" s="3670">
        <f>I48</f>
        <v>0</v>
      </c>
      <c r="W48" s="3670"/>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4"/>
      <c r="M50" s="2716"/>
      <c r="N50" s="2716"/>
      <c r="O50" s="2716"/>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1796</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1677</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1714</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1679</v>
      </c>
      <c r="B62" s="459"/>
      <c r="C62" s="471" t="s">
        <v>1774</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1717</v>
      </c>
      <c r="B64" s="477" t="s">
        <v>1683</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1686</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1688</v>
      </c>
      <c r="B77" s="477" t="s">
        <v>1819</v>
      </c>
      <c r="C77" s="522" t="s">
        <v>1719</v>
      </c>
      <c r="D77" s="522" t="s">
        <v>1720</v>
      </c>
      <c r="E77" s="522" t="s">
        <v>1721</v>
      </c>
      <c r="F77" s="522" t="s">
        <v>1722</v>
      </c>
      <c r="G77" s="522" t="s">
        <v>1723</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1724</v>
      </c>
      <c r="C79" s="527" t="s">
        <v>1719</v>
      </c>
      <c r="D79" s="527" t="s">
        <v>1720</v>
      </c>
      <c r="E79" s="527" t="s">
        <v>1721</v>
      </c>
      <c r="F79" s="527" t="s">
        <v>1722</v>
      </c>
      <c r="G79" s="527" t="s">
        <v>1723</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1725</v>
      </c>
      <c r="C81" s="527" t="s">
        <v>1719</v>
      </c>
      <c r="D81" s="527" t="s">
        <v>1720</v>
      </c>
      <c r="E81" s="527" t="s">
        <v>1721</v>
      </c>
      <c r="F81" s="527" t="s">
        <v>1722</v>
      </c>
      <c r="G81" s="527" t="s">
        <v>1723</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1811</v>
      </c>
      <c r="C83" s="608" t="s">
        <v>1797</v>
      </c>
      <c r="D83" s="608" t="s">
        <v>1798</v>
      </c>
      <c r="E83" s="608" t="s">
        <v>1799</v>
      </c>
      <c r="F83" s="608" t="s">
        <v>1800</v>
      </c>
      <c r="G83" s="608" t="s">
        <v>1801</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1820</v>
      </c>
      <c r="C85" s="527" t="s">
        <v>1719</v>
      </c>
      <c r="D85" s="527" t="s">
        <v>1720</v>
      </c>
      <c r="E85" s="527" t="s">
        <v>1721</v>
      </c>
      <c r="F85" s="527" t="s">
        <v>1722</v>
      </c>
      <c r="G85" s="527" t="s">
        <v>1723</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1821</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1692</v>
      </c>
      <c r="B101" s="477" t="s">
        <v>1734</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1736</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1738</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1822</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1739</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1740</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1823</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1806</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1742</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88.45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84" t="s">
        <v>1768</v>
      </c>
      <c r="D4" s="3685"/>
      <c r="E4" s="3686" t="s">
        <v>1769</v>
      </c>
      <c r="F4" s="3687"/>
      <c r="G4" s="3684" t="s">
        <v>1770</v>
      </c>
      <c r="H4" s="3685"/>
      <c r="I4" s="3684" t="s">
        <v>1771</v>
      </c>
      <c r="J4" s="3685"/>
      <c r="K4" s="559" t="s">
        <v>1772</v>
      </c>
      <c r="L4" s="913"/>
      <c r="M4" s="914"/>
      <c r="N4" s="914"/>
      <c r="O4" s="914"/>
      <c r="P4" s="3688" t="s">
        <v>1773</v>
      </c>
      <c r="Q4" s="3689"/>
      <c r="R4" s="3694" t="s">
        <v>1769</v>
      </c>
      <c r="S4" s="3695"/>
      <c r="T4" s="3694" t="s">
        <v>1770</v>
      </c>
      <c r="U4" s="3695"/>
      <c r="V4" s="3700" t="s">
        <v>1771</v>
      </c>
      <c r="W4" s="3700"/>
      <c r="X4" s="1355"/>
      <c r="Y4" s="3694" t="s">
        <v>1773</v>
      </c>
      <c r="Z4" s="3695"/>
      <c r="AA4" s="3681" t="s">
        <v>1769</v>
      </c>
      <c r="AB4" s="3682" t="s">
        <v>1770</v>
      </c>
      <c r="AC4" s="3681" t="s">
        <v>1771</v>
      </c>
    </row>
    <row r="5" spans="1:29" ht="15">
      <c r="A5" s="358"/>
      <c r="B5" s="359"/>
      <c r="C5" s="3703" t="s">
        <v>1671</v>
      </c>
      <c r="D5" s="3704"/>
      <c r="E5" s="3710" t="s">
        <v>1672</v>
      </c>
      <c r="F5" s="3711"/>
      <c r="G5" s="3703" t="s">
        <v>1673</v>
      </c>
      <c r="H5" s="3704"/>
      <c r="I5" s="3703" t="s">
        <v>1674</v>
      </c>
      <c r="J5" s="3704"/>
      <c r="K5" s="559"/>
      <c r="L5" s="913"/>
      <c r="M5" s="914"/>
      <c r="N5" s="914"/>
      <c r="O5" s="914"/>
      <c r="P5" s="3690"/>
      <c r="Q5" s="3691"/>
      <c r="R5" s="3696"/>
      <c r="S5" s="3697"/>
      <c r="T5" s="3696"/>
      <c r="U5" s="3697"/>
      <c r="V5" s="3700"/>
      <c r="W5" s="3700"/>
      <c r="X5" s="1355"/>
      <c r="Y5" s="3696"/>
      <c r="Z5" s="3697"/>
      <c r="AA5" s="3682"/>
      <c r="AB5" s="3682"/>
      <c r="AC5" s="3682"/>
    </row>
    <row r="6" spans="1:29" ht="15.75" thickBot="1">
      <c r="A6" s="360"/>
      <c r="B6" s="361"/>
      <c r="C6" s="3701" t="s">
        <v>1675</v>
      </c>
      <c r="D6" s="3702"/>
      <c r="E6" s="3708" t="s">
        <v>1675</v>
      </c>
      <c r="F6" s="3709"/>
      <c r="G6" s="3701" t="s">
        <v>1675</v>
      </c>
      <c r="H6" s="3702"/>
      <c r="I6" s="3701" t="s">
        <v>1675</v>
      </c>
      <c r="J6" s="3702"/>
      <c r="K6" s="559" t="s">
        <v>1676</v>
      </c>
      <c r="L6" s="913"/>
      <c r="M6" s="914"/>
      <c r="N6" s="914"/>
      <c r="O6" s="914"/>
      <c r="P6" s="3692"/>
      <c r="Q6" s="3693"/>
      <c r="R6" s="3696"/>
      <c r="S6" s="3697"/>
      <c r="T6" s="3698"/>
      <c r="U6" s="3699"/>
      <c r="V6" s="3700"/>
      <c r="W6" s="3700"/>
      <c r="X6" s="1355"/>
      <c r="Y6" s="3698"/>
      <c r="Z6" s="3699"/>
      <c r="AA6" s="3683"/>
      <c r="AB6" s="3683"/>
      <c r="AC6" s="3683"/>
    </row>
    <row r="7" spans="1:29" s="108" customFormat="1" ht="15.75" thickBot="1">
      <c r="A7" s="362" t="s">
        <v>1677</v>
      </c>
      <c r="B7" s="363"/>
      <c r="C7" s="364">
        <f>'数据-取费表'!B2</f>
        <v>45076</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1678</v>
      </c>
      <c r="Q7" s="3707"/>
      <c r="R7" s="701" t="s">
        <v>14</v>
      </c>
      <c r="S7" s="702">
        <f t="shared" ref="S7:S15" si="0">F7</f>
        <v>0</v>
      </c>
      <c r="T7" s="701" t="s">
        <v>14</v>
      </c>
      <c r="U7" s="702">
        <f t="shared" ref="U7:U15" si="1">H7</f>
        <v>0</v>
      </c>
      <c r="V7" s="701" t="s">
        <v>14</v>
      </c>
      <c r="W7" s="702">
        <f t="shared" ref="W7:W15" si="2">J7</f>
        <v>0</v>
      </c>
      <c r="X7" s="703"/>
      <c r="Y7" s="3705" t="s">
        <v>1678</v>
      </c>
      <c r="Z7" s="3706"/>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1681</v>
      </c>
      <c r="Q8" s="3706"/>
      <c r="R8" s="701" t="s">
        <v>14</v>
      </c>
      <c r="S8" s="702">
        <f t="shared" si="0"/>
        <v>100</v>
      </c>
      <c r="T8" s="701" t="s">
        <v>14</v>
      </c>
      <c r="U8" s="702">
        <f t="shared" si="1"/>
        <v>100</v>
      </c>
      <c r="V8" s="701" t="s">
        <v>14</v>
      </c>
      <c r="W8" s="702">
        <f t="shared" si="2"/>
        <v>100</v>
      </c>
      <c r="X8" s="703"/>
      <c r="Y8" s="3705" t="s">
        <v>1681</v>
      </c>
      <c r="Z8" s="3706"/>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9"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9"/>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1" t="s">
        <v>1689</v>
      </c>
      <c r="Q15" s="1352" t="str">
        <f t="shared" si="6"/>
        <v>产业集聚程度</v>
      </c>
      <c r="R15" s="705" t="s">
        <v>14</v>
      </c>
      <c r="S15" s="706">
        <f t="shared" si="0"/>
        <v>100</v>
      </c>
      <c r="T15" s="705" t="s">
        <v>14</v>
      </c>
      <c r="U15" s="706">
        <f t="shared" si="1"/>
        <v>100</v>
      </c>
      <c r="V15" s="705" t="s">
        <v>14</v>
      </c>
      <c r="W15" s="706">
        <f t="shared" si="2"/>
        <v>100</v>
      </c>
      <c r="X15" s="1355"/>
      <c r="Y15" s="3671"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2"/>
      <c r="Q16" s="1352"/>
      <c r="R16" s="705"/>
      <c r="S16" s="706"/>
      <c r="T16" s="705"/>
      <c r="U16" s="706"/>
      <c r="V16" s="705"/>
      <c r="W16" s="706"/>
      <c r="X16" s="1355"/>
      <c r="Y16" s="3672"/>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2"/>
      <c r="Q18" s="1352"/>
      <c r="R18" s="705"/>
      <c r="S18" s="706"/>
      <c r="T18" s="705"/>
      <c r="U18" s="706"/>
      <c r="V18" s="705"/>
      <c r="W18" s="706"/>
      <c r="X18" s="1355"/>
      <c r="Y18" s="3672"/>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2"/>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2"/>
      <c r="Q20" s="1352"/>
      <c r="R20" s="705"/>
      <c r="S20" s="706"/>
      <c r="T20" s="705"/>
      <c r="U20" s="706"/>
      <c r="V20" s="705"/>
      <c r="W20" s="706"/>
      <c r="X20" s="1355"/>
      <c r="Y20" s="3672"/>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2"/>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2"/>
      <c r="Q22" s="1352"/>
      <c r="R22" s="705"/>
      <c r="S22" s="706"/>
      <c r="T22" s="705"/>
      <c r="U22" s="706"/>
      <c r="V22" s="705"/>
      <c r="W22" s="706"/>
      <c r="X22" s="1355"/>
      <c r="Y22" s="3672"/>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2"/>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2"/>
      <c r="Q24" s="1352"/>
      <c r="R24" s="705"/>
      <c r="S24" s="706"/>
      <c r="T24" s="705"/>
      <c r="U24" s="706"/>
      <c r="V24" s="705"/>
      <c r="W24" s="706"/>
      <c r="X24" s="1355"/>
      <c r="Y24" s="367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2"/>
      <c r="Q25" s="1352">
        <f>B25</f>
        <v>111</v>
      </c>
      <c r="R25" s="705" t="s">
        <v>14</v>
      </c>
      <c r="S25" s="706">
        <f>F25</f>
        <v>100</v>
      </c>
      <c r="T25" s="705" t="s">
        <v>14</v>
      </c>
      <c r="U25" s="706">
        <f>H25</f>
        <v>100</v>
      </c>
      <c r="V25" s="705" t="s">
        <v>14</v>
      </c>
      <c r="W25" s="706">
        <f>J25</f>
        <v>100</v>
      </c>
      <c r="X25" s="1355"/>
      <c r="Y25" s="367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2"/>
      <c r="Q26" s="1352">
        <f t="shared" ref="Q26:Q40" si="11">B26</f>
        <v>111</v>
      </c>
      <c r="R26" s="705" t="s">
        <v>14</v>
      </c>
      <c r="S26" s="706">
        <f>F26</f>
        <v>100</v>
      </c>
      <c r="T26" s="705" t="s">
        <v>14</v>
      </c>
      <c r="U26" s="706">
        <f>H26</f>
        <v>100</v>
      </c>
      <c r="V26" s="705" t="s">
        <v>14</v>
      </c>
      <c r="W26" s="706">
        <f>J26</f>
        <v>100</v>
      </c>
      <c r="X26" s="1355"/>
      <c r="Y26" s="367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2"/>
      <c r="Q27" s="1343">
        <f t="shared" si="11"/>
        <v>111</v>
      </c>
      <c r="R27" s="701" t="s">
        <v>14</v>
      </c>
      <c r="S27" s="702">
        <f>F27</f>
        <v>100</v>
      </c>
      <c r="T27" s="701" t="s">
        <v>14</v>
      </c>
      <c r="U27" s="702">
        <f>H27</f>
        <v>100</v>
      </c>
      <c r="V27" s="701" t="s">
        <v>14</v>
      </c>
      <c r="W27" s="702">
        <f>J27</f>
        <v>100</v>
      </c>
      <c r="X27" s="703"/>
      <c r="Y27" s="367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2"/>
      <c r="Q28" s="1352">
        <f t="shared" si="11"/>
        <v>111</v>
      </c>
      <c r="R28" s="705" t="s">
        <v>14</v>
      </c>
      <c r="S28" s="706">
        <f t="shared" ref="S28:S40" si="12">F28</f>
        <v>100</v>
      </c>
      <c r="T28" s="705" t="s">
        <v>14</v>
      </c>
      <c r="U28" s="706">
        <f t="shared" ref="U28:U40" si="13">H28</f>
        <v>100</v>
      </c>
      <c r="V28" s="705" t="s">
        <v>14</v>
      </c>
      <c r="W28" s="706">
        <f t="shared" ref="W28:W40" si="14">J28</f>
        <v>100</v>
      </c>
      <c r="X28" s="1355"/>
      <c r="Y28" s="3672"/>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1694</v>
      </c>
      <c r="Q29" s="1352" t="str">
        <f t="shared" si="11"/>
        <v>建筑类型</v>
      </c>
      <c r="R29" s="705" t="s">
        <v>14</v>
      </c>
      <c r="S29" s="706">
        <f t="shared" si="12"/>
        <v>100</v>
      </c>
      <c r="T29" s="705" t="s">
        <v>14</v>
      </c>
      <c r="U29" s="706">
        <f t="shared" si="13"/>
        <v>100</v>
      </c>
      <c r="V29" s="705" t="s">
        <v>14</v>
      </c>
      <c r="W29" s="706">
        <f t="shared" si="14"/>
        <v>100</v>
      </c>
      <c r="X29" s="1355"/>
      <c r="Y29" s="3676"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2" t="str">
        <f t="shared" si="11"/>
        <v>成新度</v>
      </c>
      <c r="R33" s="705" t="s">
        <v>14</v>
      </c>
      <c r="S33" s="706" t="e">
        <f t="shared" si="12"/>
        <v>#N/A</v>
      </c>
      <c r="T33" s="705" t="s">
        <v>14</v>
      </c>
      <c r="U33" s="706" t="e">
        <f t="shared" si="13"/>
        <v>#N/A</v>
      </c>
      <c r="V33" s="705" t="s">
        <v>14</v>
      </c>
      <c r="W33" s="706" t="e">
        <f t="shared" si="14"/>
        <v>#N/A</v>
      </c>
      <c r="X33" s="1355"/>
      <c r="Y33" s="3676"/>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1694</v>
      </c>
      <c r="Q35" s="1352" t="str">
        <f t="shared" si="11"/>
        <v>市政基础设施</v>
      </c>
      <c r="R35" s="705" t="s">
        <v>14</v>
      </c>
      <c r="S35" s="706">
        <f t="shared" si="12"/>
        <v>100</v>
      </c>
      <c r="T35" s="705" t="s">
        <v>14</v>
      </c>
      <c r="U35" s="706">
        <f t="shared" si="13"/>
        <v>100</v>
      </c>
      <c r="V35" s="705" t="s">
        <v>14</v>
      </c>
      <c r="W35" s="706">
        <f t="shared" si="14"/>
        <v>100</v>
      </c>
      <c r="X35" s="1355"/>
      <c r="Y35" s="3676"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2" t="str">
        <f t="shared" si="11"/>
        <v>内部装修</v>
      </c>
      <c r="R36" s="705" t="s">
        <v>14</v>
      </c>
      <c r="S36" s="706">
        <f t="shared" si="12"/>
        <v>100</v>
      </c>
      <c r="T36" s="705" t="s">
        <v>14</v>
      </c>
      <c r="U36" s="706">
        <f t="shared" si="13"/>
        <v>100</v>
      </c>
      <c r="V36" s="705" t="s">
        <v>14</v>
      </c>
      <c r="W36" s="706">
        <f t="shared" si="14"/>
        <v>100</v>
      </c>
      <c r="X36" s="1355"/>
      <c r="Y36" s="3676"/>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69" t="str">
        <f>A41</f>
        <v>成交单价（元/平方米）</v>
      </c>
      <c r="Q41" s="3669"/>
      <c r="R41" s="3670">
        <f>E41</f>
        <v>0</v>
      </c>
      <c r="S41" s="3670"/>
      <c r="T41" s="3670">
        <f>G41</f>
        <v>0</v>
      </c>
      <c r="U41" s="3670"/>
      <c r="V41" s="3670">
        <f>I41</f>
        <v>0</v>
      </c>
      <c r="W41" s="3670"/>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70"/>
      <c r="O54" s="2771"/>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896</v>
      </c>
    </row>
    <row r="2" spans="1:1">
      <c r="A2" s="1478"/>
    </row>
    <row r="3" spans="1:1" ht="18">
      <c r="A3" s="1479" t="str">
        <f>项目基本情况!B5&amp;"："</f>
        <v>：</v>
      </c>
    </row>
    <row r="4" spans="1:1" ht="36">
      <c r="A4" s="1480" t="str">
        <f>"受贵公司委托，我公司对"&amp;项目基本情况!S1&amp;"进行了预评估。"</f>
        <v>受贵公司委托，我公司对北京市顺义区梅香街9号院12号楼1层104房地产抵押价值进行了预评估。</v>
      </c>
    </row>
    <row r="5" spans="1:1" ht="18.75">
      <c r="A5" s="1481" t="s">
        <v>897</v>
      </c>
    </row>
    <row r="6" spans="1:1" ht="18.75">
      <c r="A6" s="1482" t="s">
        <v>898</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估价对象为北京市顺义区梅香街9号院12号楼1层104房地产，为所有。根据《国有土地使用证》[]，估价对象（分摊）出让国有建设用地使用权面积为0平方米，建筑面积为88.45平方米。</v>
      </c>
    </row>
    <row r="8" spans="1:1" ht="57.75">
      <c r="A8" s="1483" t="s">
        <v>899</v>
      </c>
    </row>
    <row r="9" spans="1:1" ht="18.75">
      <c r="A9" s="1482" t="s">
        <v>900</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梅香街9号院12号楼1层104房地产,属开发建设的，该项目尚在开发建设中。根据《国有土地使用证》[]，估价对象（分摊）出让国有建设用地使用权面积为0平方米，规划建筑面积为88.45平方米。</v>
      </c>
    </row>
    <row r="11" spans="1:1" ht="76.5">
      <c r="A11" s="1483" t="s">
        <v>901</v>
      </c>
    </row>
    <row r="12" spans="1:1" ht="18.75">
      <c r="A12" s="1481" t="s">
        <v>902</v>
      </c>
    </row>
    <row r="13" spans="1:1" ht="38.25" customHeight="1">
      <c r="A13" s="1484" t="str">
        <f>IF(项目基本情况!B8="抵押",IF(项目基本情况!B5=项目基本情况!B6,定义!C51,定义!B51),定义!D51)</f>
        <v>拟使用北京市顺义区梅香街9号院12号楼1层104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903</v>
      </c>
    </row>
    <row r="15" spans="1:1" ht="18">
      <c r="A15" s="1486" t="str">
        <f>TEXT(项目基本情况!D3,"yyyy年m月d日;;")&amp;IF(项目基本情况!D3=项目基本情况!B3,"（评估专业人员实地查勘之日）","")</f>
        <v>2023年5月30日（评估专业人员实地查勘之日）</v>
      </c>
    </row>
    <row r="16" spans="1:1" ht="18.75">
      <c r="A16" s="1485" t="s">
        <v>904</v>
      </c>
    </row>
    <row r="17" spans="1:1" ht="75">
      <c r="A17" s="1480" t="s">
        <v>905</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894</v>
      </c>
    </row>
    <row r="24" spans="1:1" ht="18">
      <c r="A24" s="1487" t="str">
        <f>"本次评估采用的主估价方法为"&amp;结果表!K4&amp;"和"&amp;结果表!L4&amp;"。"</f>
        <v>本次评估采用的主估价方法为比较法和收益法。</v>
      </c>
    </row>
    <row r="25" spans="1:1" ht="18">
      <c r="A25" s="1487"/>
    </row>
    <row r="26" spans="1:1" ht="18.75">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3337</v>
      </c>
      <c r="C1" s="1224" t="s">
        <v>1660</v>
      </c>
      <c r="D1" s="1225"/>
      <c r="E1" s="3433"/>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1767</v>
      </c>
      <c r="B4" s="356"/>
      <c r="C4" s="3684" t="s">
        <v>1768</v>
      </c>
      <c r="D4" s="3685"/>
      <c r="E4" s="3686" t="s">
        <v>1769</v>
      </c>
      <c r="F4" s="3687"/>
      <c r="G4" s="3684" t="s">
        <v>1770</v>
      </c>
      <c r="H4" s="3685"/>
      <c r="I4" s="3684" t="s">
        <v>1771</v>
      </c>
      <c r="J4" s="3685"/>
      <c r="K4" s="559" t="s">
        <v>1772</v>
      </c>
      <c r="L4" s="2715"/>
      <c r="M4" s="2716"/>
      <c r="N4" s="2716"/>
      <c r="O4" s="2716"/>
      <c r="P4" s="3688" t="s">
        <v>1773</v>
      </c>
      <c r="Q4" s="3689"/>
      <c r="R4" s="3694" t="s">
        <v>1769</v>
      </c>
      <c r="S4" s="3695"/>
      <c r="T4" s="3694" t="s">
        <v>1770</v>
      </c>
      <c r="U4" s="3695"/>
      <c r="V4" s="3700" t="s">
        <v>1771</v>
      </c>
      <c r="W4" s="3700"/>
      <c r="X4" s="1355"/>
      <c r="Y4" s="3694" t="s">
        <v>1773</v>
      </c>
      <c r="Z4" s="3695"/>
      <c r="AA4" s="3681" t="s">
        <v>1769</v>
      </c>
      <c r="AB4" s="3682" t="s">
        <v>1770</v>
      </c>
      <c r="AC4" s="3681" t="s">
        <v>1771</v>
      </c>
    </row>
    <row r="5" spans="1:29" ht="15">
      <c r="A5" s="358"/>
      <c r="B5" s="359"/>
      <c r="C5" s="3703" t="s">
        <v>1671</v>
      </c>
      <c r="D5" s="3704"/>
      <c r="E5" s="3710" t="s">
        <v>1672</v>
      </c>
      <c r="F5" s="3711"/>
      <c r="G5" s="3703" t="s">
        <v>1673</v>
      </c>
      <c r="H5" s="3704"/>
      <c r="I5" s="3703" t="s">
        <v>1674</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1675</v>
      </c>
      <c r="D6" s="3702"/>
      <c r="E6" s="3708" t="s">
        <v>1675</v>
      </c>
      <c r="F6" s="3709"/>
      <c r="G6" s="3701" t="s">
        <v>1675</v>
      </c>
      <c r="H6" s="3702"/>
      <c r="I6" s="3701" t="s">
        <v>1675</v>
      </c>
      <c r="J6" s="3702"/>
      <c r="K6" s="559" t="s">
        <v>1676</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1677</v>
      </c>
      <c r="B7" s="363"/>
      <c r="C7" s="364">
        <f>'数据-取费表'!B2</f>
        <v>45076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5" t="s">
        <v>1678</v>
      </c>
      <c r="Q7" s="3707"/>
      <c r="R7" s="701" t="s">
        <v>14</v>
      </c>
      <c r="S7" s="702">
        <f t="shared" ref="S7:S14" si="0">F7</f>
        <v>0</v>
      </c>
      <c r="T7" s="701" t="s">
        <v>14</v>
      </c>
      <c r="U7" s="702">
        <f t="shared" ref="U7:U14" si="1">H7</f>
        <v>0</v>
      </c>
      <c r="V7" s="701" t="s">
        <v>14</v>
      </c>
      <c r="W7" s="702">
        <f t="shared" ref="W7:W14" si="2">J7</f>
        <v>0</v>
      </c>
      <c r="X7" s="703"/>
      <c r="Y7" s="3705" t="s">
        <v>1678</v>
      </c>
      <c r="Z7" s="3706"/>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5" t="s">
        <v>1681</v>
      </c>
      <c r="Q8" s="3706"/>
      <c r="R8" s="701" t="s">
        <v>14</v>
      </c>
      <c r="S8" s="702">
        <f t="shared" si="0"/>
        <v>100</v>
      </c>
      <c r="T8" s="701" t="s">
        <v>14</v>
      </c>
      <c r="U8" s="702">
        <f t="shared" si="1"/>
        <v>100</v>
      </c>
      <c r="V8" s="701" t="s">
        <v>14</v>
      </c>
      <c r="W8" s="702">
        <f t="shared" si="2"/>
        <v>100</v>
      </c>
      <c r="X8" s="703"/>
      <c r="Y8" s="3705" t="s">
        <v>1681</v>
      </c>
      <c r="Z8" s="3706"/>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9" t="s">
        <v>1684</v>
      </c>
      <c r="Q9" s="1343" t="str">
        <f t="shared" ref="Q9:Q14" si="6">B9</f>
        <v>用途</v>
      </c>
      <c r="R9" s="701" t="s">
        <v>14</v>
      </c>
      <c r="S9" s="702">
        <f t="shared" si="0"/>
        <v>100</v>
      </c>
      <c r="T9" s="701" t="s">
        <v>14</v>
      </c>
      <c r="U9" s="702">
        <f t="shared" si="1"/>
        <v>100</v>
      </c>
      <c r="V9" s="701" t="s">
        <v>14</v>
      </c>
      <c r="W9" s="702">
        <f t="shared" si="2"/>
        <v>100</v>
      </c>
      <c r="X9" s="703"/>
      <c r="Y9" s="3544" t="s">
        <v>1685</v>
      </c>
      <c r="Z9" s="52" t="str">
        <f t="shared" ref="Z9:Z14" si="7">Q9</f>
        <v>用途</v>
      </c>
      <c r="AA9" s="704">
        <f t="shared" si="3"/>
        <v>1</v>
      </c>
      <c r="AB9" s="704">
        <f t="shared" si="4"/>
        <v>1</v>
      </c>
      <c r="AC9" s="704">
        <f t="shared" si="5"/>
        <v>1</v>
      </c>
    </row>
    <row r="10" spans="1:29" s="378" customFormat="1" ht="27">
      <c r="A10" s="589"/>
      <c r="B10" s="590" t="s">
        <v>1686</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1" t="s">
        <v>1689</v>
      </c>
      <c r="Q14" s="1352" t="str">
        <f t="shared" si="6"/>
        <v>交通便捷度</v>
      </c>
      <c r="R14" s="705" t="s">
        <v>14</v>
      </c>
      <c r="S14" s="706">
        <f t="shared" si="0"/>
        <v>100</v>
      </c>
      <c r="T14" s="705" t="s">
        <v>14</v>
      </c>
      <c r="U14" s="706">
        <f t="shared" si="1"/>
        <v>100</v>
      </c>
      <c r="V14" s="705" t="s">
        <v>14</v>
      </c>
      <c r="W14" s="706">
        <f t="shared" si="2"/>
        <v>100</v>
      </c>
      <c r="X14" s="1355"/>
      <c r="Y14" s="3671"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2"/>
      <c r="Q15" s="1352"/>
      <c r="R15" s="705"/>
      <c r="S15" s="706"/>
      <c r="T15" s="705"/>
      <c r="U15" s="706"/>
      <c r="V15" s="705"/>
      <c r="W15" s="706"/>
      <c r="X15" s="1355"/>
      <c r="Y15" s="3672"/>
      <c r="Z15" s="1356"/>
      <c r="AA15" s="1353">
        <v>1</v>
      </c>
      <c r="AB15" s="1353">
        <v>1</v>
      </c>
      <c r="AC15" s="1353">
        <v>1</v>
      </c>
    </row>
    <row r="16" spans="1:29" ht="42.75">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2"/>
      <c r="Q17" s="1352"/>
      <c r="R17" s="705"/>
      <c r="S17" s="706"/>
      <c r="T17" s="705"/>
      <c r="U17" s="706"/>
      <c r="V17" s="705"/>
      <c r="W17" s="706"/>
      <c r="X17" s="1355"/>
      <c r="Y17" s="3672"/>
      <c r="Z17" s="1356"/>
      <c r="AA17" s="1353">
        <v>1</v>
      </c>
      <c r="AB17" s="1353">
        <v>1</v>
      </c>
      <c r="AC17" s="1353">
        <v>1</v>
      </c>
    </row>
    <row r="18" spans="1:29" ht="28.5">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2"/>
      <c r="Q19" s="1352"/>
      <c r="R19" s="705"/>
      <c r="S19" s="706"/>
      <c r="T19" s="705"/>
      <c r="U19" s="706"/>
      <c r="V19" s="705"/>
      <c r="W19" s="706"/>
      <c r="X19" s="1355"/>
      <c r="Y19" s="3672"/>
      <c r="Z19" s="1356"/>
      <c r="AA19" s="1353">
        <v>1</v>
      </c>
      <c r="AB19" s="1353">
        <v>1</v>
      </c>
      <c r="AC19" s="1353">
        <v>1</v>
      </c>
    </row>
    <row r="20" spans="1:29" ht="57">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2"/>
      <c r="Q21" s="1352"/>
      <c r="R21" s="705"/>
      <c r="S21" s="706"/>
      <c r="T21" s="705"/>
      <c r="U21" s="706"/>
      <c r="V21" s="705"/>
      <c r="W21" s="706"/>
      <c r="X21" s="1355"/>
      <c r="Y21" s="3672"/>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2"/>
      <c r="Q24" s="1352">
        <f t="shared" ref="Q24:Q36"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6" t="s">
        <v>1694</v>
      </c>
      <c r="Q32" s="1352" t="str">
        <f t="shared" si="11"/>
        <v>车位类型</v>
      </c>
      <c r="R32" s="705" t="s">
        <v>14</v>
      </c>
      <c r="S32" s="706">
        <f t="shared" si="12"/>
        <v>100</v>
      </c>
      <c r="T32" s="705" t="s">
        <v>14</v>
      </c>
      <c r="U32" s="706">
        <f t="shared" si="13"/>
        <v>100</v>
      </c>
      <c r="V32" s="705" t="s">
        <v>14</v>
      </c>
      <c r="W32" s="706">
        <f t="shared" si="14"/>
        <v>100</v>
      </c>
      <c r="X32" s="1355"/>
      <c r="Y32" s="3676"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5">
      <c r="A37" s="430" t="s">
        <v>1842</v>
      </c>
      <c r="B37" s="1973" t="s">
        <v>3357</v>
      </c>
      <c r="C37" s="1154" t="s">
        <v>0</v>
      </c>
      <c r="D37" s="1155"/>
      <c r="E37" s="1156"/>
      <c r="F37" s="1157"/>
      <c r="G37" s="1158"/>
      <c r="H37" s="1159"/>
      <c r="I37" s="1156"/>
      <c r="J37" s="1159"/>
      <c r="K37" s="568"/>
      <c r="L37" s="2724"/>
      <c r="M37" s="2725"/>
      <c r="N37" s="2716"/>
      <c r="O37" s="2725"/>
      <c r="P37" s="3669" t="str">
        <f>A37</f>
        <v>成交单价</v>
      </c>
      <c r="Q37" s="3669"/>
      <c r="R37" s="3670">
        <f>E37</f>
        <v>0</v>
      </c>
      <c r="S37" s="3670"/>
      <c r="T37" s="3670">
        <f>G37</f>
        <v>0</v>
      </c>
      <c r="U37" s="3670"/>
      <c r="V37" s="3670">
        <f>I37</f>
        <v>0</v>
      </c>
      <c r="W37" s="3670"/>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4"/>
      <c r="M38" s="2725"/>
      <c r="N38" s="2725"/>
      <c r="O38" s="2725"/>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4"/>
      <c r="M39" s="2725"/>
      <c r="N39" s="2725"/>
      <c r="O39" s="2725"/>
      <c r="P39" s="3666" t="str">
        <f>A39</f>
        <v>估价对象XX用房的比较价值（楼面单价，元/平方米）</v>
      </c>
      <c r="Q39" s="3667"/>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1848</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1714</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1679</v>
      </c>
      <c r="B51" s="459"/>
      <c r="C51" s="471" t="s">
        <v>1774</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1717</v>
      </c>
      <c r="B53" s="477" t="s">
        <v>1683</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1686</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1725</v>
      </c>
      <c r="C65" s="527" t="s">
        <v>1719</v>
      </c>
      <c r="D65" s="527" t="s">
        <v>1720</v>
      </c>
      <c r="E65" s="527" t="s">
        <v>1721</v>
      </c>
      <c r="F65" s="527" t="s">
        <v>1722</v>
      </c>
      <c r="G65" s="527" t="s">
        <v>1723</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1811</v>
      </c>
      <c r="C67" s="608" t="s">
        <v>1797</v>
      </c>
      <c r="D67" s="608" t="s">
        <v>1798</v>
      </c>
      <c r="E67" s="608" t="s">
        <v>1799</v>
      </c>
      <c r="F67" s="608" t="s">
        <v>1800</v>
      </c>
      <c r="G67" s="608" t="s">
        <v>1801</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1731</v>
      </c>
      <c r="C69" s="527" t="s">
        <v>1719</v>
      </c>
      <c r="D69" s="527" t="s">
        <v>1720</v>
      </c>
      <c r="E69" s="527" t="s">
        <v>1721</v>
      </c>
      <c r="F69" s="527" t="s">
        <v>1722</v>
      </c>
      <c r="G69" s="527" t="s">
        <v>1723</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1850</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1692</v>
      </c>
      <c r="B79" s="477" t="s">
        <v>1851</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1852</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1738</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1854</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1856</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1857</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3338</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84" t="s">
        <v>1768</v>
      </c>
      <c r="D4" s="3685"/>
      <c r="E4" s="3686" t="s">
        <v>1769</v>
      </c>
      <c r="F4" s="3687"/>
      <c r="G4" s="3684" t="s">
        <v>1770</v>
      </c>
      <c r="H4" s="3685"/>
      <c r="I4" s="3684" t="s">
        <v>1771</v>
      </c>
      <c r="J4" s="3685"/>
      <c r="K4" s="559" t="s">
        <v>1772</v>
      </c>
      <c r="L4" s="2715"/>
      <c r="M4" s="2716"/>
      <c r="N4" s="2716"/>
      <c r="O4" s="2716"/>
      <c r="P4" s="3688" t="s">
        <v>1773</v>
      </c>
      <c r="Q4" s="3689"/>
      <c r="R4" s="3694" t="s">
        <v>1769</v>
      </c>
      <c r="S4" s="3695"/>
      <c r="T4" s="3694" t="s">
        <v>1770</v>
      </c>
      <c r="U4" s="3695"/>
      <c r="V4" s="3700" t="s">
        <v>1771</v>
      </c>
      <c r="W4" s="3700"/>
      <c r="X4" s="1355"/>
      <c r="Y4" s="3694" t="s">
        <v>1773</v>
      </c>
      <c r="Z4" s="3695"/>
      <c r="AA4" s="3681" t="s">
        <v>1769</v>
      </c>
      <c r="AB4" s="3682" t="s">
        <v>1770</v>
      </c>
      <c r="AC4" s="3681" t="s">
        <v>1771</v>
      </c>
    </row>
    <row r="5" spans="1:29" ht="15">
      <c r="A5" s="358"/>
      <c r="B5" s="359"/>
      <c r="C5" s="3703" t="s">
        <v>1671</v>
      </c>
      <c r="D5" s="3704"/>
      <c r="E5" s="3710" t="s">
        <v>1672</v>
      </c>
      <c r="F5" s="3711"/>
      <c r="G5" s="3703" t="s">
        <v>1673</v>
      </c>
      <c r="H5" s="3704"/>
      <c r="I5" s="3703" t="s">
        <v>1674</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1675</v>
      </c>
      <c r="D6" s="3702"/>
      <c r="E6" s="3708" t="s">
        <v>1675</v>
      </c>
      <c r="F6" s="3709"/>
      <c r="G6" s="3701" t="s">
        <v>1675</v>
      </c>
      <c r="H6" s="3702"/>
      <c r="I6" s="3701" t="s">
        <v>1675</v>
      </c>
      <c r="J6" s="3702"/>
      <c r="K6" s="559" t="s">
        <v>1676</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1677</v>
      </c>
      <c r="B7" s="363"/>
      <c r="C7" s="364">
        <f>'数据-取费表'!B2</f>
        <v>45076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5" t="s">
        <v>1678</v>
      </c>
      <c r="Q7" s="3707"/>
      <c r="R7" s="701" t="s">
        <v>14</v>
      </c>
      <c r="S7" s="702">
        <f t="shared" ref="S7:S14" si="0">F7</f>
        <v>0</v>
      </c>
      <c r="T7" s="701" t="s">
        <v>14</v>
      </c>
      <c r="U7" s="702">
        <f t="shared" ref="U7:U14" si="1">H7</f>
        <v>0</v>
      </c>
      <c r="V7" s="701" t="s">
        <v>14</v>
      </c>
      <c r="W7" s="702">
        <f t="shared" ref="W7:W14" si="2">J7</f>
        <v>0</v>
      </c>
      <c r="X7" s="703"/>
      <c r="Y7" s="3705" t="s">
        <v>1678</v>
      </c>
      <c r="Z7" s="3706"/>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5" t="s">
        <v>1681</v>
      </c>
      <c r="Q8" s="3706"/>
      <c r="R8" s="701" t="s">
        <v>14</v>
      </c>
      <c r="S8" s="702">
        <f t="shared" si="0"/>
        <v>100</v>
      </c>
      <c r="T8" s="701" t="s">
        <v>14</v>
      </c>
      <c r="U8" s="702">
        <f t="shared" si="1"/>
        <v>100</v>
      </c>
      <c r="V8" s="701" t="s">
        <v>14</v>
      </c>
      <c r="W8" s="702">
        <f t="shared" si="2"/>
        <v>100</v>
      </c>
      <c r="X8" s="703"/>
      <c r="Y8" s="3705" t="s">
        <v>1681</v>
      </c>
      <c r="Z8" s="3706"/>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9" t="s">
        <v>1684</v>
      </c>
      <c r="Q9" s="1343" t="str">
        <f t="shared" ref="Q9:Q14" si="6">B9</f>
        <v>用途</v>
      </c>
      <c r="R9" s="701" t="s">
        <v>14</v>
      </c>
      <c r="S9" s="702">
        <f t="shared" si="0"/>
        <v>100</v>
      </c>
      <c r="T9" s="701" t="s">
        <v>14</v>
      </c>
      <c r="U9" s="702">
        <f t="shared" si="1"/>
        <v>100</v>
      </c>
      <c r="V9" s="701" t="s">
        <v>14</v>
      </c>
      <c r="W9" s="702">
        <f t="shared" si="2"/>
        <v>100</v>
      </c>
      <c r="X9" s="703"/>
      <c r="Y9" s="3544" t="s">
        <v>1685</v>
      </c>
      <c r="Z9" s="52" t="str">
        <f t="shared" ref="Z9:Z14" si="7">Q9</f>
        <v>用途</v>
      </c>
      <c r="AA9" s="704">
        <f t="shared" si="3"/>
        <v>1</v>
      </c>
      <c r="AB9" s="704">
        <f t="shared" si="4"/>
        <v>1</v>
      </c>
      <c r="AC9" s="704">
        <f t="shared" si="5"/>
        <v>1</v>
      </c>
    </row>
    <row r="10" spans="1:29" s="378" customFormat="1" ht="27">
      <c r="A10" s="374"/>
      <c r="B10" s="375" t="s">
        <v>1686</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1" t="s">
        <v>1689</v>
      </c>
      <c r="Q14" s="1352" t="str">
        <f t="shared" si="6"/>
        <v>交通便捷度</v>
      </c>
      <c r="R14" s="705" t="s">
        <v>14</v>
      </c>
      <c r="S14" s="706">
        <f t="shared" si="0"/>
        <v>100</v>
      </c>
      <c r="T14" s="705" t="s">
        <v>14</v>
      </c>
      <c r="U14" s="706">
        <f t="shared" si="1"/>
        <v>100</v>
      </c>
      <c r="V14" s="705" t="s">
        <v>14</v>
      </c>
      <c r="W14" s="706">
        <f t="shared" si="2"/>
        <v>100</v>
      </c>
      <c r="X14" s="1355"/>
      <c r="Y14" s="3671"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2"/>
      <c r="Q15" s="1352"/>
      <c r="R15" s="705"/>
      <c r="S15" s="706"/>
      <c r="T15" s="705"/>
      <c r="U15" s="706"/>
      <c r="V15" s="705"/>
      <c r="W15" s="706"/>
      <c r="X15" s="1355"/>
      <c r="Y15" s="3672"/>
      <c r="Z15" s="1356"/>
      <c r="AA15" s="1353">
        <v>1</v>
      </c>
      <c r="AB15" s="1353">
        <v>1</v>
      </c>
      <c r="AC15" s="1353">
        <v>1</v>
      </c>
    </row>
    <row r="16" spans="1:29" ht="42.75">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2"/>
      <c r="Q17" s="1352"/>
      <c r="R17" s="705"/>
      <c r="S17" s="706"/>
      <c r="T17" s="705"/>
      <c r="U17" s="706"/>
      <c r="V17" s="705"/>
      <c r="W17" s="706"/>
      <c r="X17" s="1355"/>
      <c r="Y17" s="3672"/>
      <c r="Z17" s="1356"/>
      <c r="AA17" s="1353">
        <v>1</v>
      </c>
      <c r="AB17" s="1353">
        <v>1</v>
      </c>
      <c r="AC17" s="1353">
        <v>1</v>
      </c>
    </row>
    <row r="18" spans="1:29" ht="28.5">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2"/>
      <c r="Q19" s="1352"/>
      <c r="R19" s="705"/>
      <c r="S19" s="706"/>
      <c r="T19" s="705"/>
      <c r="U19" s="706"/>
      <c r="V19" s="705"/>
      <c r="W19" s="706"/>
      <c r="X19" s="1355"/>
      <c r="Y19" s="3672"/>
      <c r="Z19" s="1356"/>
      <c r="AA19" s="1353">
        <v>1</v>
      </c>
      <c r="AB19" s="1353">
        <v>1</v>
      </c>
      <c r="AC19" s="1353">
        <v>1</v>
      </c>
    </row>
    <row r="20" spans="1:29" ht="57">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2"/>
      <c r="Q21" s="1352"/>
      <c r="R21" s="705"/>
      <c r="S21" s="706"/>
      <c r="T21" s="705"/>
      <c r="U21" s="706"/>
      <c r="V21" s="705"/>
      <c r="W21" s="706"/>
      <c r="X21" s="1355"/>
      <c r="Y21" s="3672"/>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2"/>
      <c r="Q24" s="1352">
        <f t="shared" ref="Q24:Q34"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6" t="s">
        <v>1694</v>
      </c>
      <c r="Q32" s="1352">
        <f t="shared" si="11"/>
        <v>111</v>
      </c>
      <c r="R32" s="705" t="s">
        <v>14</v>
      </c>
      <c r="S32" s="706">
        <f t="shared" si="12"/>
        <v>100</v>
      </c>
      <c r="T32" s="705" t="s">
        <v>14</v>
      </c>
      <c r="U32" s="706">
        <f t="shared" si="13"/>
        <v>100</v>
      </c>
      <c r="V32" s="705" t="s">
        <v>14</v>
      </c>
      <c r="W32" s="706">
        <f t="shared" si="14"/>
        <v>100</v>
      </c>
      <c r="X32" s="1355"/>
      <c r="Y32" s="3676"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4"/>
      <c r="M35" s="2725"/>
      <c r="N35" s="2716"/>
      <c r="O35" s="2725"/>
      <c r="P35" s="3669" t="str">
        <f>A35</f>
        <v>成交单价（元/平方米）</v>
      </c>
      <c r="Q35" s="3669"/>
      <c r="R35" s="3670">
        <f>E35</f>
        <v>0</v>
      </c>
      <c r="S35" s="3670"/>
      <c r="T35" s="3670">
        <f>G35</f>
        <v>0</v>
      </c>
      <c r="U35" s="3670"/>
      <c r="V35" s="3670">
        <f>I35</f>
        <v>0</v>
      </c>
      <c r="W35" s="3670"/>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4"/>
      <c r="M36" s="2725"/>
      <c r="N36" s="2716"/>
      <c r="O36" s="2725"/>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4"/>
      <c r="M37" s="2725"/>
      <c r="N37" s="2725"/>
      <c r="O37" s="2725"/>
      <c r="P37" s="3666" t="str">
        <f>A37</f>
        <v>估价对象XX用房的比较价值（楼面单价，元/平方米）</v>
      </c>
      <c r="Q37" s="3667"/>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1796</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1677</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1714</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1679</v>
      </c>
      <c r="B49" s="459"/>
      <c r="C49" s="471" t="s">
        <v>1774</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1717</v>
      </c>
      <c r="B51" s="477" t="s">
        <v>1683</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1686</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1861</v>
      </c>
      <c r="C63" s="527" t="s">
        <v>1719</v>
      </c>
      <c r="D63" s="527" t="s">
        <v>1720</v>
      </c>
      <c r="E63" s="527" t="s">
        <v>1721</v>
      </c>
      <c r="F63" s="527" t="s">
        <v>1722</v>
      </c>
      <c r="G63" s="527" t="s">
        <v>1723</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1811</v>
      </c>
      <c r="C65" s="608" t="s">
        <v>1797</v>
      </c>
      <c r="D65" s="608" t="s">
        <v>1798</v>
      </c>
      <c r="E65" s="608" t="s">
        <v>1799</v>
      </c>
      <c r="F65" s="608" t="s">
        <v>1800</v>
      </c>
      <c r="G65" s="608" t="s">
        <v>1801</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1731</v>
      </c>
      <c r="C67" s="527" t="s">
        <v>1719</v>
      </c>
      <c r="D67" s="527" t="s">
        <v>1720</v>
      </c>
      <c r="E67" s="527" t="s">
        <v>1721</v>
      </c>
      <c r="F67" s="527" t="s">
        <v>1722</v>
      </c>
      <c r="G67" s="527" t="s">
        <v>1723</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1850</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1692</v>
      </c>
      <c r="B77" s="477" t="s">
        <v>1738</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1854</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1862</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1864</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1767</v>
      </c>
      <c r="B4" s="356"/>
      <c r="C4" s="3684" t="s">
        <v>1768</v>
      </c>
      <c r="D4" s="3685"/>
      <c r="E4" s="3686" t="s">
        <v>1769</v>
      </c>
      <c r="F4" s="3687"/>
      <c r="G4" s="3684" t="s">
        <v>1770</v>
      </c>
      <c r="H4" s="3685"/>
      <c r="I4" s="3684" t="s">
        <v>1771</v>
      </c>
      <c r="J4" s="3685"/>
      <c r="K4" s="559" t="s">
        <v>1772</v>
      </c>
      <c r="L4" s="2715"/>
      <c r="M4" s="2716"/>
      <c r="N4" s="2716"/>
      <c r="O4" s="2716"/>
      <c r="P4" s="3688" t="s">
        <v>1773</v>
      </c>
      <c r="Q4" s="3689"/>
      <c r="R4" s="3694" t="s">
        <v>1769</v>
      </c>
      <c r="S4" s="3695"/>
      <c r="T4" s="3694" t="s">
        <v>1770</v>
      </c>
      <c r="U4" s="3695"/>
      <c r="V4" s="3700" t="s">
        <v>1771</v>
      </c>
      <c r="W4" s="3700"/>
      <c r="X4" s="1355"/>
      <c r="Y4" s="3694" t="s">
        <v>1773</v>
      </c>
      <c r="Z4" s="3695"/>
      <c r="AA4" s="3681" t="s">
        <v>1769</v>
      </c>
      <c r="AB4" s="3682" t="s">
        <v>1770</v>
      </c>
      <c r="AC4" s="3681" t="s">
        <v>1771</v>
      </c>
    </row>
    <row r="5" spans="1:30" ht="15">
      <c r="A5" s="358"/>
      <c r="B5" s="359"/>
      <c r="C5" s="3703" t="s">
        <v>1671</v>
      </c>
      <c r="D5" s="3704"/>
      <c r="E5" s="3710" t="s">
        <v>1672</v>
      </c>
      <c r="F5" s="3711"/>
      <c r="G5" s="3703" t="s">
        <v>1673</v>
      </c>
      <c r="H5" s="3704"/>
      <c r="I5" s="3703" t="s">
        <v>1674</v>
      </c>
      <c r="J5" s="3704"/>
      <c r="K5" s="559"/>
      <c r="L5" s="2715"/>
      <c r="M5" s="2716"/>
      <c r="N5" s="2716"/>
      <c r="O5" s="2716"/>
      <c r="P5" s="3690"/>
      <c r="Q5" s="3691"/>
      <c r="R5" s="3696"/>
      <c r="S5" s="3697"/>
      <c r="T5" s="3696"/>
      <c r="U5" s="3697"/>
      <c r="V5" s="3700"/>
      <c r="W5" s="3700"/>
      <c r="X5" s="1355"/>
      <c r="Y5" s="3696"/>
      <c r="Z5" s="3697"/>
      <c r="AA5" s="3682"/>
      <c r="AB5" s="3682"/>
      <c r="AC5" s="3682"/>
    </row>
    <row r="6" spans="1:30" ht="15.75" thickBot="1">
      <c r="A6" s="360"/>
      <c r="B6" s="361"/>
      <c r="C6" s="3701" t="s">
        <v>1675</v>
      </c>
      <c r="D6" s="3702"/>
      <c r="E6" s="3708" t="s">
        <v>1675</v>
      </c>
      <c r="F6" s="3709"/>
      <c r="G6" s="3701" t="s">
        <v>1675</v>
      </c>
      <c r="H6" s="3702"/>
      <c r="I6" s="3701" t="s">
        <v>1675</v>
      </c>
      <c r="J6" s="3702"/>
      <c r="K6" s="559" t="s">
        <v>1676</v>
      </c>
      <c r="L6" s="2715"/>
      <c r="M6" s="2716"/>
      <c r="N6" s="2716"/>
      <c r="O6" s="2716"/>
      <c r="P6" s="3692"/>
      <c r="Q6" s="3693"/>
      <c r="R6" s="3696"/>
      <c r="S6" s="3697"/>
      <c r="T6" s="3698"/>
      <c r="U6" s="3699"/>
      <c r="V6" s="3700"/>
      <c r="W6" s="3700"/>
      <c r="X6" s="1355"/>
      <c r="Y6" s="3698"/>
      <c r="Z6" s="3699"/>
      <c r="AA6" s="3683"/>
      <c r="AB6" s="3683"/>
      <c r="AC6" s="3683"/>
    </row>
    <row r="7" spans="1:30" s="108" customFormat="1" ht="15.75" thickBot="1">
      <c r="A7" s="362" t="s">
        <v>1677</v>
      </c>
      <c r="B7" s="363"/>
      <c r="C7" s="364">
        <f>'数据-取费表'!B2</f>
        <v>45076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5" t="s">
        <v>1678</v>
      </c>
      <c r="Q7" s="3707"/>
      <c r="R7" s="701" t="s">
        <v>14</v>
      </c>
      <c r="S7" s="702">
        <f t="shared" ref="S7:S15" si="0">F7</f>
        <v>0</v>
      </c>
      <c r="T7" s="701" t="s">
        <v>14</v>
      </c>
      <c r="U7" s="702">
        <f t="shared" ref="U7:U15" si="1">H7</f>
        <v>0</v>
      </c>
      <c r="V7" s="701" t="s">
        <v>14</v>
      </c>
      <c r="W7" s="702">
        <f t="shared" ref="W7:W15" si="2">J7</f>
        <v>0</v>
      </c>
      <c r="X7" s="703"/>
      <c r="Y7" s="3705" t="s">
        <v>1678</v>
      </c>
      <c r="Z7" s="3706"/>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5" t="s">
        <v>1681</v>
      </c>
      <c r="Q8" s="3706"/>
      <c r="R8" s="701" t="s">
        <v>14</v>
      </c>
      <c r="S8" s="702">
        <f t="shared" si="0"/>
        <v>0</v>
      </c>
      <c r="T8" s="701" t="s">
        <v>14</v>
      </c>
      <c r="U8" s="702">
        <f t="shared" si="1"/>
        <v>0</v>
      </c>
      <c r="V8" s="701" t="s">
        <v>14</v>
      </c>
      <c r="W8" s="702">
        <f t="shared" si="2"/>
        <v>0</v>
      </c>
      <c r="X8" s="703"/>
      <c r="Y8" s="3705" t="s">
        <v>1681</v>
      </c>
      <c r="Z8" s="3706"/>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9"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115</v>
      </c>
      <c r="G10" s="414"/>
      <c r="H10" s="127">
        <f>ROUND(100/'数据-取费表'!G16,0)</f>
        <v>115</v>
      </c>
      <c r="I10" s="414"/>
      <c r="J10" s="127">
        <f>ROUND(100/'数据-取费表'!G16,0)</f>
        <v>115</v>
      </c>
      <c r="K10" s="620"/>
      <c r="L10" s="2719"/>
      <c r="M10" s="2720"/>
      <c r="N10" s="2720"/>
      <c r="O10" s="2773"/>
      <c r="P10" s="3669"/>
      <c r="Q10" s="1343" t="str">
        <f t="shared" si="6"/>
        <v>土地使用年限（年）</v>
      </c>
      <c r="R10" s="701" t="s">
        <v>14</v>
      </c>
      <c r="S10" s="702">
        <f t="shared" si="0"/>
        <v>115</v>
      </c>
      <c r="T10" s="701" t="s">
        <v>14</v>
      </c>
      <c r="U10" s="702">
        <f t="shared" si="1"/>
        <v>115</v>
      </c>
      <c r="V10" s="701" t="s">
        <v>14</v>
      </c>
      <c r="W10" s="702">
        <f t="shared" si="2"/>
        <v>115</v>
      </c>
      <c r="X10" s="703"/>
      <c r="Y10" s="3544"/>
      <c r="Z10" s="52" t="str">
        <f t="shared" si="7"/>
        <v>土地使用年限（年）</v>
      </c>
      <c r="AA10" s="704">
        <f t="shared" si="3"/>
        <v>0.86956521739130432</v>
      </c>
      <c r="AB10" s="704">
        <f t="shared" si="4"/>
        <v>0.86956521739130432</v>
      </c>
      <c r="AC10" s="704">
        <f t="shared" si="5"/>
        <v>0.86956521739130432</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9"/>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1688</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1" t="s">
        <v>1689</v>
      </c>
      <c r="Q15" s="1352" t="str">
        <f t="shared" si="6"/>
        <v>居住社区成熟度</v>
      </c>
      <c r="R15" s="705" t="s">
        <v>14</v>
      </c>
      <c r="S15" s="706">
        <f t="shared" si="0"/>
        <v>100</v>
      </c>
      <c r="T15" s="705" t="s">
        <v>14</v>
      </c>
      <c r="U15" s="706">
        <f t="shared" si="1"/>
        <v>100</v>
      </c>
      <c r="V15" s="705" t="s">
        <v>14</v>
      </c>
      <c r="W15" s="706">
        <f t="shared" si="2"/>
        <v>100</v>
      </c>
      <c r="X15" s="1355"/>
      <c r="Y15" s="3671"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71.25">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2"/>
      <c r="Q17" s="1352" t="str">
        <f>B17</f>
        <v>商业繁华度</v>
      </c>
      <c r="R17" s="705" t="s">
        <v>14</v>
      </c>
      <c r="S17" s="706">
        <f>F17</f>
        <v>100</v>
      </c>
      <c r="T17" s="705" t="s">
        <v>14</v>
      </c>
      <c r="U17" s="706">
        <f>H17</f>
        <v>100</v>
      </c>
      <c r="V17" s="705" t="s">
        <v>14</v>
      </c>
      <c r="W17" s="706">
        <f>J17</f>
        <v>100</v>
      </c>
      <c r="X17" s="1355"/>
      <c r="Y17" s="367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71.25">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2"/>
      <c r="Q19" s="1352" t="str">
        <f>B19</f>
        <v>办公集聚程度</v>
      </c>
      <c r="R19" s="705" t="s">
        <v>14</v>
      </c>
      <c r="S19" s="706">
        <f>F19</f>
        <v>100</v>
      </c>
      <c r="T19" s="705" t="s">
        <v>14</v>
      </c>
      <c r="U19" s="706">
        <f>H19</f>
        <v>100</v>
      </c>
      <c r="V19" s="705" t="s">
        <v>14</v>
      </c>
      <c r="W19" s="706">
        <f>J19</f>
        <v>100</v>
      </c>
      <c r="X19" s="1355"/>
      <c r="Y19" s="367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2"/>
      <c r="Q20" s="1352"/>
      <c r="R20" s="705"/>
      <c r="S20" s="706"/>
      <c r="T20" s="705"/>
      <c r="U20" s="706"/>
      <c r="V20" s="705"/>
      <c r="W20" s="706"/>
      <c r="X20" s="1355"/>
      <c r="Y20" s="3672"/>
      <c r="Z20" s="1356"/>
      <c r="AA20" s="1353">
        <v>1</v>
      </c>
      <c r="AB20" s="1353">
        <v>1</v>
      </c>
      <c r="AC20" s="1353">
        <v>1</v>
      </c>
    </row>
    <row r="21" spans="1:29" ht="85.5">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2"/>
      <c r="Q21" s="1352" t="str">
        <f>B21</f>
        <v>交通便捷度</v>
      </c>
      <c r="R21" s="705" t="s">
        <v>14</v>
      </c>
      <c r="S21" s="706">
        <f>F21</f>
        <v>100</v>
      </c>
      <c r="T21" s="705" t="s">
        <v>14</v>
      </c>
      <c r="U21" s="706">
        <f>H21</f>
        <v>100</v>
      </c>
      <c r="V21" s="705" t="s">
        <v>14</v>
      </c>
      <c r="W21" s="706">
        <f>J21</f>
        <v>100</v>
      </c>
      <c r="X21" s="1355"/>
      <c r="Y21" s="367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2"/>
      <c r="Q23" s="1352" t="str">
        <f t="shared" ref="Q23:Q37" si="8">B23</f>
        <v>区域土地利用方向</v>
      </c>
      <c r="R23" s="705" t="s">
        <v>14</v>
      </c>
      <c r="S23" s="706">
        <f>F23</f>
        <v>100</v>
      </c>
      <c r="T23" s="705" t="s">
        <v>14</v>
      </c>
      <c r="U23" s="706">
        <f>H23</f>
        <v>100</v>
      </c>
      <c r="V23" s="705" t="s">
        <v>14</v>
      </c>
      <c r="W23" s="706">
        <f>J23</f>
        <v>100</v>
      </c>
      <c r="X23" s="1355"/>
      <c r="Y23" s="367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2"/>
      <c r="Q24" s="1352"/>
      <c r="R24" s="705"/>
      <c r="S24" s="706"/>
      <c r="T24" s="705"/>
      <c r="U24" s="706"/>
      <c r="V24" s="705"/>
      <c r="W24" s="706"/>
      <c r="X24" s="1355"/>
      <c r="Y24" s="3672"/>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2"/>
      <c r="Q25" s="1352" t="str">
        <f t="shared" si="8"/>
        <v>自然及人文环境状况</v>
      </c>
      <c r="R25" s="705" t="s">
        <v>14</v>
      </c>
      <c r="S25" s="706">
        <f>F25</f>
        <v>100</v>
      </c>
      <c r="T25" s="705" t="s">
        <v>14</v>
      </c>
      <c r="U25" s="706">
        <f>H25</f>
        <v>100</v>
      </c>
      <c r="V25" s="705" t="s">
        <v>14</v>
      </c>
      <c r="W25" s="706">
        <f>J25</f>
        <v>100</v>
      </c>
      <c r="X25" s="1355"/>
      <c r="Y25" s="367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2"/>
      <c r="Q26" s="1352"/>
      <c r="R26" s="705"/>
      <c r="S26" s="706"/>
      <c r="T26" s="705"/>
      <c r="U26" s="706"/>
      <c r="V26" s="705"/>
      <c r="W26" s="706"/>
      <c r="X26" s="1355"/>
      <c r="Y26" s="3672"/>
      <c r="Z26" s="1356"/>
      <c r="AA26" s="1353">
        <v>1</v>
      </c>
      <c r="AB26" s="1353">
        <v>1</v>
      </c>
      <c r="AC26" s="1353">
        <v>1</v>
      </c>
    </row>
    <row r="27" spans="1:29" s="108" customFormat="1" ht="42.75">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2"/>
      <c r="Q27" s="1343" t="str">
        <f t="shared" si="8"/>
        <v>公共配套设施</v>
      </c>
      <c r="R27" s="701" t="s">
        <v>14</v>
      </c>
      <c r="S27" s="702">
        <f>F27</f>
        <v>100</v>
      </c>
      <c r="T27" s="701" t="s">
        <v>14</v>
      </c>
      <c r="U27" s="702">
        <f>H27</f>
        <v>100</v>
      </c>
      <c r="V27" s="701" t="s">
        <v>14</v>
      </c>
      <c r="W27" s="702">
        <f>J27</f>
        <v>100</v>
      </c>
      <c r="X27" s="703"/>
      <c r="Y27" s="367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2"/>
      <c r="Q28" s="1343"/>
      <c r="R28" s="701"/>
      <c r="S28" s="702"/>
      <c r="T28" s="701"/>
      <c r="U28" s="702"/>
      <c r="V28" s="701"/>
      <c r="W28" s="702"/>
      <c r="X28" s="703"/>
      <c r="Y28" s="3672"/>
      <c r="Z28" s="52"/>
      <c r="AA28" s="1353">
        <v>1</v>
      </c>
      <c r="AB28" s="1353">
        <v>1</v>
      </c>
      <c r="AC28" s="1353">
        <v>1</v>
      </c>
    </row>
    <row r="29" spans="1:29" s="108" customFormat="1" ht="28.5">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2"/>
      <c r="Q29" s="1343" t="str">
        <f t="shared" ref="Q29" si="9">B29</f>
        <v>基础设施水平</v>
      </c>
      <c r="R29" s="701" t="s">
        <v>14</v>
      </c>
      <c r="S29" s="702">
        <f>F29</f>
        <v>100</v>
      </c>
      <c r="T29" s="701" t="s">
        <v>14</v>
      </c>
      <c r="U29" s="702">
        <f>H29</f>
        <v>100</v>
      </c>
      <c r="V29" s="701" t="s">
        <v>14</v>
      </c>
      <c r="W29" s="702">
        <f>J29</f>
        <v>100</v>
      </c>
      <c r="X29" s="703"/>
      <c r="Y29" s="367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2"/>
      <c r="Q30" s="1343"/>
      <c r="R30" s="701"/>
      <c r="S30" s="702"/>
      <c r="T30" s="701"/>
      <c r="U30" s="702"/>
      <c r="V30" s="701"/>
      <c r="W30" s="702"/>
      <c r="X30" s="703"/>
      <c r="Y30" s="3672"/>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2"/>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2"/>
      <c r="Q32" s="1352" t="str">
        <f t="shared" si="8"/>
        <v>毗邻道路的类型与等级</v>
      </c>
      <c r="R32" s="705" t="s">
        <v>14</v>
      </c>
      <c r="S32" s="706">
        <f t="shared" si="10"/>
        <v>100</v>
      </c>
      <c r="T32" s="705" t="s">
        <v>14</v>
      </c>
      <c r="U32" s="706">
        <f t="shared" si="11"/>
        <v>100</v>
      </c>
      <c r="V32" s="705" t="s">
        <v>14</v>
      </c>
      <c r="W32" s="706">
        <f t="shared" si="12"/>
        <v>100</v>
      </c>
      <c r="X32" s="1355"/>
      <c r="Y32" s="367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2"/>
      <c r="Q33" s="1352"/>
      <c r="R33" s="705"/>
      <c r="S33" s="706"/>
      <c r="T33" s="705"/>
      <c r="U33" s="706"/>
      <c r="V33" s="705"/>
      <c r="W33" s="706"/>
      <c r="X33" s="1355"/>
      <c r="Y33" s="3672"/>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2"/>
      <c r="Q34" s="1352" t="str">
        <f t="shared" si="8"/>
        <v>土地级别</v>
      </c>
      <c r="R34" s="705" t="s">
        <v>14</v>
      </c>
      <c r="S34" s="706">
        <f t="shared" si="10"/>
        <v>100</v>
      </c>
      <c r="T34" s="705" t="s">
        <v>14</v>
      </c>
      <c r="U34" s="706">
        <f t="shared" si="11"/>
        <v>100</v>
      </c>
      <c r="V34" s="705" t="s">
        <v>14</v>
      </c>
      <c r="W34" s="706">
        <f t="shared" si="12"/>
        <v>100</v>
      </c>
      <c r="X34" s="1355"/>
      <c r="Y34" s="367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2"/>
      <c r="Q35" s="1352">
        <f t="shared" si="8"/>
        <v>111</v>
      </c>
      <c r="R35" s="705" t="s">
        <v>14</v>
      </c>
      <c r="S35" s="706">
        <f t="shared" si="10"/>
        <v>100</v>
      </c>
      <c r="T35" s="705" t="s">
        <v>14</v>
      </c>
      <c r="U35" s="706">
        <f t="shared" si="11"/>
        <v>100</v>
      </c>
      <c r="V35" s="705" t="s">
        <v>14</v>
      </c>
      <c r="W35" s="706">
        <f t="shared" si="12"/>
        <v>100</v>
      </c>
      <c r="X35" s="1355"/>
      <c r="Y35" s="367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1694</v>
      </c>
      <c r="Q36" s="1352">
        <f t="shared" si="8"/>
        <v>111</v>
      </c>
      <c r="R36" s="705" t="s">
        <v>14</v>
      </c>
      <c r="S36" s="706">
        <f t="shared" si="10"/>
        <v>100</v>
      </c>
      <c r="T36" s="705" t="s">
        <v>14</v>
      </c>
      <c r="U36" s="706">
        <f t="shared" si="11"/>
        <v>100</v>
      </c>
      <c r="V36" s="705" t="s">
        <v>14</v>
      </c>
      <c r="W36" s="706">
        <f t="shared" si="12"/>
        <v>100</v>
      </c>
      <c r="X36" s="1355"/>
      <c r="Y36" s="3676"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6" t="s">
        <v>1694</v>
      </c>
      <c r="Q42" s="1352" t="str">
        <f t="shared" si="14"/>
        <v>工程地质条件</v>
      </c>
      <c r="R42" s="705" t="s">
        <v>14</v>
      </c>
      <c r="S42" s="706">
        <f t="shared" si="10"/>
        <v>100</v>
      </c>
      <c r="T42" s="705" t="s">
        <v>14</v>
      </c>
      <c r="U42" s="706">
        <f t="shared" si="11"/>
        <v>100</v>
      </c>
      <c r="V42" s="705" t="s">
        <v>14</v>
      </c>
      <c r="W42" s="706">
        <f t="shared" si="12"/>
        <v>100</v>
      </c>
      <c r="X42" s="1355"/>
      <c r="Y42" s="3676"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4"/>
      <c r="M46" s="2725"/>
      <c r="N46" s="2716"/>
      <c r="O46" s="2725"/>
      <c r="P46" s="3669" t="str">
        <f>A46</f>
        <v>成交单价</v>
      </c>
      <c r="Q46" s="3669"/>
      <c r="R46" s="3700">
        <f>E46</f>
        <v>0</v>
      </c>
      <c r="S46" s="3700"/>
      <c r="T46" s="3700">
        <f>G46</f>
        <v>0</v>
      </c>
      <c r="U46" s="3700"/>
      <c r="V46" s="3700">
        <f>I46</f>
        <v>0</v>
      </c>
      <c r="W46" s="3700"/>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4"/>
      <c r="M47" s="2725"/>
      <c r="N47" s="2725"/>
      <c r="O47" s="2725"/>
      <c r="P47" s="3669" t="str">
        <f>A47</f>
        <v>比较价值（元/平方米）</v>
      </c>
      <c r="Q47" s="3669"/>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4"/>
      <c r="M48" s="2725"/>
      <c r="N48" s="2725"/>
      <c r="O48" s="2725"/>
      <c r="P48" s="3666" t="str">
        <f>A48</f>
        <v>估价对象XX用房的比较价值（楼面单价，元/平方米）</v>
      </c>
      <c r="Q48" s="3667"/>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1879</v>
      </c>
      <c r="B55" s="633" t="s">
        <v>1880</v>
      </c>
      <c r="C55" s="1983" t="s">
        <v>1881</v>
      </c>
      <c r="D55" s="1984" t="s">
        <v>1882</v>
      </c>
      <c r="E55" s="634" t="s">
        <v>1883</v>
      </c>
      <c r="F55" s="890" t="s">
        <v>1884</v>
      </c>
      <c r="G55" s="3684" t="s">
        <v>1885</v>
      </c>
      <c r="H55" s="3731"/>
      <c r="I55" s="135" t="s">
        <v>1886</v>
      </c>
      <c r="J55" s="1985">
        <f>项目基本情况!F35</f>
        <v>0</v>
      </c>
      <c r="K55" s="1986" t="s">
        <v>1887</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1888</v>
      </c>
      <c r="B56" s="637" t="e">
        <f>C48</f>
        <v>#DIV/0!</v>
      </c>
      <c r="C56" s="638">
        <v>1</v>
      </c>
      <c r="D56" s="944">
        <v>1</v>
      </c>
      <c r="E56" s="638">
        <f>'数据-汇总表'!E8+'数据-汇总表'!E9</f>
        <v>88.45</v>
      </c>
      <c r="F56" s="886" t="e">
        <f t="shared" ref="F56:F64" si="15">ROUND(B56*E56/10000,0)</f>
        <v>#DIV/0!</v>
      </c>
      <c r="G56" s="3680"/>
      <c r="H56" s="366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1889</v>
      </c>
      <c r="B57" s="218" t="e">
        <f>ROUND($C$48*C57*D57,0)</f>
        <v>#DIV/0!</v>
      </c>
      <c r="C57" s="171">
        <f t="shared" ref="C57:C64" si="16">IF($C$55="北京市系数",I57,J57)</f>
        <v>0</v>
      </c>
      <c r="D57" s="945">
        <v>0.25</v>
      </c>
      <c r="E57" s="642"/>
      <c r="F57" s="886" t="e">
        <f t="shared" si="15"/>
        <v>#DIV/0!</v>
      </c>
      <c r="G57" s="3006" t="s">
        <v>1890</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1891</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1892</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1901</v>
      </c>
      <c r="B65" s="644" t="s">
        <v>22</v>
      </c>
      <c r="C65" s="644" t="s">
        <v>23</v>
      </c>
      <c r="D65" s="644" t="s">
        <v>392</v>
      </c>
      <c r="E65" s="644">
        <f>IF(B46="楼面地价",SUM(E56:E64),'数据-汇总表'!D3)</f>
        <v>88.45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1796</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1714</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1679</v>
      </c>
      <c r="B72" s="459"/>
      <c r="C72" s="471" t="s">
        <v>1774</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1717</v>
      </c>
      <c r="B74" s="477" t="s">
        <v>1683</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1686</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1688</v>
      </c>
      <c r="B87" s="477" t="s">
        <v>1718</v>
      </c>
      <c r="C87" s="522" t="s">
        <v>1719</v>
      </c>
      <c r="D87" s="522" t="s">
        <v>1720</v>
      </c>
      <c r="E87" s="522" t="s">
        <v>1721</v>
      </c>
      <c r="F87" s="522" t="s">
        <v>1722</v>
      </c>
      <c r="G87" s="522" t="s">
        <v>1723</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1904</v>
      </c>
      <c r="C89" s="527" t="s">
        <v>1719</v>
      </c>
      <c r="D89" s="527" t="s">
        <v>1720</v>
      </c>
      <c r="E89" s="527" t="s">
        <v>1721</v>
      </c>
      <c r="F89" s="527" t="s">
        <v>1722</v>
      </c>
      <c r="G89" s="527" t="s">
        <v>1723</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1819</v>
      </c>
      <c r="C91" s="527" t="s">
        <v>1719</v>
      </c>
      <c r="D91" s="527" t="s">
        <v>1720</v>
      </c>
      <c r="E91" s="527" t="s">
        <v>1721</v>
      </c>
      <c r="F91" s="527" t="s">
        <v>1722</v>
      </c>
      <c r="G91" s="527" t="s">
        <v>1723</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1724</v>
      </c>
      <c r="C93" s="527" t="s">
        <v>1719</v>
      </c>
      <c r="D93" s="527" t="s">
        <v>1720</v>
      </c>
      <c r="E93" s="527" t="s">
        <v>1721</v>
      </c>
      <c r="F93" s="527" t="s">
        <v>1722</v>
      </c>
      <c r="G93" s="527" t="s">
        <v>1723</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1813</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1871</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1912</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1913</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1914</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1915</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84" t="s">
        <v>1768</v>
      </c>
      <c r="D4" s="3685"/>
      <c r="E4" s="3686" t="s">
        <v>1769</v>
      </c>
      <c r="F4" s="3687"/>
      <c r="G4" s="3684" t="s">
        <v>1770</v>
      </c>
      <c r="H4" s="3685"/>
      <c r="I4" s="3684" t="s">
        <v>1771</v>
      </c>
      <c r="J4" s="3685"/>
      <c r="K4" s="559" t="s">
        <v>1772</v>
      </c>
      <c r="L4" s="2715"/>
      <c r="M4" s="2716"/>
      <c r="N4" s="2716"/>
      <c r="O4" s="2716"/>
      <c r="P4" s="3688" t="s">
        <v>1773</v>
      </c>
      <c r="Q4" s="3689"/>
      <c r="R4" s="3694" t="s">
        <v>1769</v>
      </c>
      <c r="S4" s="3695"/>
      <c r="T4" s="3694" t="s">
        <v>1770</v>
      </c>
      <c r="U4" s="3695"/>
      <c r="V4" s="3700" t="s">
        <v>1771</v>
      </c>
      <c r="W4" s="3700"/>
      <c r="X4" s="1355"/>
      <c r="Y4" s="3694" t="s">
        <v>1773</v>
      </c>
      <c r="Z4" s="3695"/>
      <c r="AA4" s="3681" t="s">
        <v>1769</v>
      </c>
      <c r="AB4" s="3682" t="s">
        <v>1770</v>
      </c>
      <c r="AC4" s="3681" t="s">
        <v>1771</v>
      </c>
    </row>
    <row r="5" spans="1:29" ht="15">
      <c r="A5" s="358"/>
      <c r="B5" s="359"/>
      <c r="C5" s="3703" t="s">
        <v>1671</v>
      </c>
      <c r="D5" s="3704"/>
      <c r="E5" s="3710" t="s">
        <v>1672</v>
      </c>
      <c r="F5" s="3711"/>
      <c r="G5" s="3703" t="s">
        <v>1673</v>
      </c>
      <c r="H5" s="3704"/>
      <c r="I5" s="3703" t="s">
        <v>1674</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32" t="s">
        <v>1917</v>
      </c>
      <c r="D6" s="3733"/>
      <c r="E6" s="3734" t="s">
        <v>1917</v>
      </c>
      <c r="F6" s="3735"/>
      <c r="G6" s="3732" t="s">
        <v>1917</v>
      </c>
      <c r="H6" s="3733"/>
      <c r="I6" s="3732" t="s">
        <v>1917</v>
      </c>
      <c r="J6" s="3733"/>
      <c r="K6" s="559" t="s">
        <v>1676</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1677</v>
      </c>
      <c r="B7" s="363"/>
      <c r="C7" s="364">
        <f>'数据-取费表'!B2</f>
        <v>45076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5" t="s">
        <v>1678</v>
      </c>
      <c r="Q7" s="3707"/>
      <c r="R7" s="701" t="s">
        <v>14</v>
      </c>
      <c r="S7" s="702">
        <f t="shared" ref="S7:S15" si="0">F7</f>
        <v>0</v>
      </c>
      <c r="T7" s="701" t="s">
        <v>14</v>
      </c>
      <c r="U7" s="702">
        <f t="shared" ref="U7:U15" si="1">H7</f>
        <v>0</v>
      </c>
      <c r="V7" s="701" t="s">
        <v>14</v>
      </c>
      <c r="W7" s="702">
        <f t="shared" ref="W7:W15" si="2">J7</f>
        <v>0</v>
      </c>
      <c r="X7" s="703"/>
      <c r="Y7" s="3705" t="s">
        <v>1678</v>
      </c>
      <c r="Z7" s="3706"/>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5" t="s">
        <v>1681</v>
      </c>
      <c r="Q8" s="3706"/>
      <c r="R8" s="701" t="s">
        <v>14</v>
      </c>
      <c r="S8" s="702">
        <f t="shared" si="0"/>
        <v>0</v>
      </c>
      <c r="T8" s="701" t="s">
        <v>14</v>
      </c>
      <c r="U8" s="702">
        <f t="shared" si="1"/>
        <v>0</v>
      </c>
      <c r="V8" s="701" t="s">
        <v>14</v>
      </c>
      <c r="W8" s="702">
        <f t="shared" si="2"/>
        <v>0</v>
      </c>
      <c r="X8" s="703"/>
      <c r="Y8" s="3705" t="s">
        <v>1681</v>
      </c>
      <c r="Z8" s="3706"/>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9" t="s">
        <v>1684</v>
      </c>
      <c r="Q9" s="1343" t="str">
        <f t="shared" ref="Q9:Q15" si="6">B9</f>
        <v>用途</v>
      </c>
      <c r="R9" s="701" t="s">
        <v>14</v>
      </c>
      <c r="S9" s="702">
        <f t="shared" si="0"/>
        <v>100</v>
      </c>
      <c r="T9" s="701" t="s">
        <v>14</v>
      </c>
      <c r="U9" s="702">
        <f t="shared" si="1"/>
        <v>100</v>
      </c>
      <c r="V9" s="701" t="s">
        <v>14</v>
      </c>
      <c r="W9" s="702">
        <f t="shared" si="2"/>
        <v>100</v>
      </c>
      <c r="X9" s="703"/>
      <c r="Y9" s="3544"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115</v>
      </c>
      <c r="G10" s="383"/>
      <c r="H10" s="127">
        <f>ROUND(100/'数据-取费表'!G16,0)</f>
        <v>115</v>
      </c>
      <c r="I10" s="383"/>
      <c r="J10" s="127">
        <f>ROUND(100/'数据-取费表'!G16,0)</f>
        <v>115</v>
      </c>
      <c r="K10" s="620"/>
      <c r="L10" s="2719"/>
      <c r="M10" s="2720"/>
      <c r="N10" s="2720"/>
      <c r="O10" s="2773"/>
      <c r="P10" s="3669"/>
      <c r="Q10" s="1343" t="str">
        <f t="shared" si="6"/>
        <v>土地使用年限（年）</v>
      </c>
      <c r="R10" s="701" t="s">
        <v>14</v>
      </c>
      <c r="S10" s="702">
        <f t="shared" si="0"/>
        <v>115</v>
      </c>
      <c r="T10" s="701" t="s">
        <v>14</v>
      </c>
      <c r="U10" s="702">
        <f t="shared" si="1"/>
        <v>115</v>
      </c>
      <c r="V10" s="701" t="s">
        <v>14</v>
      </c>
      <c r="W10" s="702">
        <f t="shared" si="2"/>
        <v>115</v>
      </c>
      <c r="X10" s="703"/>
      <c r="Y10" s="3544"/>
      <c r="Z10" s="52" t="str">
        <f t="shared" si="7"/>
        <v>土地使用年限（年）</v>
      </c>
      <c r="AA10" s="704">
        <f t="shared" si="3"/>
        <v>0.86956521739130432</v>
      </c>
      <c r="AB10" s="704">
        <f t="shared" si="4"/>
        <v>0.86956521739130432</v>
      </c>
      <c r="AC10" s="704">
        <f t="shared" si="5"/>
        <v>0.86956521739130432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1" t="s">
        <v>1689</v>
      </c>
      <c r="Q15" s="1352" t="str">
        <f t="shared" si="6"/>
        <v>产业集聚程度</v>
      </c>
      <c r="R15" s="705" t="s">
        <v>14</v>
      </c>
      <c r="S15" s="706">
        <f t="shared" si="0"/>
        <v>100</v>
      </c>
      <c r="T15" s="705" t="s">
        <v>14</v>
      </c>
      <c r="U15" s="706">
        <f t="shared" si="1"/>
        <v>100</v>
      </c>
      <c r="V15" s="705" t="s">
        <v>14</v>
      </c>
      <c r="W15" s="706">
        <f t="shared" si="2"/>
        <v>100</v>
      </c>
      <c r="X15" s="1355"/>
      <c r="Y15" s="3671"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2"/>
      <c r="Q19" s="1352" t="str">
        <f t="shared" ref="Q19:Q33" si="8">B19</f>
        <v>区域土地利用方向</v>
      </c>
      <c r="R19" s="705" t="s">
        <v>14</v>
      </c>
      <c r="S19" s="706">
        <f>F19</f>
        <v>100</v>
      </c>
      <c r="T19" s="705" t="s">
        <v>14</v>
      </c>
      <c r="U19" s="706">
        <f>H19</f>
        <v>100</v>
      </c>
      <c r="V19" s="705" t="s">
        <v>14</v>
      </c>
      <c r="W19" s="706">
        <f>J19</f>
        <v>100</v>
      </c>
      <c r="X19" s="1355"/>
      <c r="Y19" s="367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2"/>
      <c r="Q20" s="1352"/>
      <c r="R20" s="705"/>
      <c r="S20" s="706"/>
      <c r="T20" s="705"/>
      <c r="U20" s="706"/>
      <c r="V20" s="705"/>
      <c r="W20" s="706"/>
      <c r="X20" s="1355"/>
      <c r="Y20" s="3672"/>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2"/>
      <c r="Q21" s="1352" t="str">
        <f t="shared" si="8"/>
        <v>环境状况</v>
      </c>
      <c r="R21" s="705" t="s">
        <v>14</v>
      </c>
      <c r="S21" s="706">
        <f>F21</f>
        <v>100</v>
      </c>
      <c r="T21" s="705" t="s">
        <v>14</v>
      </c>
      <c r="U21" s="706">
        <f>H21</f>
        <v>100</v>
      </c>
      <c r="V21" s="705" t="s">
        <v>14</v>
      </c>
      <c r="W21" s="706">
        <f>J21</f>
        <v>100</v>
      </c>
      <c r="X21" s="1355"/>
      <c r="Y21" s="367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2"/>
      <c r="Q23" s="1343" t="str">
        <f t="shared" si="8"/>
        <v>公共配套设施</v>
      </c>
      <c r="R23" s="701" t="s">
        <v>14</v>
      </c>
      <c r="S23" s="702">
        <f>F23</f>
        <v>100</v>
      </c>
      <c r="T23" s="701" t="s">
        <v>14</v>
      </c>
      <c r="U23" s="702">
        <f>H23</f>
        <v>100</v>
      </c>
      <c r="V23" s="701" t="s">
        <v>14</v>
      </c>
      <c r="W23" s="702">
        <f>J23</f>
        <v>100</v>
      </c>
      <c r="X23" s="703"/>
      <c r="Y23" s="367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2"/>
      <c r="Q24" s="1343"/>
      <c r="R24" s="701"/>
      <c r="S24" s="702"/>
      <c r="T24" s="701"/>
      <c r="U24" s="702"/>
      <c r="V24" s="701"/>
      <c r="W24" s="702"/>
      <c r="X24" s="703"/>
      <c r="Y24" s="3672"/>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2"/>
      <c r="Q25" s="1343" t="str">
        <f t="shared" ref="Q25" si="9">B25</f>
        <v>基础设施水平</v>
      </c>
      <c r="R25" s="701" t="s">
        <v>14</v>
      </c>
      <c r="S25" s="702">
        <f>F25</f>
        <v>100</v>
      </c>
      <c r="T25" s="701" t="s">
        <v>14</v>
      </c>
      <c r="U25" s="702">
        <f>H25</f>
        <v>100</v>
      </c>
      <c r="V25" s="701" t="s">
        <v>14</v>
      </c>
      <c r="W25" s="702">
        <f>J25</f>
        <v>100</v>
      </c>
      <c r="X25" s="703"/>
      <c r="Y25" s="367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2"/>
      <c r="Q26" s="1343"/>
      <c r="R26" s="701"/>
      <c r="S26" s="702"/>
      <c r="T26" s="701"/>
      <c r="U26" s="702"/>
      <c r="V26" s="701"/>
      <c r="W26" s="702"/>
      <c r="X26" s="703"/>
      <c r="Y26" s="3672"/>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2"/>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2"/>
      <c r="Q28" s="1352" t="str">
        <f t="shared" si="8"/>
        <v>毗邻道路的类型与等级</v>
      </c>
      <c r="R28" s="705" t="s">
        <v>14</v>
      </c>
      <c r="S28" s="706">
        <f t="shared" si="10"/>
        <v>100</v>
      </c>
      <c r="T28" s="705" t="s">
        <v>14</v>
      </c>
      <c r="U28" s="706">
        <f t="shared" si="11"/>
        <v>100</v>
      </c>
      <c r="V28" s="705" t="s">
        <v>14</v>
      </c>
      <c r="W28" s="706">
        <f t="shared" si="12"/>
        <v>100</v>
      </c>
      <c r="X28" s="1355"/>
      <c r="Y28" s="367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2"/>
      <c r="Q29" s="1352"/>
      <c r="R29" s="705"/>
      <c r="S29" s="706"/>
      <c r="T29" s="705"/>
      <c r="U29" s="706"/>
      <c r="V29" s="705"/>
      <c r="W29" s="706"/>
      <c r="X29" s="1355"/>
      <c r="Y29" s="3672"/>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2"/>
      <c r="Q30" s="1352" t="str">
        <f t="shared" si="8"/>
        <v>土地级别</v>
      </c>
      <c r="R30" s="705" t="s">
        <v>14</v>
      </c>
      <c r="S30" s="706">
        <f t="shared" si="10"/>
        <v>100</v>
      </c>
      <c r="T30" s="705" t="s">
        <v>14</v>
      </c>
      <c r="U30" s="706">
        <f t="shared" si="11"/>
        <v>100</v>
      </c>
      <c r="V30" s="705" t="s">
        <v>14</v>
      </c>
      <c r="W30" s="706">
        <f t="shared" si="12"/>
        <v>100</v>
      </c>
      <c r="X30" s="1355"/>
      <c r="Y30" s="367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2"/>
      <c r="Q31" s="1352">
        <f t="shared" si="8"/>
        <v>111</v>
      </c>
      <c r="R31" s="705" t="s">
        <v>14</v>
      </c>
      <c r="S31" s="706">
        <f t="shared" si="10"/>
        <v>100</v>
      </c>
      <c r="T31" s="705" t="s">
        <v>14</v>
      </c>
      <c r="U31" s="706">
        <f t="shared" si="11"/>
        <v>100</v>
      </c>
      <c r="V31" s="705" t="s">
        <v>14</v>
      </c>
      <c r="W31" s="706">
        <f t="shared" si="12"/>
        <v>100</v>
      </c>
      <c r="X31" s="1355"/>
      <c r="Y31" s="367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1694</v>
      </c>
      <c r="Q32" s="1352">
        <f t="shared" si="8"/>
        <v>111</v>
      </c>
      <c r="R32" s="705" t="s">
        <v>14</v>
      </c>
      <c r="S32" s="706">
        <f t="shared" si="10"/>
        <v>100</v>
      </c>
      <c r="T32" s="705" t="s">
        <v>14</v>
      </c>
      <c r="U32" s="706">
        <f t="shared" si="11"/>
        <v>100</v>
      </c>
      <c r="V32" s="705" t="s">
        <v>14</v>
      </c>
      <c r="W32" s="706">
        <f t="shared" si="12"/>
        <v>100</v>
      </c>
      <c r="X32" s="1355"/>
      <c r="Y32" s="3676"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6" t="s">
        <v>1694</v>
      </c>
      <c r="Q37" s="1352" t="str">
        <f t="shared" si="14"/>
        <v>工程地质条件</v>
      </c>
      <c r="R37" s="705" t="s">
        <v>14</v>
      </c>
      <c r="S37" s="706">
        <f t="shared" si="10"/>
        <v>100</v>
      </c>
      <c r="T37" s="705" t="s">
        <v>14</v>
      </c>
      <c r="U37" s="706">
        <f t="shared" si="11"/>
        <v>100</v>
      </c>
      <c r="V37" s="705" t="s">
        <v>14</v>
      </c>
      <c r="W37" s="706">
        <f t="shared" si="12"/>
        <v>100</v>
      </c>
      <c r="X37" s="1355"/>
      <c r="Y37" s="3676"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4"/>
      <c r="M41" s="2716"/>
      <c r="N41" s="2716"/>
      <c r="O41" s="2725"/>
      <c r="P41" s="3669" t="str">
        <f>A41</f>
        <v>成交单价</v>
      </c>
      <c r="Q41" s="3669"/>
      <c r="R41" s="3700">
        <f>E41</f>
        <v>0</v>
      </c>
      <c r="S41" s="3700"/>
      <c r="T41" s="3700">
        <f>G41</f>
        <v>0</v>
      </c>
      <c r="U41" s="3700"/>
      <c r="V41" s="3700">
        <f>I41</f>
        <v>0</v>
      </c>
      <c r="W41" s="3700"/>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4"/>
      <c r="M42" s="2716"/>
      <c r="N42" s="2716"/>
      <c r="O42" s="2725"/>
      <c r="P42" s="3669" t="str">
        <f>A42</f>
        <v>比较价值（元/平方米）</v>
      </c>
      <c r="Q42" s="3669"/>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4"/>
      <c r="M43" s="2716"/>
      <c r="N43" s="2716"/>
      <c r="O43" s="2725"/>
      <c r="P43" s="3666" t="str">
        <f>A43</f>
        <v>估价对象XX用房的比较价值（楼面单价，元/平方米）</v>
      </c>
      <c r="Q43" s="3667"/>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1879</v>
      </c>
      <c r="B50" s="633" t="s">
        <v>1880</v>
      </c>
      <c r="C50" s="1983" t="s">
        <v>1881</v>
      </c>
      <c r="D50" s="1984" t="s">
        <v>1882</v>
      </c>
      <c r="E50" s="634" t="s">
        <v>1883</v>
      </c>
      <c r="F50" s="635" t="s">
        <v>1884</v>
      </c>
      <c r="G50" s="3684" t="s">
        <v>1885</v>
      </c>
      <c r="H50" s="3731"/>
      <c r="I50" s="1356" t="s">
        <v>1921</v>
      </c>
      <c r="J50" s="1356">
        <f>项目基本情况!F35</f>
        <v>0</v>
      </c>
      <c r="K50" s="1986" t="s">
        <v>1887</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1888</v>
      </c>
      <c r="B51" s="637" t="e">
        <f>C43</f>
        <v>#DIV/0!</v>
      </c>
      <c r="C51" s="638">
        <v>1</v>
      </c>
      <c r="D51" s="944">
        <v>1</v>
      </c>
      <c r="E51" s="638">
        <f>'数据-汇总表'!E8+'数据-汇总表'!E9</f>
        <v>88.45</v>
      </c>
      <c r="F51" s="639" t="e">
        <f t="shared" ref="F51:F60" si="15">ROUND(B51*E51/10000,0)</f>
        <v>#DIV/0!</v>
      </c>
      <c r="G51" s="3680"/>
      <c r="H51" s="366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1889</v>
      </c>
      <c r="B52" s="218" t="e">
        <f>ROUND($C$43*C52*D52,0)</f>
        <v>#DIV/0!</v>
      </c>
      <c r="C52" s="171">
        <f t="shared" ref="C52:C60" si="16">IF($C$50="北京市系数",I52,J52)</f>
        <v>0</v>
      </c>
      <c r="D52" s="945">
        <v>0.25</v>
      </c>
      <c r="E52" s="642"/>
      <c r="F52" s="639" t="e">
        <f t="shared" si="15"/>
        <v>#DIV/0!</v>
      </c>
      <c r="G52" s="3006" t="s">
        <v>1890</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1891</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1892</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1796</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1714</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1679</v>
      </c>
      <c r="B68" s="459"/>
      <c r="C68" s="471" t="s">
        <v>1774</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1717</v>
      </c>
      <c r="B70" s="477" t="s">
        <v>1683</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1686</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1688</v>
      </c>
      <c r="B83" s="477" t="s">
        <v>1827</v>
      </c>
      <c r="C83" s="522" t="s">
        <v>1719</v>
      </c>
      <c r="D83" s="522" t="s">
        <v>1720</v>
      </c>
      <c r="E83" s="522" t="s">
        <v>1721</v>
      </c>
      <c r="F83" s="522" t="s">
        <v>1722</v>
      </c>
      <c r="G83" s="522" t="s">
        <v>1723</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1724</v>
      </c>
      <c r="C85" s="527" t="s">
        <v>1719</v>
      </c>
      <c r="D85" s="527" t="s">
        <v>1720</v>
      </c>
      <c r="E85" s="527" t="s">
        <v>1721</v>
      </c>
      <c r="F85" s="527" t="s">
        <v>1722</v>
      </c>
      <c r="G85" s="527" t="s">
        <v>1723</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1813</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1871</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1912</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1914</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1915</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39" t="s">
        <v>2082</v>
      </c>
      <c r="D1" s="3740"/>
      <c r="E1" s="3740"/>
      <c r="F1" s="3740"/>
      <c r="G1" s="3740"/>
      <c r="H1" s="3740"/>
      <c r="I1" s="3740"/>
      <c r="J1" s="3740"/>
      <c r="K1" s="3740"/>
      <c r="L1" s="3740"/>
      <c r="M1" s="3740"/>
      <c r="N1" s="3740"/>
      <c r="O1" s="3740"/>
      <c r="P1" s="3740"/>
      <c r="Q1" s="3740"/>
      <c r="R1" s="3740"/>
      <c r="S1" s="3741"/>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3"/>
      <c r="G1" s="2793"/>
      <c r="H1" s="2793"/>
      <c r="I1" s="2793"/>
      <c r="J1" s="2793"/>
      <c r="K1" s="2793"/>
      <c r="L1" s="2793"/>
      <c r="M1" s="2793"/>
      <c r="N1" s="2793"/>
      <c r="O1" s="2793"/>
      <c r="P1" s="2793"/>
    </row>
    <row r="2" spans="1:16" ht="15.75">
      <c r="A2" s="2145" t="s">
        <v>2071</v>
      </c>
      <c r="B2" s="2602" t="e">
        <f ca="1">SUMIF(B6:B13,"&lt;&gt;#ref!",B6:B13)</f>
        <v>#DIV/0!</v>
      </c>
      <c r="C2" s="2145" t="s">
        <v>2072</v>
      </c>
      <c r="D2" s="2145" t="s">
        <v>2073</v>
      </c>
      <c r="E2" s="2612">
        <f ca="1">SUMIF(E6:E13,"&lt;&gt;#ref!",E6:E13)</f>
        <v>0</v>
      </c>
      <c r="F2" s="2793"/>
      <c r="G2" s="2793"/>
      <c r="H2" s="2793"/>
      <c r="I2" s="2793"/>
      <c r="J2" s="2793"/>
      <c r="K2" s="2793"/>
      <c r="L2" s="2793"/>
      <c r="M2" s="2793"/>
      <c r="N2" s="2793"/>
      <c r="O2" s="2793"/>
      <c r="P2" s="2793"/>
    </row>
    <row r="3" spans="1:16" ht="15.75">
      <c r="A3" s="2145" t="s">
        <v>2074</v>
      </c>
      <c r="B3" s="2602" t="e">
        <f ca="1">ROUND(B2*10000/E2,0)</f>
        <v>#DIV/0!</v>
      </c>
      <c r="C3" s="2145" t="s">
        <v>2080</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2075</v>
      </c>
      <c r="B5" s="2610" t="s">
        <v>2076</v>
      </c>
      <c r="C5" s="2146"/>
      <c r="D5" s="2793"/>
      <c r="E5" s="2611" t="s">
        <v>2077</v>
      </c>
      <c r="F5" s="2793"/>
      <c r="G5" s="2793"/>
      <c r="H5" s="2793"/>
      <c r="I5" s="2793"/>
      <c r="J5" s="2793"/>
      <c r="K5" s="2793"/>
      <c r="L5" s="2793"/>
      <c r="M5" s="2793"/>
      <c r="N5" s="2793"/>
      <c r="O5" s="2793"/>
      <c r="P5" s="2793"/>
    </row>
    <row r="6" spans="1:16" ht="15.75">
      <c r="A6" s="2609" t="s">
        <v>2078</v>
      </c>
      <c r="B6" s="2602" t="e">
        <f ca="1">SUMIF(INDIRECT("'"&amp;A6&amp;"'"&amp;"!A:A"),"总价",INDIRECT("'"&amp;A6&amp;"'"&amp;"!B:B"))</f>
        <v>#DIV/0!</v>
      </c>
      <c r="C6" s="2145" t="s">
        <v>2072</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2072</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2072</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2072</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2072</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2072</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2072</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2072</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U2" sqref="U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22" t="s">
        <v>671</v>
      </c>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v>1562.8</v>
      </c>
      <c r="V2" s="3361"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20" t="s">
        <v>2450</v>
      </c>
      <c r="F3" s="2004" t="s">
        <v>3390</v>
      </c>
      <c r="G3" s="752">
        <f>IF(F3="宗地容积率",'数据-汇总表'!I4,IF(F3="估价对象容积率",'数据-汇总表'!I6,'数据-汇总表'!I7))</f>
        <v>0</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f>U2</f>
        <v>1562.8</v>
      </c>
      <c r="V3" s="3361" t="e">
        <f t="shared" ref="V3:V16" si="1">ROUND(T3*U3/10000,0)</f>
        <v>#DIV/0!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v>1562.79</v>
      </c>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3242</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1953</v>
      </c>
      <c r="X7" s="1214">
        <f>G2</f>
        <v>0</v>
      </c>
      <c r="Y7" s="1214" t="s">
        <v>1954</v>
      </c>
      <c r="Z7" s="1215">
        <f>G3</f>
        <v>0</v>
      </c>
      <c r="AA7" s="1216"/>
      <c r="AB7" s="1216"/>
      <c r="AC7" s="1217"/>
      <c r="AD7" s="1218"/>
      <c r="AE7" s="1218"/>
      <c r="AF7" s="1218"/>
      <c r="AG7" s="1218"/>
      <c r="AH7" s="1218"/>
      <c r="AI7" s="1218"/>
      <c r="AJ7" s="1219"/>
    </row>
    <row r="8" spans="1:36" ht="25.5">
      <c r="A8" s="3299"/>
      <c r="B8" s="170" t="s">
        <v>1955</v>
      </c>
      <c r="C8" s="2026" t="s">
        <v>3401</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6" t="s">
        <v>1958</v>
      </c>
      <c r="X8" s="3747"/>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9"/>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8"/>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1980</v>
      </c>
      <c r="C13" s="755">
        <f>ROUND(C16*D16*E16*F16*G16*H16*I16*J16,4)</f>
        <v>0</v>
      </c>
      <c r="D13" s="2035" t="s">
        <v>1981</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1983</v>
      </c>
      <c r="C14" s="2041" t="s">
        <v>1984</v>
      </c>
      <c r="D14" s="1350" t="s">
        <v>1985</v>
      </c>
      <c r="E14" s="27" t="s">
        <v>1986</v>
      </c>
      <c r="F14" s="3312" t="s">
        <v>3248</v>
      </c>
      <c r="G14" s="3312" t="s">
        <v>3248</v>
      </c>
      <c r="H14" s="3312" t="s">
        <v>3248</v>
      </c>
      <c r="I14" s="3312" t="s">
        <v>3248</v>
      </c>
      <c r="J14" s="3312" t="s">
        <v>3248</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1987</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3259</v>
      </c>
      <c r="B20" s="167" t="s">
        <v>1992</v>
      </c>
      <c r="C20" s="3325" t="e">
        <f>ROUND(IF(F21="与级别开发程度一致",0,(G21-E21)/C21),0)</f>
        <v>#DIV/0!</v>
      </c>
      <c r="D20" s="3341" t="s">
        <v>1996</v>
      </c>
      <c r="E20" s="3342"/>
      <c r="F20" s="3759" t="s">
        <v>1993</v>
      </c>
      <c r="G20" s="3760"/>
      <c r="H20" s="3326" t="s">
        <v>3394</v>
      </c>
      <c r="I20" s="3326" t="s">
        <v>3395</v>
      </c>
      <c r="J20" s="3327" t="s">
        <v>3396</v>
      </c>
      <c r="K20" s="2047" t="s">
        <v>3397</v>
      </c>
      <c r="L20" s="2047" t="s">
        <v>3398</v>
      </c>
      <c r="M20" s="2047" t="s">
        <v>3399</v>
      </c>
      <c r="N20" s="2047" t="s">
        <v>3400</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3393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1998</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2000</v>
      </c>
      <c r="E23" s="761">
        <v>44197</v>
      </c>
      <c r="F23" s="2054" t="s">
        <v>2001</v>
      </c>
      <c r="G23" s="762">
        <f>'数据-取费表'!B2</f>
        <v>45076</v>
      </c>
      <c r="H23" s="3343" t="s">
        <v>3260</v>
      </c>
      <c r="I23" s="3344" t="str">
        <f>IF(H23="季度增幅（自定义）",SUMIF(N25:N28,E2,O25:O28),"")</f>
        <v/>
      </c>
      <c r="J23" s="3446" t="s">
        <v>3392</v>
      </c>
      <c r="K23" s="1125"/>
      <c r="L23" s="2055" t="s">
        <v>2002</v>
      </c>
      <c r="M23" s="1328">
        <f>ROUND(SUMIF(地价!B2:G2,E2,地价!B16:G16),0)</f>
        <v>350</v>
      </c>
      <c r="N23" s="2056" t="s">
        <v>2003</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0.88190000000000002</v>
      </c>
      <c r="D24" s="2060" t="s">
        <v>2005</v>
      </c>
      <c r="E24" s="1335">
        <f>存贷款利率!E22/100</f>
        <v>4.3499999999999997E-2</v>
      </c>
      <c r="F24" s="2060" t="s">
        <v>1997</v>
      </c>
      <c r="G24" s="768">
        <f>SUMIF(M30:Q30,E2,M33:Q33)</f>
        <v>5.5E-2</v>
      </c>
      <c r="H24" s="2060" t="s">
        <v>2006</v>
      </c>
      <c r="I24" s="769">
        <f>SUMIF('数据-取费表'!C6:C15,E2,'数据-取费表'!F6:F15)/COUNTIF('数据-取费表'!C6:C15,E2)</f>
        <v>28.14</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3391</v>
      </c>
      <c r="C25" s="771">
        <f>IF(B25="容积率修正",IF(G3&lt;10,D26,J26),C27)</f>
        <v>0</v>
      </c>
      <c r="D25" s="2067"/>
      <c r="E25" s="2067"/>
      <c r="F25" s="2067"/>
      <c r="G25" s="2067"/>
      <c r="H25" s="2067"/>
      <c r="I25" s="2067"/>
      <c r="J25" s="2068"/>
      <c r="K25" s="1125"/>
      <c r="L25" s="2788"/>
      <c r="M25" s="2788"/>
      <c r="N25" s="2069" t="s">
        <v>2011</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0.97650000000000003</v>
      </c>
      <c r="D28" s="2052"/>
      <c r="E28" s="2077"/>
      <c r="F28" s="2077"/>
      <c r="G28" s="2077"/>
      <c r="H28" s="2077"/>
      <c r="I28" s="2077"/>
      <c r="J28" s="2078"/>
      <c r="K28" s="1125"/>
      <c r="L28" s="2788"/>
      <c r="M28" s="2788"/>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5" t="s">
        <v>2021</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51" t="s">
        <v>1934</v>
      </c>
      <c r="M30" s="3352" t="s">
        <v>1988</v>
      </c>
      <c r="N30" s="3352" t="s">
        <v>1989</v>
      </c>
      <c r="O30" s="3352" t="s">
        <v>1990</v>
      </c>
      <c r="P30" s="3352" t="s">
        <v>1991</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53" t="s">
        <v>1994</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4" t="s">
        <v>1997</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7" t="s">
        <v>3265</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2034</v>
      </c>
      <c r="C37" s="175" t="e">
        <f>ROUND(D5*C22*C23*C24*C28*F37,0)</f>
        <v>#DIV/0!</v>
      </c>
      <c r="D37" s="2098">
        <f>'数据-基础表'!K14</f>
        <v>0</v>
      </c>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0.83579999999999999</v>
      </c>
      <c r="D44" s="171" t="s">
        <v>1997</v>
      </c>
      <c r="E44" s="2153">
        <f>G24</f>
        <v>5.5E-2</v>
      </c>
      <c r="F44" s="171" t="s">
        <v>2006</v>
      </c>
      <c r="G44" s="183">
        <f>I24</f>
        <v>28.14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0.97650000000000003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30" t="s">
        <v>2050</v>
      </c>
      <c r="B50" s="2133" t="str">
        <f>估价对象房地状况!C4</f>
        <v>估价对象位于XX商圈，周边商业氛围成熟，人流量大，商业繁华度好</v>
      </c>
      <c r="C50" s="2044" t="s">
        <v>3402</v>
      </c>
      <c r="D50" s="1065">
        <f t="shared" ref="D50:D58" si="7">SUMIF($J$49:$N$49,C50,J50:N50)</f>
        <v>-1.8599999999999998E-2</v>
      </c>
      <c r="E50" s="744">
        <f>ROUND(SUM(D50:D58),4)</f>
        <v>-2.35E-2</v>
      </c>
      <c r="F50" s="1814">
        <f>IF(E2="商业",SUMIF(L1:L12,G2,N1:N12),"——")</f>
        <v>0</v>
      </c>
      <c r="G50" s="3452">
        <v>1.8599999999999998E-2</v>
      </c>
      <c r="H50" s="1066">
        <f t="shared" ref="H50:H58" si="8">IFERROR(ROUNDDOWN($F$50*I50/2,4),"——")</f>
        <v>0</v>
      </c>
      <c r="I50" s="3367">
        <v>0.3</v>
      </c>
      <c r="J50" s="1064">
        <f t="shared" ref="J50:J58" si="9">K50+$G50</f>
        <v>3.7199999999999997E-2</v>
      </c>
      <c r="K50" s="1064">
        <f t="shared" ref="K50:K58" si="10">$L50+$G50</f>
        <v>1.8599999999999998E-2</v>
      </c>
      <c r="L50" s="1064">
        <v>0</v>
      </c>
      <c r="M50" s="1064">
        <f t="shared" ref="M50:N58" si="11">L50-$G50</f>
        <v>-1.8599999999999998E-2</v>
      </c>
      <c r="N50" s="1064">
        <f t="shared" si="11"/>
        <v>-3.7199999999999997E-2</v>
      </c>
      <c r="AA50" s="1120"/>
      <c r="AB50" s="1120"/>
      <c r="AC50" s="1120"/>
      <c r="AD50" s="1120"/>
      <c r="AE50" s="1120"/>
      <c r="AF50" s="1120"/>
      <c r="AG50" s="1120"/>
      <c r="AH50" s="1120"/>
      <c r="AI50" s="1120"/>
      <c r="AJ50" s="1120"/>
      <c r="AK50" s="1120"/>
    </row>
    <row r="51" spans="1:37" s="1119" customFormat="1" ht="38.25">
      <c r="A51" s="2130" t="s">
        <v>2051</v>
      </c>
      <c r="B51" s="2134" t="str">
        <f>估价对象房地状况!C18</f>
        <v>估价对象周边道路状况、公共交通通达情况、停车便捷程度，综合评价交通便捷度较好</v>
      </c>
      <c r="C51" s="2044" t="s">
        <v>3403</v>
      </c>
      <c r="D51" s="1065">
        <f t="shared" si="7"/>
        <v>0</v>
      </c>
      <c r="E51" s="745"/>
      <c r="F51" s="1814"/>
      <c r="G51" s="3452">
        <v>1.3599999999999999E-2</v>
      </c>
      <c r="H51" s="1066">
        <f t="shared" si="8"/>
        <v>0</v>
      </c>
      <c r="I51" s="3367">
        <v>0.22</v>
      </c>
      <c r="J51" s="1064">
        <f t="shared" si="9"/>
        <v>2.7199999999999998E-2</v>
      </c>
      <c r="K51" s="1064">
        <f t="shared" si="10"/>
        <v>1.3599999999999999E-2</v>
      </c>
      <c r="L51" s="1064">
        <v>0</v>
      </c>
      <c r="M51" s="1064">
        <f t="shared" si="11"/>
        <v>-1.3599999999999999E-2</v>
      </c>
      <c r="N51" s="1064">
        <f t="shared" si="11"/>
        <v>-2.7199999999999998E-2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3403</v>
      </c>
      <c r="D52" s="1065">
        <f t="shared" si="7"/>
        <v>0</v>
      </c>
      <c r="E52" s="745"/>
      <c r="F52" s="1814"/>
      <c r="G52" s="3452">
        <v>7.4000000000000003E-3</v>
      </c>
      <c r="H52" s="1066">
        <f t="shared" si="8"/>
        <v>0</v>
      </c>
      <c r="I52" s="3367">
        <v>0.12</v>
      </c>
      <c r="J52" s="1064">
        <f t="shared" si="9"/>
        <v>1.4800000000000001E-2</v>
      </c>
      <c r="K52" s="1064">
        <f t="shared" si="10"/>
        <v>7.4000000000000003E-3</v>
      </c>
      <c r="L52" s="1064">
        <v>0</v>
      </c>
      <c r="M52" s="1064">
        <f t="shared" si="11"/>
        <v>-7.4000000000000003E-3</v>
      </c>
      <c r="N52" s="1064">
        <f t="shared" si="11"/>
        <v>-1.4800000000000001E-2</v>
      </c>
      <c r="AA52" s="1120"/>
      <c r="AB52" s="1120"/>
      <c r="AC52" s="1120"/>
      <c r="AD52" s="1120"/>
      <c r="AE52" s="1120"/>
      <c r="AF52" s="1120"/>
      <c r="AG52" s="1120"/>
      <c r="AH52" s="1120"/>
      <c r="AI52" s="1120"/>
      <c r="AJ52" s="1120"/>
      <c r="AK52" s="1120"/>
    </row>
    <row r="53" spans="1:37" s="1119" customFormat="1" ht="36.75">
      <c r="A53" s="2130" t="s">
        <v>2052</v>
      </c>
      <c r="B53" s="2135" t="s">
        <v>2053</v>
      </c>
      <c r="C53" s="2044" t="s">
        <v>3403</v>
      </c>
      <c r="D53" s="1065">
        <f t="shared" si="7"/>
        <v>0</v>
      </c>
      <c r="E53" s="745"/>
      <c r="F53" s="1814"/>
      <c r="G53" s="3452">
        <v>3.0999999999999999E-3</v>
      </c>
      <c r="H53" s="1066">
        <f t="shared" si="8"/>
        <v>0</v>
      </c>
      <c r="I53" s="3367">
        <v>0.05</v>
      </c>
      <c r="J53" s="1064">
        <f t="shared" si="9"/>
        <v>6.1999999999999998E-3</v>
      </c>
      <c r="K53" s="1064">
        <f t="shared" si="10"/>
        <v>3.0999999999999999E-3</v>
      </c>
      <c r="L53" s="1064">
        <v>0</v>
      </c>
      <c r="M53" s="1064">
        <f t="shared" si="11"/>
        <v>-3.0999999999999999E-3</v>
      </c>
      <c r="N53" s="1064">
        <f t="shared" si="11"/>
        <v>-6.1999999999999998E-3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3402</v>
      </c>
      <c r="D54" s="1065">
        <f t="shared" si="7"/>
        <v>-4.8999999999999998E-3</v>
      </c>
      <c r="E54" s="745"/>
      <c r="F54" s="1814"/>
      <c r="G54" s="3452">
        <v>4.8999999999999998E-3</v>
      </c>
      <c r="H54" s="1066">
        <f t="shared" si="8"/>
        <v>0</v>
      </c>
      <c r="I54" s="3367">
        <v>0.08</v>
      </c>
      <c r="J54" s="1064">
        <f t="shared" si="9"/>
        <v>9.7999999999999997E-3</v>
      </c>
      <c r="K54" s="1064">
        <f t="shared" si="10"/>
        <v>4.8999999999999998E-3</v>
      </c>
      <c r="L54" s="1064">
        <v>0</v>
      </c>
      <c r="M54" s="1064">
        <f t="shared" si="11"/>
        <v>-4.8999999999999998E-3</v>
      </c>
      <c r="N54" s="1064">
        <f t="shared" si="11"/>
        <v>-9.7999999999999997E-3</v>
      </c>
      <c r="AA54" s="1120"/>
      <c r="AB54" s="1120"/>
      <c r="AC54" s="1120"/>
      <c r="AD54" s="1120"/>
      <c r="AE54" s="1120"/>
      <c r="AF54" s="1120"/>
      <c r="AG54" s="1120"/>
      <c r="AH54" s="1120"/>
      <c r="AI54" s="1120"/>
      <c r="AJ54" s="1120"/>
      <c r="AK54" s="1120"/>
    </row>
    <row r="55" spans="1:37" s="1119" customFormat="1" ht="24">
      <c r="A55" s="2130" t="s">
        <v>2055</v>
      </c>
      <c r="B55" s="2136" t="s">
        <v>2056</v>
      </c>
      <c r="C55" s="2044" t="s">
        <v>3403</v>
      </c>
      <c r="D55" s="1065">
        <f t="shared" si="7"/>
        <v>0</v>
      </c>
      <c r="E55" s="745"/>
      <c r="F55" s="1814"/>
      <c r="G55" s="3452">
        <v>3.0999999999999999E-3</v>
      </c>
      <c r="H55" s="1066">
        <f t="shared" si="8"/>
        <v>0</v>
      </c>
      <c r="I55" s="3367">
        <v>0.05</v>
      </c>
      <c r="J55" s="1064">
        <f t="shared" si="9"/>
        <v>6.1999999999999998E-3</v>
      </c>
      <c r="K55" s="1064">
        <f t="shared" si="10"/>
        <v>3.0999999999999999E-3</v>
      </c>
      <c r="L55" s="1064">
        <v>0</v>
      </c>
      <c r="M55" s="1064">
        <f t="shared" si="11"/>
        <v>-3.0999999999999999E-3</v>
      </c>
      <c r="N55" s="1064">
        <f t="shared" si="11"/>
        <v>-6.1999999999999998E-3</v>
      </c>
      <c r="AA55" s="1120"/>
      <c r="AB55" s="1120"/>
      <c r="AC55" s="1120"/>
      <c r="AD55" s="1120"/>
      <c r="AE55" s="1120"/>
      <c r="AF55" s="1120"/>
      <c r="AG55" s="1120"/>
      <c r="AH55" s="1120"/>
      <c r="AI55" s="1120"/>
      <c r="AJ55" s="1120"/>
      <c r="AK55" s="1120"/>
    </row>
    <row r="56" spans="1:37" s="1119" customFormat="1" ht="25.5">
      <c r="A56" s="2137" t="s">
        <v>2057</v>
      </c>
      <c r="B56" s="1326" t="str">
        <f>估价对象房地状况!C21</f>
        <v>估价对象所在区域公共配套设施齐备情况</v>
      </c>
      <c r="C56" s="2044" t="s">
        <v>3403</v>
      </c>
      <c r="D56" s="1065">
        <f t="shared" si="7"/>
        <v>0</v>
      </c>
      <c r="E56" s="745"/>
      <c r="F56" s="1814"/>
      <c r="G56" s="3452">
        <v>3.0999999999999999E-3</v>
      </c>
      <c r="H56" s="1066">
        <f t="shared" si="8"/>
        <v>0</v>
      </c>
      <c r="I56" s="3367">
        <v>0.05</v>
      </c>
      <c r="J56" s="1064">
        <f t="shared" si="9"/>
        <v>6.1999999999999998E-3</v>
      </c>
      <c r="K56" s="1064">
        <f t="shared" si="10"/>
        <v>3.0999999999999999E-3</v>
      </c>
      <c r="L56" s="1064">
        <v>0</v>
      </c>
      <c r="M56" s="1064">
        <f t="shared" si="11"/>
        <v>-3.0999999999999999E-3</v>
      </c>
      <c r="N56" s="1064">
        <f t="shared" si="11"/>
        <v>-6.1999999999999998E-3</v>
      </c>
      <c r="AA56" s="1120"/>
      <c r="AB56" s="1120"/>
      <c r="AC56" s="1120"/>
      <c r="AD56" s="1120"/>
      <c r="AE56" s="1120"/>
      <c r="AF56" s="1120"/>
      <c r="AG56" s="1120"/>
      <c r="AH56" s="1120"/>
      <c r="AI56" s="1120"/>
      <c r="AJ56" s="1120"/>
      <c r="AK56" s="1120"/>
    </row>
    <row r="57" spans="1:37" s="1119" customFormat="1" ht="25.5">
      <c r="A57" s="2137" t="s">
        <v>2058</v>
      </c>
      <c r="B57" s="2134" t="str">
        <f>估价对象房地状况!C22</f>
        <v>估价对象所在区域基础设施水平</v>
      </c>
      <c r="C57" s="2044" t="s">
        <v>3403</v>
      </c>
      <c r="D57" s="1065">
        <f t="shared" si="7"/>
        <v>0</v>
      </c>
      <c r="E57" s="745"/>
      <c r="F57" s="1814"/>
      <c r="G57" s="3452">
        <v>4.8999999999999998E-3</v>
      </c>
      <c r="H57" s="1066">
        <f t="shared" si="8"/>
        <v>0</v>
      </c>
      <c r="I57" s="3367">
        <v>0.08</v>
      </c>
      <c r="J57" s="1064">
        <f t="shared" si="9"/>
        <v>9.7999999999999997E-3</v>
      </c>
      <c r="K57" s="1064">
        <f t="shared" si="10"/>
        <v>4.8999999999999998E-3</v>
      </c>
      <c r="L57" s="1064">
        <v>0</v>
      </c>
      <c r="M57" s="1064">
        <f t="shared" si="11"/>
        <v>-4.8999999999999998E-3</v>
      </c>
      <c r="N57" s="1064">
        <f t="shared" si="11"/>
        <v>-9.7999999999999997E-3</v>
      </c>
      <c r="AA57" s="1120"/>
      <c r="AB57" s="1120"/>
      <c r="AC57" s="1120"/>
      <c r="AD57" s="1120"/>
      <c r="AE57" s="1120"/>
      <c r="AF57" s="1120"/>
      <c r="AG57" s="1120"/>
      <c r="AH57" s="1120"/>
      <c r="AI57" s="1120"/>
      <c r="AJ57" s="1120"/>
      <c r="AK57" s="1120"/>
    </row>
    <row r="58" spans="1:37" s="1119" customFormat="1" ht="26.25" thickBot="1">
      <c r="A58" s="2138" t="s">
        <v>2059</v>
      </c>
      <c r="B58" s="2139" t="str">
        <f>估价对象房地状况!C20</f>
        <v>区域自然环境：；人文环境；综合评价环境状况一般</v>
      </c>
      <c r="C58" s="2044" t="s">
        <v>3403</v>
      </c>
      <c r="D58" s="1065">
        <f t="shared" si="7"/>
        <v>0</v>
      </c>
      <c r="E58" s="746"/>
      <c r="F58" s="1814"/>
      <c r="G58" s="3452">
        <v>3.0999999999999999E-3</v>
      </c>
      <c r="H58" s="1066">
        <f t="shared" si="8"/>
        <v>0</v>
      </c>
      <c r="I58" s="3368">
        <v>0.05</v>
      </c>
      <c r="J58" s="1064">
        <f t="shared" si="9"/>
        <v>6.1999999999999998E-3</v>
      </c>
      <c r="K58" s="1064">
        <f t="shared" si="10"/>
        <v>3.0999999999999999E-3</v>
      </c>
      <c r="L58" s="1064">
        <v>0</v>
      </c>
      <c r="M58" s="1064">
        <f t="shared" si="11"/>
        <v>-3.0999999999999999E-3</v>
      </c>
      <c r="N58" s="1064">
        <f t="shared" si="11"/>
        <v>-6.1999999999999998E-3</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2057</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2057</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2058</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2059</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2613</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3298</v>
      </c>
      <c r="B103" s="3755"/>
      <c r="C103" s="3755"/>
      <c r="D103" s="3755"/>
      <c r="E103" s="3755"/>
      <c r="F103" s="3755"/>
      <c r="G103" s="3755"/>
      <c r="H103" s="3755"/>
      <c r="I103" s="3755"/>
      <c r="J103" s="3755"/>
      <c r="K103" s="3390"/>
      <c r="L103" s="3390"/>
      <c r="M103" s="3390"/>
      <c r="N103" s="3390"/>
    </row>
    <row r="104" spans="1:14">
      <c r="A104" s="3756" t="s">
        <v>3299</v>
      </c>
      <c r="B104" s="3756" t="s">
        <v>3300</v>
      </c>
      <c r="C104" s="3391" t="s">
        <v>3301</v>
      </c>
      <c r="D104" s="3392"/>
      <c r="E104" s="3392"/>
      <c r="F104" s="3392"/>
      <c r="G104" s="3392"/>
      <c r="H104" s="3392"/>
      <c r="I104" s="3392"/>
      <c r="J104" s="3393"/>
      <c r="K104" s="3394"/>
      <c r="L104" s="3394"/>
      <c r="M104" s="3394"/>
      <c r="N104" s="3394"/>
    </row>
    <row r="105" spans="1:14">
      <c r="A105" s="3756"/>
      <c r="B105" s="3756"/>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2"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5" t="s">
        <v>3315</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t="str">
        <f>E2</f>
        <v>商业</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50:G58">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770" t="s">
        <v>2608</v>
      </c>
      <c r="B20" s="3765" t="s">
        <v>2629</v>
      </c>
      <c r="C20" s="3103" t="s">
        <v>2440</v>
      </c>
      <c r="D20" s="3104"/>
      <c r="E20" s="3105">
        <v>1</v>
      </c>
      <c r="F20" s="3106" t="s">
        <v>2441</v>
      </c>
      <c r="G20" s="3106"/>
    </row>
    <row r="21" spans="1:13" ht="19.5" customHeight="1">
      <c r="A21" s="3771"/>
      <c r="B21" s="3764"/>
      <c r="C21" s="3107" t="s">
        <v>2442</v>
      </c>
      <c r="D21" s="3108"/>
      <c r="E21" s="3109">
        <v>1</v>
      </c>
      <c r="F21" s="3106" t="s">
        <v>2443</v>
      </c>
      <c r="G21" s="3106"/>
    </row>
    <row r="22" spans="1:13" ht="19.5" customHeight="1">
      <c r="A22" s="3771"/>
      <c r="B22" s="3764"/>
      <c r="C22" s="3107" t="s">
        <v>2444</v>
      </c>
      <c r="D22" s="3108"/>
      <c r="E22" s="3109">
        <v>0.9</v>
      </c>
      <c r="F22" s="3106" t="s">
        <v>2445</v>
      </c>
      <c r="G22" s="3106"/>
    </row>
    <row r="23" spans="1:13" ht="19.5" customHeight="1">
      <c r="A23" s="3771"/>
      <c r="B23" s="3764"/>
      <c r="C23" s="3107" t="s">
        <v>2446</v>
      </c>
      <c r="D23" s="3108"/>
      <c r="E23" s="3109">
        <v>0.9</v>
      </c>
      <c r="F23" s="3106" t="s">
        <v>2447</v>
      </c>
      <c r="G23" s="3106"/>
    </row>
    <row r="24" spans="1:13" ht="19.5" customHeight="1">
      <c r="A24" s="3771"/>
      <c r="B24" s="3764"/>
      <c r="C24" s="3107" t="s">
        <v>2448</v>
      </c>
      <c r="D24" s="3108"/>
      <c r="E24" s="3109">
        <v>0.8</v>
      </c>
      <c r="F24" s="3106" t="s">
        <v>2449</v>
      </c>
      <c r="G24" s="3106"/>
    </row>
    <row r="25" spans="1:13" ht="19.5" customHeight="1" thickBot="1">
      <c r="A25" s="3772"/>
      <c r="B25" s="3766"/>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67" t="s">
        <v>2632</v>
      </c>
      <c r="B27" s="3765" t="s">
        <v>2613</v>
      </c>
      <c r="C27" s="3103" t="s">
        <v>2453</v>
      </c>
      <c r="D27" s="3104"/>
      <c r="E27" s="3105">
        <v>1</v>
      </c>
      <c r="F27" s="3106" t="s">
        <v>2454</v>
      </c>
      <c r="G27" s="3106"/>
    </row>
    <row r="28" spans="1:13" ht="19.5" customHeight="1">
      <c r="A28" s="3768"/>
      <c r="B28" s="3764"/>
      <c r="C28" s="3107" t="s">
        <v>2455</v>
      </c>
      <c r="D28" s="3108"/>
      <c r="E28" s="3109">
        <v>1</v>
      </c>
      <c r="F28" s="3106" t="s">
        <v>2456</v>
      </c>
      <c r="G28" s="3106"/>
    </row>
    <row r="29" spans="1:13" ht="19.5" customHeight="1">
      <c r="A29" s="3768"/>
      <c r="B29" s="3764"/>
      <c r="C29" s="3107" t="s">
        <v>2457</v>
      </c>
      <c r="D29" s="3108"/>
      <c r="E29" s="3109">
        <v>0.8</v>
      </c>
      <c r="F29" s="3106" t="s">
        <v>2458</v>
      </c>
      <c r="G29" s="3106"/>
    </row>
    <row r="30" spans="1:13" ht="19.5" customHeight="1">
      <c r="A30" s="3768"/>
      <c r="B30" s="3764"/>
      <c r="C30" s="3107" t="s">
        <v>2459</v>
      </c>
      <c r="D30" s="3108"/>
      <c r="E30" s="3109">
        <v>0.8</v>
      </c>
      <c r="F30" s="3106" t="s">
        <v>2460</v>
      </c>
      <c r="G30" s="3106"/>
    </row>
    <row r="31" spans="1:13" ht="19.5" customHeight="1">
      <c r="A31" s="3768"/>
      <c r="B31" s="3764"/>
      <c r="C31" s="3107" t="s">
        <v>2461</v>
      </c>
      <c r="D31" s="3108"/>
      <c r="E31" s="3109">
        <v>0.8</v>
      </c>
      <c r="F31" s="3106" t="s">
        <v>2462</v>
      </c>
      <c r="G31" s="3106"/>
    </row>
    <row r="32" spans="1:13" ht="19.5" customHeight="1">
      <c r="A32" s="3768"/>
      <c r="B32" s="3764"/>
      <c r="C32" s="3107" t="s">
        <v>2463</v>
      </c>
      <c r="D32" s="3108"/>
      <c r="E32" s="3109">
        <v>0.7</v>
      </c>
      <c r="F32" s="3106" t="s">
        <v>2464</v>
      </c>
      <c r="G32" s="3106"/>
    </row>
    <row r="33" spans="1:7" ht="19.5" customHeight="1">
      <c r="A33" s="3768"/>
      <c r="B33" s="3764"/>
      <c r="C33" s="3107" t="s">
        <v>2465</v>
      </c>
      <c r="D33" s="3108"/>
      <c r="E33" s="3109">
        <v>0.8</v>
      </c>
      <c r="F33" s="3106" t="s">
        <v>2466</v>
      </c>
      <c r="G33" s="3106"/>
    </row>
    <row r="34" spans="1:7" ht="19.5" customHeight="1">
      <c r="A34" s="3768"/>
      <c r="B34" s="3764"/>
      <c r="C34" s="3107" t="s">
        <v>2467</v>
      </c>
      <c r="D34" s="3108"/>
      <c r="E34" s="3109">
        <v>0.6</v>
      </c>
      <c r="F34" s="3106" t="s">
        <v>2468</v>
      </c>
      <c r="G34" s="3106"/>
    </row>
    <row r="35" spans="1:7" ht="19.5" customHeight="1">
      <c r="A35" s="3768"/>
      <c r="B35" s="3764"/>
      <c r="C35" s="3107" t="s">
        <v>2469</v>
      </c>
      <c r="D35" s="3108"/>
      <c r="E35" s="3109">
        <v>0.2</v>
      </c>
      <c r="F35" s="3106" t="s">
        <v>2470</v>
      </c>
      <c r="G35" s="3106"/>
    </row>
    <row r="36" spans="1:7" ht="19.5" customHeight="1">
      <c r="A36" s="3768"/>
      <c r="B36" s="3764"/>
      <c r="C36" s="3107" t="s">
        <v>2471</v>
      </c>
      <c r="D36" s="3108"/>
      <c r="E36" s="3109">
        <v>0.2</v>
      </c>
      <c r="F36" s="3106" t="s">
        <v>2472</v>
      </c>
      <c r="G36" s="3106"/>
    </row>
    <row r="37" spans="1:7" ht="19.5" customHeight="1">
      <c r="A37" s="3768"/>
      <c r="B37" s="3762" t="s">
        <v>2633</v>
      </c>
      <c r="C37" s="3107" t="s">
        <v>2473</v>
      </c>
      <c r="D37" s="3108"/>
      <c r="E37" s="3109">
        <v>0.6</v>
      </c>
      <c r="F37" s="3106" t="s">
        <v>2474</v>
      </c>
      <c r="G37" s="3106"/>
    </row>
    <row r="38" spans="1:7" ht="19.5" customHeight="1">
      <c r="A38" s="3768"/>
      <c r="B38" s="3764"/>
      <c r="C38" s="3107" t="s">
        <v>2475</v>
      </c>
      <c r="D38" s="3108"/>
      <c r="E38" s="3109">
        <v>0.6</v>
      </c>
      <c r="F38" s="3106" t="s">
        <v>2476</v>
      </c>
      <c r="G38" s="3106"/>
    </row>
    <row r="39" spans="1:7" ht="19.5" customHeight="1" thickBot="1">
      <c r="A39" s="3769"/>
      <c r="B39" s="3766"/>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770" t="s">
        <v>2611</v>
      </c>
      <c r="B41" s="3765" t="s">
        <v>2635</v>
      </c>
      <c r="C41" s="3103" t="s">
        <v>2480</v>
      </c>
      <c r="D41" s="3104"/>
      <c r="E41" s="3105">
        <v>1</v>
      </c>
      <c r="F41" s="3106" t="s">
        <v>2481</v>
      </c>
      <c r="G41" s="3106"/>
    </row>
    <row r="42" spans="1:7" ht="19.5" customHeight="1">
      <c r="A42" s="3771"/>
      <c r="B42" s="3764"/>
      <c r="C42" s="3107" t="s">
        <v>2482</v>
      </c>
      <c r="D42" s="3108"/>
      <c r="E42" s="3109">
        <v>1</v>
      </c>
      <c r="F42" s="3106" t="s">
        <v>2483</v>
      </c>
      <c r="G42" s="3106"/>
    </row>
    <row r="43" spans="1:7" ht="19.5" customHeight="1">
      <c r="A43" s="3771"/>
      <c r="B43" s="3763"/>
      <c r="C43" s="3107" t="s">
        <v>2484</v>
      </c>
      <c r="D43" s="3108"/>
      <c r="E43" s="3109">
        <v>1.5</v>
      </c>
      <c r="F43" s="3106" t="s">
        <v>2485</v>
      </c>
      <c r="G43" s="3106"/>
    </row>
    <row r="44" spans="1:7" ht="19.5" customHeight="1">
      <c r="A44" s="3771"/>
      <c r="B44" s="3118" t="s">
        <v>2636</v>
      </c>
      <c r="C44" s="3107" t="s">
        <v>2637</v>
      </c>
      <c r="D44" s="3108"/>
      <c r="E44" s="3109">
        <v>2</v>
      </c>
      <c r="F44" s="3106" t="s">
        <v>2486</v>
      </c>
      <c r="G44" s="3106"/>
    </row>
    <row r="45" spans="1:7" ht="19.5" customHeight="1">
      <c r="A45" s="3771"/>
      <c r="B45" s="3762" t="s">
        <v>2638</v>
      </c>
      <c r="C45" s="3107" t="s">
        <v>2487</v>
      </c>
      <c r="D45" s="3108"/>
      <c r="E45" s="3109">
        <v>1</v>
      </c>
      <c r="F45" s="3106" t="s">
        <v>2488</v>
      </c>
      <c r="G45" s="3106"/>
    </row>
    <row r="46" spans="1:7" ht="19.5" customHeight="1">
      <c r="A46" s="3771"/>
      <c r="B46" s="3764"/>
      <c r="C46" s="3107" t="s">
        <v>2489</v>
      </c>
      <c r="D46" s="3108"/>
      <c r="E46" s="3109">
        <v>1</v>
      </c>
      <c r="F46" s="3106" t="s">
        <v>2490</v>
      </c>
      <c r="G46" s="3106"/>
    </row>
    <row r="47" spans="1:7" ht="19.5" customHeight="1">
      <c r="A47" s="3771"/>
      <c r="B47" s="3764"/>
      <c r="C47" s="3107" t="s">
        <v>2491</v>
      </c>
      <c r="D47" s="3108"/>
      <c r="E47" s="3109">
        <v>1</v>
      </c>
      <c r="F47" s="3106" t="s">
        <v>2492</v>
      </c>
      <c r="G47" s="3106"/>
    </row>
    <row r="48" spans="1:7" ht="19.5" customHeight="1">
      <c r="A48" s="3771"/>
      <c r="B48" s="3764"/>
      <c r="C48" s="3107" t="s">
        <v>2493</v>
      </c>
      <c r="D48" s="3108"/>
      <c r="E48" s="3109">
        <v>1</v>
      </c>
      <c r="F48" s="3106" t="s">
        <v>2494</v>
      </c>
      <c r="G48" s="3106"/>
    </row>
    <row r="49" spans="1:7" ht="19.5" customHeight="1">
      <c r="A49" s="3771"/>
      <c r="B49" s="3764"/>
      <c r="C49" s="3107" t="s">
        <v>2495</v>
      </c>
      <c r="D49" s="3108"/>
      <c r="E49" s="3109">
        <v>1</v>
      </c>
      <c r="F49" s="3106" t="s">
        <v>2496</v>
      </c>
      <c r="G49" s="3106"/>
    </row>
    <row r="50" spans="1:7" ht="19.5" customHeight="1">
      <c r="A50" s="3771"/>
      <c r="B50" s="3764"/>
      <c r="C50" s="3107" t="s">
        <v>2497</v>
      </c>
      <c r="D50" s="3108"/>
      <c r="E50" s="3109">
        <v>1</v>
      </c>
      <c r="F50" s="3106" t="s">
        <v>2498</v>
      </c>
      <c r="G50" s="3106"/>
    </row>
    <row r="51" spans="1:7" ht="19.5" customHeight="1" thickBot="1">
      <c r="A51" s="3772"/>
      <c r="B51" s="3766"/>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3.5">
      <c r="A72" s="3118"/>
      <c r="B72" s="3118"/>
      <c r="C72" s="3118" t="s">
        <v>2651</v>
      </c>
      <c r="D72" s="3118"/>
      <c r="E72" s="3118" t="s">
        <v>2622</v>
      </c>
      <c r="F72" s="3118" t="s">
        <v>2622</v>
      </c>
    </row>
    <row r="73" spans="1:7" ht="13.5">
      <c r="A73" s="3118">
        <v>1</v>
      </c>
      <c r="B73" s="3762" t="s">
        <v>2652</v>
      </c>
      <c r="C73" s="3092" t="s">
        <v>2653</v>
      </c>
      <c r="D73" s="3092" t="s">
        <v>2654</v>
      </c>
      <c r="E73" s="3118">
        <v>0.2</v>
      </c>
      <c r="F73" s="3118">
        <v>25</v>
      </c>
    </row>
    <row r="74" spans="1:7" ht="24">
      <c r="A74" s="3118">
        <v>2</v>
      </c>
      <c r="B74" s="3764"/>
      <c r="C74" s="3092" t="s">
        <v>2655</v>
      </c>
      <c r="D74" s="3092" t="s">
        <v>2656</v>
      </c>
      <c r="E74" s="3118">
        <v>0.2</v>
      </c>
      <c r="F74" s="3118">
        <v>25</v>
      </c>
    </row>
    <row r="75" spans="1:7" ht="24">
      <c r="A75" s="3118">
        <v>3</v>
      </c>
      <c r="B75" s="3764"/>
      <c r="C75" s="3092" t="s">
        <v>2657</v>
      </c>
      <c r="D75" s="3092" t="s">
        <v>2658</v>
      </c>
      <c r="E75" s="3118">
        <v>0.2</v>
      </c>
      <c r="F75" s="3118">
        <v>25</v>
      </c>
    </row>
    <row r="76" spans="1:7" ht="13.5">
      <c r="A76" s="3118">
        <v>4</v>
      </c>
      <c r="B76" s="3764"/>
      <c r="C76" s="3092" t="s">
        <v>2659</v>
      </c>
      <c r="D76" s="3092" t="s">
        <v>2660</v>
      </c>
      <c r="E76" s="3118">
        <v>0.15</v>
      </c>
      <c r="F76" s="3118">
        <v>20</v>
      </c>
    </row>
    <row r="77" spans="1:7" ht="24">
      <c r="A77" s="3118">
        <v>5</v>
      </c>
      <c r="B77" s="3764"/>
      <c r="C77" s="3092" t="s">
        <v>2661</v>
      </c>
      <c r="D77" s="3092" t="s">
        <v>2662</v>
      </c>
      <c r="E77" s="3118">
        <v>0.15</v>
      </c>
      <c r="F77" s="3118">
        <v>20</v>
      </c>
    </row>
    <row r="78" spans="1:7" ht="24">
      <c r="A78" s="3118">
        <v>6</v>
      </c>
      <c r="B78" s="3764"/>
      <c r="C78" s="3092" t="s">
        <v>2663</v>
      </c>
      <c r="D78" s="3092" t="s">
        <v>2664</v>
      </c>
      <c r="E78" s="3118">
        <v>0.15</v>
      </c>
      <c r="F78" s="3118">
        <v>20</v>
      </c>
    </row>
    <row r="79" spans="1:7" ht="24">
      <c r="A79" s="3118">
        <v>7</v>
      </c>
      <c r="B79" s="3764"/>
      <c r="C79" s="3092" t="s">
        <v>2665</v>
      </c>
      <c r="D79" s="3092" t="s">
        <v>2666</v>
      </c>
      <c r="E79" s="3118">
        <v>0.15</v>
      </c>
      <c r="F79" s="3118">
        <v>20</v>
      </c>
    </row>
    <row r="80" spans="1:7" ht="24">
      <c r="A80" s="3118">
        <v>8</v>
      </c>
      <c r="B80" s="3764"/>
      <c r="C80" s="3092" t="s">
        <v>2667</v>
      </c>
      <c r="D80" s="3092" t="s">
        <v>2668</v>
      </c>
      <c r="E80" s="3118">
        <v>0.1</v>
      </c>
      <c r="F80" s="3118">
        <v>15</v>
      </c>
    </row>
    <row r="81" spans="1:6" ht="24">
      <c r="A81" s="3118">
        <v>9</v>
      </c>
      <c r="B81" s="3764"/>
      <c r="C81" s="3092" t="s">
        <v>2669</v>
      </c>
      <c r="D81" s="3092" t="s">
        <v>2670</v>
      </c>
      <c r="E81" s="3118">
        <v>0.1</v>
      </c>
      <c r="F81" s="3118">
        <v>15</v>
      </c>
    </row>
    <row r="82" spans="1:6" ht="24">
      <c r="A82" s="3118">
        <v>10</v>
      </c>
      <c r="B82" s="3764"/>
      <c r="C82" s="3092" t="s">
        <v>2671</v>
      </c>
      <c r="D82" s="3092" t="s">
        <v>2672</v>
      </c>
      <c r="E82" s="3118">
        <v>0.1</v>
      </c>
      <c r="F82" s="3118">
        <v>15</v>
      </c>
    </row>
    <row r="83" spans="1:6" ht="24">
      <c r="A83" s="3118">
        <v>11</v>
      </c>
      <c r="B83" s="3764"/>
      <c r="C83" s="3092" t="s">
        <v>2673</v>
      </c>
      <c r="D83" s="3092" t="s">
        <v>2674</v>
      </c>
      <c r="E83" s="3118">
        <v>0.1</v>
      </c>
      <c r="F83" s="3118">
        <v>15</v>
      </c>
    </row>
    <row r="84" spans="1:6" ht="24">
      <c r="A84" s="3118">
        <v>12</v>
      </c>
      <c r="B84" s="3764"/>
      <c r="C84" s="3092" t="s">
        <v>2675</v>
      </c>
      <c r="D84" s="3092" t="s">
        <v>2676</v>
      </c>
      <c r="E84" s="3118">
        <v>0.1</v>
      </c>
      <c r="F84" s="3118">
        <v>15</v>
      </c>
    </row>
    <row r="85" spans="1:6" ht="13.5">
      <c r="A85" s="3118">
        <v>13</v>
      </c>
      <c r="B85" s="3764"/>
      <c r="C85" s="3092" t="s">
        <v>2677</v>
      </c>
      <c r="D85" s="3092" t="s">
        <v>2678</v>
      </c>
      <c r="E85" s="3118">
        <v>0.1</v>
      </c>
      <c r="F85" s="3118">
        <v>15</v>
      </c>
    </row>
    <row r="86" spans="1:6" ht="13.5">
      <c r="A86" s="3118">
        <v>14</v>
      </c>
      <c r="B86" s="3764"/>
      <c r="C86" s="3092" t="s">
        <v>2679</v>
      </c>
      <c r="D86" s="3092" t="s">
        <v>2680</v>
      </c>
      <c r="E86" s="3118">
        <v>0.1</v>
      </c>
      <c r="F86" s="3118">
        <v>15</v>
      </c>
    </row>
    <row r="87" spans="1:6" ht="13.5">
      <c r="A87" s="3118">
        <v>15</v>
      </c>
      <c r="B87" s="3764"/>
      <c r="C87" s="3092" t="s">
        <v>2681</v>
      </c>
      <c r="D87" s="3092" t="s">
        <v>2682</v>
      </c>
      <c r="E87" s="3118">
        <v>0.1</v>
      </c>
      <c r="F87" s="3118">
        <v>15</v>
      </c>
    </row>
    <row r="88" spans="1:6" ht="24">
      <c r="A88" s="3118">
        <v>16</v>
      </c>
      <c r="B88" s="3764"/>
      <c r="C88" s="3092" t="s">
        <v>2683</v>
      </c>
      <c r="D88" s="3092" t="s">
        <v>2684</v>
      </c>
      <c r="E88" s="3118">
        <v>0.1</v>
      </c>
      <c r="F88" s="3118">
        <v>15</v>
      </c>
    </row>
    <row r="89" spans="1:6" ht="24">
      <c r="A89" s="3118">
        <v>17</v>
      </c>
      <c r="B89" s="3763"/>
      <c r="C89" s="3092" t="s">
        <v>2685</v>
      </c>
      <c r="D89" s="3092" t="s">
        <v>2686</v>
      </c>
      <c r="E89" s="3118">
        <v>0.1</v>
      </c>
      <c r="F89" s="3118">
        <v>15</v>
      </c>
    </row>
    <row r="90" spans="1:6" ht="13.5">
      <c r="A90" s="3118">
        <v>18</v>
      </c>
      <c r="B90" s="3762" t="s">
        <v>2687</v>
      </c>
      <c r="C90" s="3092" t="s">
        <v>2688</v>
      </c>
      <c r="D90" s="3092" t="s">
        <v>2689</v>
      </c>
      <c r="E90" s="3118">
        <v>0.2</v>
      </c>
      <c r="F90" s="3118">
        <v>25</v>
      </c>
    </row>
    <row r="91" spans="1:6" ht="24">
      <c r="A91" s="3118">
        <v>19</v>
      </c>
      <c r="B91" s="3764"/>
      <c r="C91" s="3092" t="s">
        <v>2690</v>
      </c>
      <c r="D91" s="3092" t="s">
        <v>2691</v>
      </c>
      <c r="E91" s="3118">
        <v>0.2</v>
      </c>
      <c r="F91" s="3118">
        <v>25</v>
      </c>
    </row>
    <row r="92" spans="1:6" ht="13.5">
      <c r="A92" s="3118">
        <v>20</v>
      </c>
      <c r="B92" s="3764"/>
      <c r="C92" s="3092" t="s">
        <v>2692</v>
      </c>
      <c r="D92" s="3092" t="s">
        <v>2693</v>
      </c>
      <c r="E92" s="3118">
        <v>0.15</v>
      </c>
      <c r="F92" s="3118">
        <v>20</v>
      </c>
    </row>
    <row r="93" spans="1:6" ht="13.5">
      <c r="A93" s="3118">
        <v>21</v>
      </c>
      <c r="B93" s="3764"/>
      <c r="C93" s="3092" t="s">
        <v>2694</v>
      </c>
      <c r="D93" s="3092" t="s">
        <v>2695</v>
      </c>
      <c r="E93" s="3118">
        <v>0.15</v>
      </c>
      <c r="F93" s="3118">
        <v>20</v>
      </c>
    </row>
    <row r="94" spans="1:6" ht="13.5">
      <c r="A94" s="3118">
        <v>22</v>
      </c>
      <c r="B94" s="3764"/>
      <c r="C94" s="3092" t="s">
        <v>2696</v>
      </c>
      <c r="D94" s="3092" t="s">
        <v>2697</v>
      </c>
      <c r="E94" s="3118">
        <v>0.15</v>
      </c>
      <c r="F94" s="3118">
        <v>20</v>
      </c>
    </row>
    <row r="95" spans="1:6" ht="36">
      <c r="A95" s="3118">
        <v>23</v>
      </c>
      <c r="B95" s="3764"/>
      <c r="C95" s="3092" t="s">
        <v>2698</v>
      </c>
      <c r="D95" s="3092" t="s">
        <v>2699</v>
      </c>
      <c r="E95" s="3118">
        <v>0.15</v>
      </c>
      <c r="F95" s="3118">
        <v>20</v>
      </c>
    </row>
    <row r="96" spans="1:6" ht="13.5">
      <c r="A96" s="3118">
        <v>24</v>
      </c>
      <c r="B96" s="3764"/>
      <c r="C96" s="3092" t="s">
        <v>2700</v>
      </c>
      <c r="D96" s="3092" t="s">
        <v>2701</v>
      </c>
      <c r="E96" s="3118">
        <v>0.1</v>
      </c>
      <c r="F96" s="3118">
        <v>15</v>
      </c>
    </row>
    <row r="97" spans="1:6" ht="13.5">
      <c r="A97" s="3118">
        <v>25</v>
      </c>
      <c r="B97" s="3764"/>
      <c r="C97" s="3092" t="s">
        <v>2702</v>
      </c>
      <c r="D97" s="3092" t="s">
        <v>2703</v>
      </c>
      <c r="E97" s="3118">
        <v>0.1</v>
      </c>
      <c r="F97" s="3118">
        <v>15</v>
      </c>
    </row>
    <row r="98" spans="1:6" ht="24">
      <c r="A98" s="3118">
        <v>26</v>
      </c>
      <c r="B98" s="3764"/>
      <c r="C98" s="3092" t="s">
        <v>2704</v>
      </c>
      <c r="D98" s="3092" t="s">
        <v>2705</v>
      </c>
      <c r="E98" s="3118">
        <v>0.1</v>
      </c>
      <c r="F98" s="3118">
        <v>15</v>
      </c>
    </row>
    <row r="99" spans="1:6" ht="24">
      <c r="A99" s="3118">
        <v>27</v>
      </c>
      <c r="B99" s="3764"/>
      <c r="C99" s="3092" t="s">
        <v>2706</v>
      </c>
      <c r="D99" s="3092" t="s">
        <v>2707</v>
      </c>
      <c r="E99" s="3118">
        <v>0.1</v>
      </c>
      <c r="F99" s="3118">
        <v>15</v>
      </c>
    </row>
    <row r="100" spans="1:6" ht="13.5">
      <c r="A100" s="3118">
        <v>28</v>
      </c>
      <c r="B100" s="3764"/>
      <c r="C100" s="3092" t="s">
        <v>2708</v>
      </c>
      <c r="D100" s="3092" t="s">
        <v>2709</v>
      </c>
      <c r="E100" s="3118">
        <v>0.1</v>
      </c>
      <c r="F100" s="3118">
        <v>15</v>
      </c>
    </row>
    <row r="101" spans="1:6" ht="13.5">
      <c r="A101" s="3118">
        <v>29</v>
      </c>
      <c r="B101" s="3764"/>
      <c r="C101" s="3092" t="s">
        <v>2710</v>
      </c>
      <c r="D101" s="3092" t="s">
        <v>2711</v>
      </c>
      <c r="E101" s="3118">
        <v>0.1</v>
      </c>
      <c r="F101" s="3118">
        <v>15</v>
      </c>
    </row>
    <row r="102" spans="1:6" ht="13.5">
      <c r="A102" s="3118">
        <v>30</v>
      </c>
      <c r="B102" s="3764"/>
      <c r="C102" s="3092" t="s">
        <v>2712</v>
      </c>
      <c r="D102" s="3092" t="s">
        <v>2713</v>
      </c>
      <c r="E102" s="3118">
        <v>0.1</v>
      </c>
      <c r="F102" s="3118">
        <v>15</v>
      </c>
    </row>
    <row r="103" spans="1:6" ht="24">
      <c r="A103" s="3118">
        <v>31</v>
      </c>
      <c r="B103" s="3764"/>
      <c r="C103" s="3092" t="s">
        <v>2714</v>
      </c>
      <c r="D103" s="3092" t="s">
        <v>2715</v>
      </c>
      <c r="E103" s="3118">
        <v>0.1</v>
      </c>
      <c r="F103" s="3118">
        <v>15</v>
      </c>
    </row>
    <row r="104" spans="1:6" ht="24">
      <c r="A104" s="3118">
        <v>32</v>
      </c>
      <c r="B104" s="3764"/>
      <c r="C104" s="3092" t="s">
        <v>2716</v>
      </c>
      <c r="D104" s="3092" t="s">
        <v>2717</v>
      </c>
      <c r="E104" s="3118">
        <v>0.1</v>
      </c>
      <c r="F104" s="3118">
        <v>15</v>
      </c>
    </row>
    <row r="105" spans="1:6" ht="24">
      <c r="A105" s="3118">
        <v>33</v>
      </c>
      <c r="B105" s="3764"/>
      <c r="C105" s="3092" t="s">
        <v>2718</v>
      </c>
      <c r="D105" s="3092" t="s">
        <v>2719</v>
      </c>
      <c r="E105" s="3118">
        <v>0.1</v>
      </c>
      <c r="F105" s="3118">
        <v>15</v>
      </c>
    </row>
    <row r="106" spans="1:6" ht="24">
      <c r="A106" s="3118">
        <v>34</v>
      </c>
      <c r="B106" s="3763"/>
      <c r="C106" s="3092" t="s">
        <v>2720</v>
      </c>
      <c r="D106" s="3092" t="s">
        <v>2721</v>
      </c>
      <c r="E106" s="3118">
        <v>0.1</v>
      </c>
      <c r="F106" s="3118">
        <v>15</v>
      </c>
    </row>
    <row r="107" spans="1:6" ht="24">
      <c r="A107" s="3118">
        <v>35</v>
      </c>
      <c r="B107" s="3762" t="s">
        <v>2722</v>
      </c>
      <c r="C107" s="3118" t="s">
        <v>2723</v>
      </c>
      <c r="D107" s="3092" t="s">
        <v>2724</v>
      </c>
      <c r="E107" s="3118">
        <v>0.15</v>
      </c>
      <c r="F107" s="3118">
        <v>20</v>
      </c>
    </row>
    <row r="108" spans="1:6" ht="13.5">
      <c r="A108" s="3118">
        <v>36</v>
      </c>
      <c r="B108" s="3764"/>
      <c r="C108" s="3118" t="s">
        <v>2725</v>
      </c>
      <c r="D108" s="3092" t="s">
        <v>2726</v>
      </c>
      <c r="E108" s="3118">
        <v>0.15</v>
      </c>
      <c r="F108" s="3118">
        <v>20</v>
      </c>
    </row>
    <row r="109" spans="1:6" ht="13.5">
      <c r="A109" s="3118">
        <v>37</v>
      </c>
      <c r="B109" s="3764"/>
      <c r="C109" s="3118" t="s">
        <v>2727</v>
      </c>
      <c r="D109" s="3092" t="s">
        <v>2728</v>
      </c>
      <c r="E109" s="3118">
        <v>0.15</v>
      </c>
      <c r="F109" s="3118">
        <v>20</v>
      </c>
    </row>
    <row r="110" spans="1:6" ht="13.5">
      <c r="A110" s="3118">
        <v>38</v>
      </c>
      <c r="B110" s="3764"/>
      <c r="C110" s="3118" t="s">
        <v>2729</v>
      </c>
      <c r="D110" s="3092" t="s">
        <v>2730</v>
      </c>
      <c r="E110" s="3118">
        <v>0.1</v>
      </c>
      <c r="F110" s="3118">
        <v>15</v>
      </c>
    </row>
    <row r="111" spans="1:6" ht="24">
      <c r="A111" s="3118">
        <v>39</v>
      </c>
      <c r="B111" s="3764"/>
      <c r="C111" s="3118" t="s">
        <v>2731</v>
      </c>
      <c r="D111" s="3092" t="s">
        <v>2732</v>
      </c>
      <c r="E111" s="3118">
        <v>0.1</v>
      </c>
      <c r="F111" s="3118">
        <v>15</v>
      </c>
    </row>
    <row r="112" spans="1:6" ht="24">
      <c r="A112" s="3118">
        <v>40</v>
      </c>
      <c r="B112" s="3763"/>
      <c r="C112" s="3118" t="s">
        <v>2733</v>
      </c>
      <c r="D112" s="3092" t="s">
        <v>2734</v>
      </c>
      <c r="E112" s="3118">
        <v>0.1</v>
      </c>
      <c r="F112" s="3118">
        <v>15</v>
      </c>
    </row>
    <row r="113" spans="1:6" ht="13.5">
      <c r="A113" s="3118">
        <v>41</v>
      </c>
      <c r="B113" s="3761" t="s">
        <v>2735</v>
      </c>
      <c r="C113" s="3118" t="s">
        <v>2736</v>
      </c>
      <c r="D113" s="3092" t="s">
        <v>2737</v>
      </c>
      <c r="E113" s="3118">
        <v>0.1</v>
      </c>
      <c r="F113" s="3118">
        <v>15</v>
      </c>
    </row>
    <row r="114" spans="1:6" ht="13.5">
      <c r="A114" s="3118">
        <v>42</v>
      </c>
      <c r="B114" s="3761"/>
      <c r="C114" s="3118" t="s">
        <v>2738</v>
      </c>
      <c r="D114" s="3092" t="s">
        <v>2739</v>
      </c>
      <c r="E114" s="3118">
        <v>0.1</v>
      </c>
      <c r="F114" s="3118">
        <v>15</v>
      </c>
    </row>
    <row r="115" spans="1:6" ht="24">
      <c r="A115" s="3118">
        <v>43</v>
      </c>
      <c r="B115" s="3761"/>
      <c r="C115" s="3118" t="s">
        <v>2740</v>
      </c>
      <c r="D115" s="3092" t="s">
        <v>2741</v>
      </c>
      <c r="E115" s="3118">
        <v>0.1</v>
      </c>
      <c r="F115" s="3118">
        <v>15</v>
      </c>
    </row>
    <row r="116" spans="1:6" ht="13.5">
      <c r="A116" s="3118">
        <v>44</v>
      </c>
      <c r="B116" s="3762" t="s">
        <v>2742</v>
      </c>
      <c r="C116" s="3118" t="s">
        <v>2743</v>
      </c>
      <c r="D116" s="3092" t="s">
        <v>2744</v>
      </c>
      <c r="E116" s="3118">
        <v>0.1</v>
      </c>
      <c r="F116" s="3118">
        <v>15</v>
      </c>
    </row>
    <row r="117" spans="1:6" ht="24">
      <c r="A117" s="3118">
        <v>45</v>
      </c>
      <c r="B117" s="3763"/>
      <c r="C117" s="3092" t="s">
        <v>2745</v>
      </c>
      <c r="D117" s="3092" t="s">
        <v>2746</v>
      </c>
      <c r="E117" s="3118">
        <v>0.1</v>
      </c>
      <c r="F117" s="3118">
        <v>15</v>
      </c>
    </row>
    <row r="118" spans="1:6" ht="24">
      <c r="A118" s="3118">
        <v>46</v>
      </c>
      <c r="B118" s="3762" t="s">
        <v>2747</v>
      </c>
      <c r="C118" s="3118" t="s">
        <v>2748</v>
      </c>
      <c r="D118" s="3092" t="s">
        <v>2749</v>
      </c>
      <c r="E118" s="3118">
        <v>0.1</v>
      </c>
      <c r="F118" s="3118">
        <v>15</v>
      </c>
    </row>
    <row r="119" spans="1:6" ht="24">
      <c r="A119" s="3118">
        <v>47</v>
      </c>
      <c r="B119" s="3763"/>
      <c r="C119" s="3118" t="s">
        <v>2750</v>
      </c>
      <c r="D119" s="3092" t="s">
        <v>2751</v>
      </c>
      <c r="E119" s="3118">
        <v>0.1</v>
      </c>
      <c r="F119" s="3118">
        <v>15</v>
      </c>
    </row>
    <row r="120" spans="1:6" ht="13.5">
      <c r="A120" s="3118">
        <v>48</v>
      </c>
      <c r="B120" s="3762" t="s">
        <v>2752</v>
      </c>
      <c r="C120" s="3118" t="s">
        <v>2753</v>
      </c>
      <c r="D120" s="3092" t="s">
        <v>2754</v>
      </c>
      <c r="E120" s="3118">
        <v>0.1</v>
      </c>
      <c r="F120" s="3118">
        <v>15</v>
      </c>
    </row>
    <row r="121" spans="1:6" ht="13.5">
      <c r="A121" s="3118">
        <v>49</v>
      </c>
      <c r="B121" s="3763"/>
      <c r="C121" s="3118" t="s">
        <v>2755</v>
      </c>
      <c r="D121" s="3092" t="s">
        <v>2756</v>
      </c>
      <c r="E121" s="3118">
        <v>0.1</v>
      </c>
      <c r="F121" s="3118">
        <v>15</v>
      </c>
    </row>
    <row r="122" spans="1:6" ht="24">
      <c r="A122" s="3118">
        <v>50</v>
      </c>
      <c r="B122" s="3761" t="s">
        <v>2757</v>
      </c>
      <c r="C122" s="3118" t="s">
        <v>2758</v>
      </c>
      <c r="D122" s="3092" t="s">
        <v>2759</v>
      </c>
      <c r="E122" s="3118">
        <v>0.1</v>
      </c>
      <c r="F122" s="3118">
        <v>15</v>
      </c>
    </row>
    <row r="123" spans="1:6" ht="24">
      <c r="A123" s="3118">
        <v>51</v>
      </c>
      <c r="B123" s="3761"/>
      <c r="C123" s="3118" t="s">
        <v>2760</v>
      </c>
      <c r="D123" s="3092" t="s">
        <v>2761</v>
      </c>
      <c r="E123" s="3118">
        <v>0.1</v>
      </c>
      <c r="F123" s="3118">
        <v>15</v>
      </c>
    </row>
    <row r="124" spans="1:6" ht="24">
      <c r="A124" s="3118">
        <v>52</v>
      </c>
      <c r="B124" s="3761" t="s">
        <v>2762</v>
      </c>
      <c r="C124" s="3118" t="s">
        <v>2763</v>
      </c>
      <c r="D124" s="3092" t="s">
        <v>2764</v>
      </c>
      <c r="E124" s="3118">
        <v>0.1</v>
      </c>
      <c r="F124" s="3118">
        <v>15</v>
      </c>
    </row>
    <row r="125" spans="1:6" ht="24">
      <c r="A125" s="3118">
        <v>53</v>
      </c>
      <c r="B125" s="3761"/>
      <c r="C125" s="3118" t="s">
        <v>2765</v>
      </c>
      <c r="D125" s="3092" t="s">
        <v>2766</v>
      </c>
      <c r="E125" s="3118">
        <v>0.1</v>
      </c>
      <c r="F125" s="3118">
        <v>15</v>
      </c>
    </row>
    <row r="126" spans="1:6" ht="13.5">
      <c r="A126" s="3118">
        <v>54</v>
      </c>
      <c r="B126" s="3118" t="s">
        <v>2767</v>
      </c>
      <c r="C126" s="3118" t="s">
        <v>2768</v>
      </c>
      <c r="D126" s="3092" t="s">
        <v>2769</v>
      </c>
      <c r="E126" s="3118">
        <v>0.1</v>
      </c>
      <c r="F126" s="3118">
        <v>15</v>
      </c>
    </row>
    <row r="127" spans="1:6" ht="13.5">
      <c r="A127" s="3118">
        <v>55</v>
      </c>
      <c r="B127" s="3761" t="s">
        <v>2770</v>
      </c>
      <c r="C127" s="3118" t="s">
        <v>2771</v>
      </c>
      <c r="D127" s="3092" t="s">
        <v>2772</v>
      </c>
      <c r="E127" s="3118">
        <v>0.1</v>
      </c>
      <c r="F127" s="3118">
        <v>15</v>
      </c>
    </row>
    <row r="128" spans="1:6" ht="13.5">
      <c r="A128" s="3118">
        <v>56</v>
      </c>
      <c r="B128" s="3761"/>
      <c r="C128" s="3118" t="s">
        <v>2773</v>
      </c>
      <c r="D128" s="3092" t="s">
        <v>2774</v>
      </c>
      <c r="E128" s="3118">
        <v>0.1</v>
      </c>
      <c r="F128" s="3118">
        <v>15</v>
      </c>
    </row>
    <row r="129" spans="1:6" ht="24">
      <c r="A129" s="3118">
        <v>57</v>
      </c>
      <c r="B129" s="3761"/>
      <c r="C129" s="3118" t="s">
        <v>2775</v>
      </c>
      <c r="D129" s="3092" t="s">
        <v>2776</v>
      </c>
      <c r="E129" s="3118">
        <v>0.1</v>
      </c>
      <c r="F129" s="3118">
        <v>15</v>
      </c>
    </row>
    <row r="130" spans="1:6" ht="24">
      <c r="A130" s="3118">
        <v>58</v>
      </c>
      <c r="B130" s="3761" t="s">
        <v>2777</v>
      </c>
      <c r="C130" s="3118" t="s">
        <v>2778</v>
      </c>
      <c r="D130" s="3092" t="s">
        <v>2779</v>
      </c>
      <c r="E130" s="3118">
        <v>0.1</v>
      </c>
      <c r="F130" s="3118">
        <v>15</v>
      </c>
    </row>
    <row r="131" spans="1:6" ht="13.5">
      <c r="A131" s="3118">
        <v>59</v>
      </c>
      <c r="B131" s="3761"/>
      <c r="C131" s="3118" t="s">
        <v>2780</v>
      </c>
      <c r="D131" s="3092" t="s">
        <v>2781</v>
      </c>
      <c r="E131" s="3118">
        <v>0.1</v>
      </c>
      <c r="F131" s="3118">
        <v>15</v>
      </c>
    </row>
    <row r="132" spans="1:6" ht="13.5">
      <c r="A132" s="3118">
        <v>60</v>
      </c>
      <c r="B132" s="3762" t="s">
        <v>2782</v>
      </c>
      <c r="C132" s="3118" t="s">
        <v>2783</v>
      </c>
      <c r="D132" s="3092" t="s">
        <v>2784</v>
      </c>
      <c r="E132" s="3118">
        <v>0.1</v>
      </c>
      <c r="F132" s="3118">
        <v>15</v>
      </c>
    </row>
    <row r="133" spans="1:6" ht="13.5">
      <c r="A133" s="3118">
        <v>61</v>
      </c>
      <c r="B133" s="3763"/>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13.5">
      <c r="A135" s="3118">
        <v>63</v>
      </c>
      <c r="B135" s="3761" t="s">
        <v>2790</v>
      </c>
      <c r="C135" s="3118" t="s">
        <v>2791</v>
      </c>
      <c r="D135" s="3092" t="s">
        <v>2792</v>
      </c>
      <c r="E135" s="3118">
        <v>0.1</v>
      </c>
      <c r="F135" s="3118">
        <v>15</v>
      </c>
    </row>
    <row r="136" spans="1:6" ht="13.5">
      <c r="A136" s="3118">
        <v>64</v>
      </c>
      <c r="B136" s="3761"/>
      <c r="C136" s="3118" t="s">
        <v>2793</v>
      </c>
      <c r="D136" s="3092" t="s">
        <v>2794</v>
      </c>
      <c r="E136" s="3118">
        <v>0.1</v>
      </c>
      <c r="F136" s="3118">
        <v>15</v>
      </c>
    </row>
    <row r="137" spans="1:6" ht="13.5">
      <c r="A137" s="3118">
        <v>65</v>
      </c>
      <c r="B137" s="3118" t="s">
        <v>2795</v>
      </c>
      <c r="C137" s="3118" t="s">
        <v>2796</v>
      </c>
      <c r="D137" s="3092" t="s">
        <v>2797</v>
      </c>
      <c r="E137" s="3118">
        <v>0.1</v>
      </c>
      <c r="F137" s="3118">
        <v>15</v>
      </c>
    </row>
    <row r="138" spans="1:6" ht="13.5">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29291</v>
      </c>
      <c r="C2" s="2" t="s">
        <v>106</v>
      </c>
      <c r="D2" s="199"/>
      <c r="E2" s="199"/>
      <c r="F2" s="199"/>
      <c r="G2" s="199"/>
    </row>
    <row r="3" spans="1:7" s="200" customFormat="1" ht="18" customHeight="1" thickBot="1">
      <c r="A3" s="203" t="s">
        <v>58</v>
      </c>
      <c r="B3" s="204">
        <f ca="1">ROUND(B2*10000/'数据-汇总表'!E3,0)</f>
        <v>3311588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88.45</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88.45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31</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88.45</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8.0000000000000004E-4</v>
      </c>
      <c r="D44" s="238"/>
      <c r="E44" s="238"/>
      <c r="F44" s="239"/>
      <c r="G44" s="3639"/>
    </row>
    <row r="45" spans="1:7" s="214" customFormat="1" ht="13.5" customHeight="1">
      <c r="A45" s="777" t="s">
        <v>341</v>
      </c>
      <c r="B45" s="244" t="s">
        <v>85</v>
      </c>
      <c r="C45" s="245">
        <f>C46</f>
        <v>7</v>
      </c>
      <c r="D45" s="235">
        <f>C47</f>
        <v>4.0000000000000001E-3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48</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41</v>
      </c>
      <c r="D51" s="232"/>
      <c r="E51" s="232"/>
      <c r="F51" s="264"/>
      <c r="G51" s="234" t="s">
        <v>37</v>
      </c>
    </row>
    <row r="52" spans="1:7" s="208" customFormat="1" ht="16.5" thickBot="1">
      <c r="A52" s="265" t="s">
        <v>38</v>
      </c>
      <c r="B52" s="266"/>
      <c r="C52" s="267">
        <f ca="1">C31+C51</f>
        <v>29291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906</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915</v>
      </c>
      <c r="C4" s="3458"/>
      <c r="D4" s="3458"/>
      <c r="E4" s="1493"/>
    </row>
    <row r="5" spans="1:5" ht="16.5" thickTop="1">
      <c r="A5" s="1491"/>
      <c r="B5" s="3456" t="s">
        <v>907</v>
      </c>
      <c r="C5" s="1494" t="s">
        <v>908</v>
      </c>
      <c r="D5" s="850">
        <f ca="1">结果表!H101</f>
        <v>280</v>
      </c>
      <c r="E5" s="1491"/>
    </row>
    <row r="6" spans="1:5" ht="15.75">
      <c r="A6" s="1491"/>
      <c r="B6" s="3456"/>
      <c r="C6" s="1494" t="s">
        <v>909</v>
      </c>
      <c r="D6" s="850" t="str">
        <f ca="1">NUMBERSTRING(INT(D5*10000),2)&amp;"元整"</f>
        <v>贰佰捌拾万元整</v>
      </c>
      <c r="E6" s="1491"/>
    </row>
    <row r="7" spans="1:5" ht="15.75">
      <c r="A7" s="1491"/>
      <c r="B7" s="3461"/>
      <c r="C7" s="1495" t="s">
        <v>910</v>
      </c>
      <c r="D7" s="851">
        <f ca="1">结果表!H102</f>
        <v>31617</v>
      </c>
      <c r="E7" s="1491"/>
    </row>
    <row r="8" spans="1:5" ht="15.75">
      <c r="A8" s="1491"/>
      <c r="B8" s="3462" t="str">
        <f>结果表!E103</f>
        <v>2.估价师知悉的法定优先受偿款</v>
      </c>
      <c r="C8" s="1496" t="s">
        <v>911</v>
      </c>
      <c r="D8" s="851">
        <f>结果表!H103</f>
        <v>0</v>
      </c>
      <c r="E8" s="1491"/>
    </row>
    <row r="9" spans="1:5" ht="15.75">
      <c r="A9" s="1491"/>
      <c r="B9" s="3464"/>
      <c r="C9" s="1494" t="s">
        <v>909</v>
      </c>
      <c r="D9" s="850" t="str">
        <f>NUMBERSTRING(INT(D8*10000),2)&amp;"元整"</f>
        <v>零元整</v>
      </c>
      <c r="E9" s="1491"/>
    </row>
    <row r="10" spans="1:5" ht="15">
      <c r="A10" s="1491"/>
      <c r="B10" s="1497" t="s">
        <v>914</v>
      </c>
      <c r="C10" s="1498" t="s">
        <v>912</v>
      </c>
      <c r="D10" s="852">
        <f>结果表!H104</f>
        <v>0</v>
      </c>
      <c r="E10" s="1491"/>
    </row>
    <row r="11" spans="1:5" ht="15">
      <c r="A11" s="1491"/>
      <c r="B11" s="1497" t="s">
        <v>916</v>
      </c>
      <c r="C11" s="1498" t="s">
        <v>917</v>
      </c>
      <c r="D11" s="852">
        <f>结果表!H105</f>
        <v>0</v>
      </c>
      <c r="E11" s="1491"/>
    </row>
    <row r="12" spans="1:5" ht="15">
      <c r="A12" s="1491"/>
      <c r="B12" s="1497" t="s">
        <v>918</v>
      </c>
      <c r="C12" s="1498" t="s">
        <v>917</v>
      </c>
      <c r="D12" s="852">
        <f>结果表!H106</f>
        <v>0</v>
      </c>
      <c r="E12" s="1491"/>
    </row>
    <row r="13" spans="1:5" ht="15.75">
      <c r="A13" s="1491"/>
      <c r="B13" s="3455" t="str">
        <f>结果表!E107</f>
        <v>3.房地产抵押价值</v>
      </c>
      <c r="C13" s="1499" t="s">
        <v>908</v>
      </c>
      <c r="D13" s="853">
        <f ca="1">结果表!H107</f>
        <v>280</v>
      </c>
      <c r="E13" s="1491"/>
    </row>
    <row r="14" spans="1:5" ht="15.75">
      <c r="A14" s="1491"/>
      <c r="B14" s="3456"/>
      <c r="C14" s="1494" t="s">
        <v>909</v>
      </c>
      <c r="D14" s="850" t="str">
        <f ca="1">NUMBERSTRING(INT(D13*10000),2)&amp;"元整"</f>
        <v>贰佰捌拾万元整</v>
      </c>
      <c r="E14" s="1491"/>
    </row>
    <row r="15" spans="1:5" ht="15">
      <c r="A15" s="1491"/>
      <c r="B15" s="3461"/>
      <c r="C15" s="1495" t="s">
        <v>919</v>
      </c>
      <c r="D15" s="859">
        <f ca="1">结果表!H108</f>
        <v>31617</v>
      </c>
      <c r="E15" s="1491"/>
    </row>
    <row r="16" spans="1:5" ht="15">
      <c r="A16" s="1491"/>
      <c r="B16" s="3462" t="str">
        <f>结果表!E109</f>
        <v>——</v>
      </c>
      <c r="C16" s="1499" t="s">
        <v>920</v>
      </c>
      <c r="D16" s="1500" t="str">
        <f>结果表!H109</f>
        <v>——</v>
      </c>
      <c r="E16" s="1491"/>
    </row>
    <row r="17" spans="1:5" ht="15.75">
      <c r="A17" s="1491"/>
      <c r="B17" s="3463"/>
      <c r="C17" s="1494" t="s">
        <v>921</v>
      </c>
      <c r="D17" s="850" t="e">
        <f>NUMBERSTRING(INT(D16*10000),2)&amp;"元整"</f>
        <v>#VALUE!</v>
      </c>
      <c r="E17" s="1491"/>
    </row>
    <row r="18" spans="1:5" ht="15">
      <c r="A18" s="1491"/>
      <c r="B18" s="3464"/>
      <c r="C18" s="1495" t="s">
        <v>910</v>
      </c>
      <c r="D18" s="859" t="str">
        <f>结果表!H110</f>
        <v>——</v>
      </c>
      <c r="E18" s="1491"/>
    </row>
    <row r="19" spans="1:5" ht="15.75">
      <c r="A19" s="1491"/>
      <c r="B19" s="3455" t="str">
        <f>结果表!E111</f>
        <v>——</v>
      </c>
      <c r="C19" s="1499" t="s">
        <v>908</v>
      </c>
      <c r="D19" s="851" t="str">
        <f>结果表!H111</f>
        <v>——</v>
      </c>
      <c r="E19" s="1491"/>
    </row>
    <row r="20" spans="1:5" ht="15.75">
      <c r="A20" s="1491"/>
      <c r="B20" s="3456"/>
      <c r="C20" s="1494" t="s">
        <v>921</v>
      </c>
      <c r="D20" s="850" t="e">
        <f>NUMBERSTRING(INT(D19*10000),2)&amp;"元整"</f>
        <v>#VALUE!</v>
      </c>
      <c r="E20" s="1491"/>
    </row>
    <row r="21" spans="1:5" ht="15.75" thickBot="1">
      <c r="A21" s="1491"/>
      <c r="B21" s="3457"/>
      <c r="C21" s="1501" t="s">
        <v>919</v>
      </c>
      <c r="D21" s="860" t="str">
        <f>结果表!H112</f>
        <v>——</v>
      </c>
      <c r="E21" s="1491"/>
    </row>
    <row r="22" spans="1:5" ht="15" thickTop="1">
      <c r="A22" s="1491"/>
      <c r="B22" s="1502" t="s">
        <v>922</v>
      </c>
      <c r="C22" s="1491"/>
      <c r="D22" s="1491"/>
      <c r="E22" s="1491"/>
    </row>
    <row r="23" spans="1:5">
      <c r="A23" s="1491"/>
      <c r="B23" s="1491"/>
      <c r="C23" s="1491"/>
      <c r="D23" s="1491"/>
      <c r="E23" s="1491"/>
    </row>
    <row r="24" spans="1:5" ht="18.75">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2844</v>
      </c>
      <c r="B1" s="3775"/>
      <c r="C1" s="3775"/>
      <c r="D1" s="3775"/>
      <c r="E1" s="3775"/>
      <c r="F1" s="3775"/>
      <c r="G1" s="3776"/>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3" t="s">
        <v>2871</v>
      </c>
      <c r="B3" s="3230"/>
      <c r="C3" s="3231" t="s">
        <v>2812</v>
      </c>
      <c r="D3" s="3231" t="s">
        <v>2872</v>
      </c>
      <c r="E3" s="3231" t="s">
        <v>2814</v>
      </c>
      <c r="F3" s="3231" t="s">
        <v>2873</v>
      </c>
      <c r="G3" s="3231" t="s">
        <v>2632</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4"/>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3186</v>
      </c>
      <c r="B1" s="3777"/>
    </row>
    <row r="2" spans="1:7" ht="14.25" thickBot="1">
      <c r="A2" s="3255"/>
      <c r="B2" s="3255"/>
    </row>
    <row r="3" spans="1:7" ht="14.25" thickBot="1">
      <c r="A3" s="3255"/>
      <c r="B3" s="3255"/>
      <c r="C3" s="3256" t="s">
        <v>2812</v>
      </c>
      <c r="D3" s="3256" t="s">
        <v>2872</v>
      </c>
      <c r="E3" s="3256" t="s">
        <v>2814</v>
      </c>
      <c r="F3" s="3256" t="s">
        <v>2873</v>
      </c>
      <c r="G3" s="3256" t="s">
        <v>2632</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8" t="s">
        <v>3237</v>
      </c>
      <c r="B1" s="3778"/>
      <c r="C1" s="3778"/>
      <c r="D1" s="3778"/>
      <c r="E1" s="3778"/>
      <c r="F1" s="3779"/>
    </row>
    <row r="2" spans="1:6">
      <c r="A2" s="3291" t="s">
        <v>3238</v>
      </c>
      <c r="B2" s="3292"/>
      <c r="C2" s="3292"/>
      <c r="D2" s="3292"/>
      <c r="E2" s="3292"/>
      <c r="F2" s="3292"/>
    </row>
    <row r="3" spans="1:6">
      <c r="A3" s="3291" t="s">
        <v>3239</v>
      </c>
      <c r="B3" s="3292"/>
      <c r="C3" s="3292"/>
      <c r="D3" s="3292"/>
      <c r="E3" s="3292"/>
      <c r="F3" s="3293" t="s">
        <v>3240</v>
      </c>
    </row>
    <row r="4" spans="1:6">
      <c r="A4" s="3294" t="s">
        <v>670</v>
      </c>
      <c r="B4" s="3294" t="s">
        <v>671</v>
      </c>
      <c r="C4" s="3294" t="s">
        <v>21</v>
      </c>
      <c r="D4" s="3294" t="s">
        <v>672</v>
      </c>
      <c r="E4" s="3294" t="s">
        <v>3</v>
      </c>
      <c r="F4" s="3294" t="s">
        <v>3241</v>
      </c>
    </row>
    <row r="5" spans="1:6">
      <c r="A5" s="3295" t="s">
        <v>673</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45076</v>
      </c>
      <c r="B1" s="3210" t="s">
        <v>2843</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2.75">
      <c r="A3" s="3149" t="s">
        <v>2820</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3372</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2821</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2822</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80" t="s">
        <v>2831</v>
      </c>
      <c r="S21" s="3781"/>
      <c r="T21" s="3781"/>
      <c r="U21" s="3781"/>
      <c r="V21" s="3781"/>
      <c r="W21" s="3781"/>
      <c r="X21" s="3165"/>
      <c r="Y21" s="3780" t="s">
        <v>2832</v>
      </c>
      <c r="Z21" s="3781"/>
      <c r="AA21" s="3781"/>
      <c r="AB21" s="3781"/>
      <c r="AC21" s="3781"/>
      <c r="AD21" s="3781"/>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3372</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2821</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3368</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674</v>
      </c>
      <c r="K2" s="2174" t="s">
        <v>308</v>
      </c>
      <c r="L2" s="2173" t="s">
        <v>462</v>
      </c>
      <c r="N2" s="2173" t="s">
        <v>458</v>
      </c>
      <c r="O2" s="2174" t="s">
        <v>674</v>
      </c>
      <c r="P2" s="2174" t="s">
        <v>308</v>
      </c>
      <c r="Q2" s="2173" t="s">
        <v>462</v>
      </c>
      <c r="S2" s="2173" t="s">
        <v>458</v>
      </c>
      <c r="T2" s="2174" t="s">
        <v>674</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2311</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9" sqref="J3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926</v>
      </c>
      <c r="B2" s="3473" t="s">
        <v>927</v>
      </c>
      <c r="C2" s="3473" t="s">
        <v>928</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923</v>
      </c>
      <c r="E3" s="854" t="s">
        <v>929</v>
      </c>
      <c r="F3" s="854" t="s">
        <v>923</v>
      </c>
      <c r="G3" s="854" t="s">
        <v>924</v>
      </c>
      <c r="H3" s="854" t="s">
        <v>923</v>
      </c>
      <c r="I3" s="854" t="s">
        <v>924</v>
      </c>
    </row>
    <row r="4" spans="1:9" ht="30">
      <c r="A4" s="1505" t="str">
        <f>项目基本情况!S2</f>
        <v>北京市顺义区梅香街9号院12号楼1层104房地产</v>
      </c>
      <c r="B4" s="854">
        <f>项目基本情况!C17</f>
        <v>88.45</v>
      </c>
      <c r="C4" s="854">
        <f>项目基本情况!C18</f>
        <v>0</v>
      </c>
      <c r="D4" s="854">
        <f>结果表!D118</f>
        <v>0</v>
      </c>
      <c r="E4" s="854">
        <f>结果表!E118</f>
        <v>0</v>
      </c>
      <c r="F4" s="854">
        <f>结果表!F118</f>
        <v>0</v>
      </c>
      <c r="G4" s="854">
        <f>结果表!G118</f>
        <v>0</v>
      </c>
      <c r="H4" s="854">
        <f ca="1">结果表!H118</f>
        <v>280</v>
      </c>
      <c r="I4" s="854">
        <f ca="1">结果表!I118</f>
        <v>31617</v>
      </c>
    </row>
    <row r="5" spans="1:9" ht="30" customHeight="1">
      <c r="A5" s="3468" t="s">
        <v>925</v>
      </c>
      <c r="B5" s="3468"/>
      <c r="C5" s="3468"/>
      <c r="D5" s="3468" t="str">
        <f>结果表!D119</f>
        <v>零元整</v>
      </c>
      <c r="E5" s="3468"/>
      <c r="F5" s="3468" t="str">
        <f>结果表!F119</f>
        <v>零元整</v>
      </c>
      <c r="G5" s="3468"/>
      <c r="H5" s="3468" t="str">
        <f ca="1">结果表!H119</f>
        <v>贰佰捌拾万元整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925</v>
      </c>
      <c r="B7" s="3468"/>
      <c r="C7" s="3468"/>
      <c r="D7" s="3469" t="str">
        <f>结果表!D121</f>
        <v>零元整</v>
      </c>
      <c r="E7" s="3470"/>
      <c r="F7" s="3470"/>
      <c r="G7" s="3470"/>
      <c r="H7" s="3470"/>
      <c r="I7" s="3471"/>
    </row>
    <row r="8" spans="1:9" ht="15.75">
      <c r="A8" s="3467" t="str">
        <f>结果表!A122</f>
        <v>房地产抵押价值</v>
      </c>
      <c r="B8" s="3467"/>
      <c r="C8" s="3467"/>
      <c r="D8" s="3467">
        <f ca="1">结果表!D122</f>
        <v>280</v>
      </c>
      <c r="E8" s="3467"/>
      <c r="F8" s="3467"/>
      <c r="G8" s="3467"/>
      <c r="H8" s="3467"/>
      <c r="I8" s="3467"/>
    </row>
    <row r="9" spans="1:9" ht="15">
      <c r="A9" s="3468" t="s">
        <v>925</v>
      </c>
      <c r="B9" s="3468"/>
      <c r="C9" s="3468"/>
      <c r="D9" s="3468" t="str">
        <f ca="1">结果表!D123</f>
        <v>贰佰捌拾万元整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925</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925</v>
      </c>
      <c r="B13" s="3465"/>
      <c r="C13" s="3465"/>
      <c r="D13" s="3465" t="e">
        <f>结果表!D127</f>
        <v>#VALUE!</v>
      </c>
      <c r="E13" s="3465"/>
      <c r="F13" s="3465"/>
      <c r="G13" s="3465"/>
      <c r="H13" s="3465"/>
      <c r="I13" s="3465"/>
    </row>
    <row r="14" spans="1:9" ht="15" thickTop="1">
      <c r="A14" s="3466" t="s">
        <v>930</v>
      </c>
      <c r="B14" s="3466"/>
      <c r="C14" s="3466"/>
      <c r="D14" s="3466"/>
      <c r="E14" s="3466"/>
      <c r="F14" s="3466"/>
      <c r="G14" s="3466"/>
      <c r="H14" s="3466"/>
      <c r="I14" s="3466"/>
    </row>
    <row r="16" spans="1:9" ht="18.75">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947</v>
      </c>
      <c r="B1" s="3480"/>
      <c r="C1" s="3480"/>
      <c r="D1" s="3480"/>
    </row>
    <row r="2" spans="1:4" ht="18">
      <c r="A2" s="3481" t="s">
        <v>931</v>
      </c>
      <c r="B2" s="3481"/>
      <c r="C2" s="3481"/>
      <c r="D2" s="3481"/>
    </row>
    <row r="3" spans="1:4" ht="18.75">
      <c r="A3" s="1509" t="s">
        <v>932</v>
      </c>
      <c r="B3" s="1509" t="s">
        <v>933</v>
      </c>
      <c r="C3" s="1509" t="s">
        <v>934</v>
      </c>
      <c r="D3" s="1509" t="s">
        <v>935</v>
      </c>
    </row>
    <row r="4" spans="1:4" ht="56.25" customHeight="1">
      <c r="A4" s="1510">
        <f>项目基本情况!B4</f>
        <v>0</v>
      </c>
      <c r="B4" s="1511">
        <f>项目基本情况!C4</f>
        <v>0</v>
      </c>
      <c r="C4" s="1512"/>
      <c r="D4" s="1513" t="s">
        <v>936</v>
      </c>
    </row>
    <row r="5" spans="1:4" ht="56.25" customHeight="1">
      <c r="A5" s="1510">
        <f>项目基本情况!D4</f>
        <v>0</v>
      </c>
      <c r="B5" s="1511">
        <f>项目基本情况!E4</f>
        <v>0</v>
      </c>
      <c r="C5" s="1514"/>
      <c r="D5" s="1513" t="s">
        <v>936</v>
      </c>
    </row>
    <row r="6" spans="1:4" ht="18">
      <c r="A6" s="3481" t="s">
        <v>937</v>
      </c>
      <c r="B6" s="3481"/>
      <c r="C6" s="3481"/>
      <c r="D6" s="3481"/>
    </row>
    <row r="7" spans="1:4" ht="18.75">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8.75">
      <c r="A10" s="1516" t="s">
        <v>939</v>
      </c>
      <c r="B10" s="675"/>
      <c r="C10" s="675"/>
      <c r="D10" s="675"/>
    </row>
    <row r="11" spans="1:4" ht="30" customHeight="1">
      <c r="A11" s="3482" t="s">
        <v>940</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941</v>
      </c>
      <c r="B16" s="3476"/>
      <c r="C16" s="3476"/>
      <c r="D16" s="3476"/>
    </row>
    <row r="17" spans="1:4" ht="144" customHeight="1">
      <c r="A17" s="3476" t="s">
        <v>942</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7"/>
      <c r="C21" s="3477"/>
      <c r="D21" s="3477"/>
    </row>
    <row r="22" spans="1:4" ht="18.75" customHeight="1">
      <c r="A22" s="3478" t="s">
        <v>943</v>
      </c>
      <c r="B22" s="3478"/>
      <c r="C22" s="3478"/>
      <c r="D22" s="3478"/>
    </row>
    <row r="23" spans="1:4">
      <c r="A23" s="1517"/>
      <c r="B23" s="1489"/>
      <c r="C23" s="1489"/>
      <c r="D23" s="1489"/>
    </row>
    <row r="24" spans="1:4">
      <c r="A24" s="1517"/>
      <c r="B24" s="1489"/>
      <c r="C24" s="1489"/>
      <c r="D24" s="1489"/>
    </row>
    <row r="25" spans="1:4" ht="18.75">
      <c r="A25" s="1518" t="s">
        <v>944</v>
      </c>
    </row>
    <row r="26" spans="1:4" ht="18">
      <c r="A26" s="1487"/>
    </row>
    <row r="27" spans="1:4" ht="18.75">
      <c r="A27" s="1487" t="s">
        <v>945</v>
      </c>
    </row>
    <row r="30" spans="1:4" ht="18.75">
      <c r="D30" s="1518" t="s">
        <v>946</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3.5">
      <c r="A15" s="3488" t="s">
        <v>954</v>
      </c>
      <c r="B15" s="3483" t="s">
        <v>109</v>
      </c>
      <c r="C15" s="3484"/>
    </row>
    <row r="16" spans="1:7" ht="13.5">
      <c r="A16" s="3489"/>
      <c r="B16" s="3483" t="s">
        <v>42</v>
      </c>
      <c r="C16" s="3484"/>
    </row>
    <row r="17" spans="1:3" ht="13.5">
      <c r="A17" s="3489"/>
      <c r="B17" s="3486" t="s">
        <v>955</v>
      </c>
      <c r="C17" s="1532" t="s">
        <v>954</v>
      </c>
    </row>
    <row r="18" spans="1:3" ht="13.5">
      <c r="A18" s="3489"/>
      <c r="B18" s="3486"/>
      <c r="C18" s="1532" t="s">
        <v>956</v>
      </c>
    </row>
    <row r="19" spans="1:3" ht="13.5">
      <c r="A19" s="3489"/>
      <c r="B19" s="3486"/>
      <c r="C19" s="1532" t="s">
        <v>957</v>
      </c>
    </row>
    <row r="20" spans="1:3" ht="13.5">
      <c r="A20" s="3490"/>
      <c r="B20" s="3485" t="s">
        <v>958</v>
      </c>
      <c r="C20" s="3484"/>
    </row>
    <row r="21" spans="1:3" ht="13.5">
      <c r="A21" s="1533" t="s">
        <v>959</v>
      </c>
      <c r="B21" s="1534"/>
      <c r="C21" s="1535"/>
    </row>
    <row r="22" spans="1:3" ht="13.5">
      <c r="A22" s="3487" t="s">
        <v>960</v>
      </c>
      <c r="B22" s="3485" t="s">
        <v>961</v>
      </c>
      <c r="C22" s="3484"/>
    </row>
    <row r="23" spans="1:3" ht="13.5">
      <c r="A23" s="3487"/>
      <c r="B23" s="3485" t="s">
        <v>962</v>
      </c>
      <c r="C23" s="3484"/>
    </row>
    <row r="24" spans="1:3" ht="13.5">
      <c r="A24" s="3487"/>
      <c r="B24" s="3485" t="s">
        <v>963</v>
      </c>
      <c r="C24" s="3484"/>
    </row>
    <row r="25" spans="1:3" ht="13.5">
      <c r="A25" s="3487"/>
      <c r="B25" s="3486" t="s">
        <v>964</v>
      </c>
      <c r="C25" s="1532" t="s">
        <v>965</v>
      </c>
    </row>
    <row r="26" spans="1:3" ht="13.5">
      <c r="A26" s="3487"/>
      <c r="B26" s="3486"/>
      <c r="C26" s="1532" t="s">
        <v>966</v>
      </c>
    </row>
    <row r="27" spans="1:3" ht="13.5">
      <c r="A27" s="3487"/>
      <c r="B27" s="3486"/>
      <c r="C27" s="1532" t="s">
        <v>967</v>
      </c>
    </row>
    <row r="28" spans="1:3" ht="13.5">
      <c r="A28" s="3487"/>
      <c r="B28" s="3486"/>
      <c r="C28" s="1532" t="s">
        <v>968</v>
      </c>
    </row>
    <row r="29" spans="1:3" ht="13.5">
      <c r="A29" s="3487"/>
      <c r="B29" s="3486"/>
      <c r="C29" s="1532" t="s">
        <v>969</v>
      </c>
    </row>
    <row r="30" spans="1:3" ht="13.5">
      <c r="A30" s="3487"/>
      <c r="B30" s="3486"/>
      <c r="C30" s="1532" t="s">
        <v>970</v>
      </c>
    </row>
    <row r="31" spans="1:3" ht="13.5">
      <c r="A31" s="3487"/>
      <c r="B31" s="3486"/>
      <c r="C31" s="1532" t="s">
        <v>971</v>
      </c>
    </row>
    <row r="32" spans="1:3" ht="13.5">
      <c r="A32" s="3487"/>
      <c r="B32" s="3486"/>
      <c r="C32" s="1532" t="s">
        <v>972</v>
      </c>
    </row>
    <row r="33" spans="1:3" ht="13.5">
      <c r="A33" s="3487"/>
      <c r="B33" s="3486"/>
      <c r="C33" s="1532" t="s">
        <v>973</v>
      </c>
    </row>
    <row r="34" spans="1:3">
      <c r="A34" s="1536" t="s">
        <v>49</v>
      </c>
    </row>
    <row r="37" spans="1:3">
      <c r="A37" s="1536" t="s">
        <v>974</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45076</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2158</v>
      </c>
      <c r="B17" s="3491"/>
      <c r="C17" s="3491"/>
      <c r="D17" s="3491"/>
      <c r="E17" s="3491"/>
      <c r="F17" s="3491"/>
      <c r="G17" s="3491"/>
      <c r="H17" s="3491"/>
    </row>
    <row r="18" spans="1:8" ht="24" customHeight="1">
      <c r="A18" s="3492" t="s">
        <v>2159</v>
      </c>
      <c r="B18" s="3492"/>
      <c r="C18" s="3492"/>
      <c r="D18" s="2343"/>
      <c r="E18" s="3493" t="s">
        <v>2160</v>
      </c>
      <c r="F18" s="3492"/>
      <c r="G18" s="3492"/>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2023-05-30T07:43:05Z</dcterms:modified>
</cp:coreProperties>
</file>